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Item Plan" sheetId="3" r:id="rId3"/>
    <sheet name="Dashboard" sheetId="4" r:id="rId4"/>
    <sheet name="Method" sheetId="5" r:id="rId5"/>
    <sheet name="Verify" sheetId="6" r:id="rId6"/>
  </sheets>
  <definedNames>
    <definedName name="CarryRate">Setup!$C$8</definedName>
    <definedName name="CompanyName">Setup!$C$6</definedName>
    <definedName name="Currency">Setup!$C$7</definedName>
    <definedName name="DashItem">Dashboard!$C$4</definedName>
    <definedName name="ItemCodes">tblItems[Item]</definedName>
    <definedName name="KpiDue">Dashboard!$D$8</definedName>
    <definedName name="KpiOverdue">Dashboard!$B$8</definedName>
    <definedName name="KpiSaving">Dashboard!$G$8</definedName>
    <definedName name="KpiSS">Dashboard!$J$8</definedName>
    <definedName name="_xlnm.Print_Area" localSheetId="3">Dashboard!$A$1:$L$65</definedName>
    <definedName name="_xlnm.Print_Area" localSheetId="2">'Item Plan'!$A$1:$AD$26</definedName>
    <definedName name="_xlnm.Print_Area" localSheetId="4">Method!$A$1:$D$62</definedName>
    <definedName name="_xlnm.Print_Area" localSheetId="1">Setup!$A$1:$E$15</definedName>
    <definedName name="_xlnm.Print_Area" localSheetId="0">'Start Here'!$A$1:$F$55</definedName>
    <definedName name="_xlnm.Print_Area" localSheetId="5">Verify!$A$1:$AD$69</definedName>
    <definedName name="_xlnm.Print_Titles" localSheetId="2">'Item Plan'!$1:$6</definedName>
    <definedName name="_xlnm.Print_Titles" localSheetId="4">Method!$1:$2</definedName>
    <definedName name="ReviewDays">Setup!$C$10</definedName>
    <definedName name="SelD">Dashboard!$C$55</definedName>
    <definedName name="SelEOQ">Dashboard!$C$58</definedName>
    <definedName name="SelfCheck">Verify!$D$4</definedName>
    <definedName name="SelfCheckSummary">Verify!$F$4</definedName>
    <definedName name="SelH">Dashboard!$C$57</definedName>
    <definedName name="SelItem">IF(DashItem="",IFERROR(INDEX(tblItems[Item],MATCH(MAX(tblItems[Saving at EOQ]),tblItems[Saving at EOQ],0)),""),DashItem)</definedName>
    <definedName name="SelQ">Dashboard!$C$59</definedName>
    <definedName name="SelS">Dashboard!$C$56</definedName>
    <definedName name="SelSaving">Dashboard!$C$60</definedName>
    <definedName name="SLA">Setup!$C$11</definedName>
    <definedName name="SLB">Setup!$C$12</definedName>
    <definedName name="SLC">Setup!$C$13</definedName>
    <definedName name="WorkDays">Setup!$C$9</definedName>
  </definedNames>
  <calcPr calcId="124519" fullCalcOnLoad="1"/>
</workbook>
</file>

<file path=xl/sharedStrings.xml><?xml version="1.0" encoding="utf-8"?>
<sst xmlns="http://schemas.openxmlformats.org/spreadsheetml/2006/main" count="525" uniqueCount="299">
  <si>
    <t>Reorder Point and EOQ Planner</t>
  </si>
  <si>
    <t>Read this first: what the workbook does and how to use it.</t>
  </si>
  <si>
    <t>mfgcalcs.com</t>
  </si>
  <si>
    <t>For every item: the economic order quantity, safety stock for your service level, the reorder point, and whether stock on hand and on order says order now.</t>
  </si>
  <si>
    <t>For: Buyers, material planners, inventory and supply-chain managers, and small-shop owners who place replenishment orders.</t>
  </si>
  <si>
    <t>Version 1.0.0  ·  updated 15 October 2026</t>
  </si>
  <si>
    <t>Quick start</t>
  </si>
  <si>
    <t>1.</t>
  </si>
  <si>
    <t>On Setup, type your company name and currency, carrying-cost rate, working days per year, review window and the service level for A, B and C items.</t>
  </si>
  <si>
    <t>2.</t>
  </si>
  <si>
    <t>On Item Plan, list your items: annual demand, daily demand variability, lead time and its variability, unit cost, cost per order, current order quantity, on hand and on order.</t>
  </si>
  <si>
    <t>3.</t>
  </si>
  <si>
    <t>Read the Reorder status column: Overdue means at or below the reorder point (order now), Due soon means within the review window.</t>
  </si>
  <si>
    <t>4.</t>
  </si>
  <si>
    <t>Open the Dashboard: the order list, days of cover above the reorder point, the saving from ordering EOQ, and the cost curve for any item.</t>
  </si>
  <si>
    <t>What is in this workbook</t>
  </si>
  <si>
    <t>Start Here</t>
  </si>
  <si>
    <t>Setup</t>
  </si>
  <si>
    <t>Company, currency, carrying-cost rate, working days, review window and service level per class.</t>
  </si>
  <si>
    <t>Item Plan</t>
  </si>
  <si>
    <t>One row per item: EOQ, safety stock, reorder point and whether to order now.</t>
  </si>
  <si>
    <t>Dashboard</t>
  </si>
  <si>
    <t>What to order now, the saving from ordering the economic quantity, and the EOQ cost curve for any item.</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</si>
  <si>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</si>
  <si>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</si>
  <si>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</si>
  <si>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</si>
  <si>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</si>
  <si>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</si>
  <si>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</si>
  <si>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</si>
  <si>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</si>
  <si>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</si>
  <si>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</si>
  <si>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</si>
  <si>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</si>
  <si>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</si>
  <si>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</si>
  <si>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</si>
  <si>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</si>
  <si>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</si>
  <si>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</si>
  <si>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</si>
  <si>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Economic Order Quantity Calculator on mfgcalcs.com</t>
  </si>
  <si>
    <t>Latest version</t>
  </si>
  <si>
    <t>mfgcalcs.com/templates/reorder-point-eoq</t>
  </si>
  <si>
    <t>More free templates</t>
  </si>
  <si>
    <t>mfgcalcs.com/templates</t>
  </si>
  <si>
    <t>Version</t>
  </si>
  <si>
    <t>1.0.0 (updated 15 October 2026)</t>
  </si>
  <si>
    <t>About the example data</t>
  </si>
  <si>
    <t>Every number already in this workbook is example data for Moreno Control Systems, a fictional business invented for this template, so the dashboard and charts show something meaningful on day one. It plans 20 purchased items of a control-panel maker in Mexico, with demand, prices (MXN) and lead times generated from a fixed seed. To clear it: on each working sheet, select the example rows of the table, right-click and choose Delete &gt; Table Rows. The formulas stay, and every new row you type below the table picks them up.</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</si>
  <si>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</si>
  <si>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</si>
  <si>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</si>
  <si>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</si>
  <si>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</si>
  <si>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</si>
  <si>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</si>
  <si>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</si>
  <si>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Company and planning policy</t>
  </si>
  <si>
    <t>Company or site</t>
  </si>
  <si>
    <t>Moreno Control Systems (example)</t>
  </si>
  <si>
    <t>Currency label</t>
  </si>
  <si>
    <t>MXN</t>
  </si>
  <si>
    <t>Carrying-cost rate</t>
  </si>
  <si>
    <t>of unit cost per year</t>
  </si>
  <si>
    <t>Working days per year</t>
  </si>
  <si>
    <t>days/year</t>
  </si>
  <si>
    <t>Review window</t>
  </si>
  <si>
    <t>days</t>
  </si>
  <si>
    <t>Cycle service level, A items</t>
  </si>
  <si>
    <t>Cycle service level, B items</t>
  </si>
  <si>
    <t>Cycle service level, C items</t>
  </si>
  <si>
    <t>Rate, service levels and review window are your policy; nothing here is an industry benchmark. A cycle service level of 95% means no stockout in 95% of replenishment cycles (service factor z = 1.645), not a 95% fill rate. Lead times and the review window are in working days.</t>
  </si>
  <si>
    <t>Item</t>
  </si>
  <si>
    <t>Description</t>
  </si>
  <si>
    <t>Class</t>
  </si>
  <si>
    <t>Annual demand (units)</t>
  </si>
  <si>
    <t>Demand std dev (units/day)</t>
  </si>
  <si>
    <t>Lead time (days)</t>
  </si>
  <si>
    <t>Lead time std dev (days)</t>
  </si>
  <si>
    <t>Unit cost</t>
  </si>
  <si>
    <t>Order cost</t>
  </si>
  <si>
    <t>Current order qty (units)</t>
  </si>
  <si>
    <t>On hand (units)</t>
  </si>
  <si>
    <t>On order (units)</t>
  </si>
  <si>
    <t>Daily demand (units/day)</t>
  </si>
  <si>
    <t>Service factor z</t>
  </si>
  <si>
    <t>Safety stock (units)</t>
  </si>
  <si>
    <t>Reorder point (units)</t>
  </si>
  <si>
    <t>Holding cost</t>
  </si>
  <si>
    <t>EOQ (units)</t>
  </si>
  <si>
    <t>Orders per year</t>
  </si>
  <si>
    <t>Annual cost at EOQ</t>
  </si>
  <si>
    <t>Annual cost at current qty</t>
  </si>
  <si>
    <t>Saving at EOQ</t>
  </si>
  <si>
    <t>Safety stock value</t>
  </si>
  <si>
    <t>Inventory position (units)</t>
  </si>
  <si>
    <t>Cover above ROP (days)</t>
  </si>
  <si>
    <t>Reorder status</t>
  </si>
  <si>
    <t>Urgency rank</t>
  </si>
  <si>
    <t>Check</t>
  </si>
  <si>
    <t>Notes</t>
  </si>
  <si>
    <t>Example data for Moreno Control Systems (fictional; prices in MXN are examples). Replace it with your own: select the example rows, right-click, Delete &gt; Table Rows. Quantities are shown rounded; the formulas use the exact values.</t>
  </si>
  <si>
    <t>PLC-24</t>
  </si>
  <si>
    <t>PLC controller, 24 I/O</t>
  </si>
  <si>
    <t>A</t>
  </si>
  <si>
    <t>Order placed 2 Oct, due in 4 weeks</t>
  </si>
  <si>
    <t>HMI-7</t>
  </si>
  <si>
    <t>Touch panel, 7 in</t>
  </si>
  <si>
    <t/>
  </si>
  <si>
    <t>VFD-2</t>
  </si>
  <si>
    <t>Variable frequency drive, 2.2 kW</t>
  </si>
  <si>
    <t>Imported; lead time varies with customs</t>
  </si>
  <si>
    <t>ENC-60</t>
  </si>
  <si>
    <t>Steel enclosure, 600 x 400</t>
  </si>
  <si>
    <t>BRK-3P</t>
  </si>
  <si>
    <t>Circuit breaker, 3-pole 20 A</t>
  </si>
  <si>
    <t>CNT-18</t>
  </si>
  <si>
    <t>Contactor, 18 A</t>
  </si>
  <si>
    <t>B</t>
  </si>
  <si>
    <t>PSU-24</t>
  </si>
  <si>
    <t>Power supply, 24 V 5 A</t>
  </si>
  <si>
    <t>RLY-24</t>
  </si>
  <si>
    <t>Interface relay, 24 V</t>
  </si>
  <si>
    <t>TB-4</t>
  </si>
  <si>
    <t>Terminal block, 4 mm</t>
  </si>
  <si>
    <t>Supplier minimum is 10 boxes of 500</t>
  </si>
  <si>
    <t>DIN-35</t>
  </si>
  <si>
    <t>DIN rail, 35 mm x 2 m</t>
  </si>
  <si>
    <t>DUCT-40</t>
  </si>
  <si>
    <t>Wiring duct, 40 x 60 (2 m)</t>
  </si>
  <si>
    <t>CBL-1.5</t>
  </si>
  <si>
    <t>Control cable, 1.5 mm2 (100 m)</t>
  </si>
  <si>
    <t>PB-22</t>
  </si>
  <si>
    <t>Pushbutton, 22 mm</t>
  </si>
  <si>
    <t>C</t>
  </si>
  <si>
    <t>PL-22</t>
  </si>
  <si>
    <t>Pilot light, 22 mm</t>
  </si>
  <si>
    <t>FAN-120</t>
  </si>
  <si>
    <t>Filter fan, 120 mm</t>
  </si>
  <si>
    <t>GLD-M20</t>
  </si>
  <si>
    <t>Cable gland, M20</t>
  </si>
  <si>
    <t>LBL-R</t>
  </si>
  <si>
    <t>Label roll, 500</t>
  </si>
  <si>
    <t>FER-1.5</t>
  </si>
  <si>
    <t>Wire ferrule, 1.5 mm2 (500)</t>
  </si>
  <si>
    <t>SCR-M4</t>
  </si>
  <si>
    <t>Screw kit, M4 (1,000)</t>
  </si>
  <si>
    <t>TIE-200</t>
  </si>
  <si>
    <t>Cable tie, 200 mm (1,000)</t>
  </si>
  <si>
    <t>Cost curve item</t>
  </si>
  <si>
    <t>ITEMS TO ORDER NOW</t>
  </si>
  <si>
    <t>ITEMS DUE SOON</t>
  </si>
  <si>
    <t>At or below the reorder point</t>
  </si>
  <si>
    <t>Within the review window on Setup</t>
  </si>
  <si>
    <t>Ordering + holding cost, current lots vs EOQ</t>
  </si>
  <si>
    <t>Safety stock x unit cost, all items</t>
  </si>
  <si>
    <t>Order list: the twelve items with the least cover above their reorder point</t>
  </si>
  <si>
    <t>Urgency</t>
  </si>
  <si>
    <t>Inventory position</t>
  </si>
  <si>
    <t>Reorder point</t>
  </si>
  <si>
    <t>Cover above ROP</t>
  </si>
  <si>
    <t>EOQ</t>
  </si>
  <si>
    <t>Current lot</t>
  </si>
  <si>
    <t>units</t>
  </si>
  <si>
    <t>1</t>
  </si>
  <si>
    <t>2</t>
  </si>
  <si>
    <t>3</t>
  </si>
  <si>
    <t>4</t>
  </si>
  <si>
    <t>5</t>
  </si>
  <si>
    <t>6</t>
  </si>
  <si>
    <t>7</t>
  </si>
  <si>
    <t>8</t>
  </si>
  <si>
    <t>9</t>
  </si>
  <si>
    <t>10</t>
  </si>
  <si>
    <t>11</t>
  </si>
  <si>
    <t>12</t>
  </si>
  <si>
    <t>By class (ordering + holding cost per year)</t>
  </si>
  <si>
    <t>Items</t>
  </si>
  <si>
    <t>Service level</t>
  </si>
  <si>
    <t>Order now</t>
  </si>
  <si>
    <t>Due soon</t>
  </si>
  <si>
    <t>Cost at current lots</t>
  </si>
  <si>
    <t>Cost at EOQ</t>
  </si>
  <si>
    <t>Saving</t>
  </si>
  <si>
    <t>Total</t>
  </si>
  <si>
    <t>EOQ cost curve data (order quantity = multiple x EOQ)</t>
  </si>
  <si>
    <t>Annual demand</t>
  </si>
  <si>
    <t>units/year</t>
  </si>
  <si>
    <t>x EOQ</t>
  </si>
  <si>
    <t>Order quantity</t>
  </si>
  <si>
    <t>Ordering cost</t>
  </si>
  <si>
    <t>Total cost</t>
  </si>
  <si>
    <t>Current order quantity</t>
  </si>
  <si>
    <t>What this workbook calculates</t>
  </si>
  <si>
    <t>Two questions drive replenishment: how much to order and when. The economic order quantity (EOQ) answers the first by balancing the cost of placing orders against the cost of holding stock. The reorder point answers the second: order when the stock you hold plus what is on order falls to the demand expected during the lead time plus a safety stock. The safety stock covers variation in both daily demand and lead time at the cycle service level you choose for each ABC class.</t>
  </si>
  <si>
    <t>Calculations</t>
  </si>
  <si>
    <t>Quantity</t>
  </si>
  <si>
    <t>How it is calculated</t>
  </si>
  <si>
    <t>Units</t>
  </si>
  <si>
    <t>Daily demand d</t>
  </si>
  <si>
    <t>Annual demand / working days per year.</t>
  </si>
  <si>
    <t>units/day</t>
  </si>
  <si>
    <t>NORM.S.INV(cycle service level of the item's class).</t>
  </si>
  <si>
    <t>-</t>
  </si>
  <si>
    <t>Safety stock</t>
  </si>
  <si>
    <t>z x SQRT(LT x sd_d^2 + d^2 x sd_LT^2): LT lead time, sd_d daily demand std dev, sd_LT lead time std dev.</t>
  </si>
  <si>
    <t>d x LT + safety stock.</t>
  </si>
  <si>
    <t>Holding cost H</t>
  </si>
  <si>
    <t>Unit cost x carrying-cost rate: the cost of holding one unit for a year.</t>
  </si>
  <si>
    <t>currency/unit</t>
  </si>
  <si>
    <t>SQRT(2 x D x S / H): D annual demand, S order cost.</t>
  </si>
  <si>
    <t>D / EOQ.</t>
  </si>
  <si>
    <t>orders/year</t>
  </si>
  <si>
    <t>Annual cost at Q</t>
  </si>
  <si>
    <t>D x S / Q + H x Q / 2 (ordering + holding of cycle stock), at Q = EOQ and at the current order quantity; saving = the difference.</t>
  </si>
  <si>
    <t>currency/year</t>
  </si>
  <si>
    <t>Safety stock x unit cost.</t>
  </si>
  <si>
    <t>currency</t>
  </si>
  <si>
    <t>On hand + on order.</t>
  </si>
  <si>
    <t>(Inventory position - reorder point) / d. Negative = below the reorder point.</t>
  </si>
  <si>
    <t>Overdue at or below the reorder point (order now); Due soon if cover above ROP &lt;= review window; OK otherwise.</t>
  </si>
  <si>
    <t>Order list</t>
  </si>
  <si>
    <t>Items ranked by cover above ROP (Urgency rank helper: RANK ascending + item-code tie-break), looked up with INDEX/MATCH.</t>
  </si>
  <si>
    <t>Cost curve</t>
  </si>
  <si>
    <t>For the selected item: Q = 0.25 to 3 x EOQ; ordering D x S / Q, holding H x Q / 2, total their sum.</t>
  </si>
  <si>
    <t>Assumptions</t>
  </si>
  <si>
    <t>Demand is steady over the year with independent, roughly normal daily variation; lead time variation is independent of demand.</t>
  </si>
  <si>
    <t>Lead times, daily demand and the review window are in the same working days.</t>
  </si>
  <si>
    <t>The EOQ ignores quantity discounts, minimum order quantities and pack sizes; round EOQ to a pack or supplier minimum yourself and the cost curve shows what that costs (it is flat near the minimum).</t>
  </si>
  <si>
    <t>Holding cost applies to the cycle stock (Q / 2); safety stock is held whatever the lot size, so it is not part of the EOQ trade-off.</t>
  </si>
  <si>
    <t>Inventory position includes every open order; backorders, if any, should be subtracted from on hand.</t>
  </si>
  <si>
    <t>Limitations</t>
  </si>
  <si>
    <t>Cycle service level is the chance of no stockout per cycle, not the fill rate; items ordered often need a higher level for the same fill rate.</t>
  </si>
  <si>
    <t>Seasonal or lumpy demand (many zero days) breaks the normal assumption; plan those items with a forecast instead.</t>
  </si>
  <si>
    <t>Quantities are shown rounded; the formulas use the exact values. Round safety stock and reorder points up when you enter them in your ERP.</t>
  </si>
  <si>
    <t>The order list shows twelve items; the status column covers every item.</t>
  </si>
  <si>
    <t>Agreement with the live calculator</t>
  </si>
  <si>
    <t>Per item, this workbook uses the same formulas as three live calculators: the Economic Order Quantity calculator (H = unit cost x rate; EOQ = SQRT(2DS/H); annual cost D x S / Q + H x Q / 2; savings against the current lot; orders per year), the Safety Stock Calculator (safety stock = z x SQRT(LT x sd_d^2 + d^2 x sd_LT^2); reorder point = d x LT + safety stock; this workbook gets z from the class service level where the calculator takes z) and the Reorder Point calculator (inventory position = on hand + on order; position above the reorder point). The build checks the template's reference against all three engines: their own examples and example items.</t>
  </si>
  <si>
    <t>Open the Economic Order Quantity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</si>
  <si>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</si>
  <si>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</si>
  <si>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Harris, F. W., 'How Many Parts to Make at Once', Factory, The Magazine of Management, 1913 (economic order quantity).</t>
  </si>
  <si>
    <t>Silver, E. A., Pyke, D. F. and Thomas, D. J., Inventory and Production Management in Supply Chains, 4th ed., CRC Press, 2017 (reorder point and safety stock with demand and lead-time variability).</t>
  </si>
  <si>
    <t>MFG Calcs calculators: Economic Order Quantity (economic-order-quantity), Safety Stock Calculator (safety-stock-calculator) and Reorder Point (reorder-point).</t>
  </si>
  <si>
    <t>Standards are cited by name so you can look them up; no copyrighted standard text or tables are reproduced. Statistical constants used are public.</t>
  </si>
  <si>
    <t>Version history</t>
  </si>
  <si>
    <t>Change</t>
  </si>
  <si>
    <t>Date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</si>
  <si>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</si>
  <si>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</si>
  <si>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</si>
  <si>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</si>
  <si>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</si>
  <si>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</si>
  <si>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</si>
  <si>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</si>
  <si>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</si>
  <si>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</si>
  <si>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Tolerance</t>
  </si>
  <si>
    <t>Result</t>
  </si>
  <si>
    <t>Item 1 (EOQ calculator example): EOQ</t>
  </si>
  <si>
    <t>Item 1: annual cost at EOQ</t>
  </si>
  <si>
    <t>Item 1: annual cost at current qty (3,000)</t>
  </si>
  <si>
    <t>Item 1: saving at EOQ</t>
  </si>
  <si>
    <t>Item 1: orders per year</t>
  </si>
  <si>
    <t>Item 2: service factor z (95%)</t>
  </si>
  <si>
    <t>Item 2 (safety-stock example): safety stock</t>
  </si>
  <si>
    <t>Item 2: reorder point</t>
  </si>
  <si>
    <t>Item 2: status (position 1,000 below the ROP)</t>
  </si>
  <si>
    <t>Overdue</t>
  </si>
  <si>
    <t>exact</t>
  </si>
  <si>
    <t>Item 3: safety stock with no variability</t>
  </si>
  <si>
    <t>Item 3: reorder point = lead-time demand</t>
  </si>
  <si>
    <t>Item 3: cover above ROP</t>
  </si>
  <si>
    <t>Item 3: status (3 days of cover, 5-day window)</t>
  </si>
  <si>
    <t>Item 4: Check reports unit cost 0</t>
  </si>
  <si>
    <t>Unit cost is 0</t>
  </si>
  <si>
    <t>Item 2: urgency rank</t>
  </si>
  <si>
    <t>Cost curve item: EOQ looked up</t>
  </si>
  <si>
    <t>Cost curve at 2 x EOQ: total cost</t>
  </si>
  <si>
    <t>Cost curve at EOQ: ordering = holding</t>
  </si>
  <si>
    <t>Fixed test inputs</t>
  </si>
  <si>
    <t>White cells are fixed test inputs; blue cells are the workbook's formulas evaluated on them.</t>
  </si>
  <si>
    <t>Parameters</t>
  </si>
  <si>
    <t>Review window (days)</t>
  </si>
  <si>
    <t>Service level, A</t>
  </si>
  <si>
    <t>Service level, B</t>
  </si>
  <si>
    <t>Service level, C</t>
  </si>
  <si>
    <t>T-EOQ</t>
  </si>
  <si>
    <t>Test table: Items</t>
  </si>
  <si>
    <t>Test</t>
  </si>
  <si>
    <t>T-SS</t>
  </si>
  <si>
    <t>T-FIX</t>
  </si>
  <si>
    <t>T-BAD</t>
  </si>
  <si>
    <t>Test cost curve item (same formulas as the Dashboard, item T-EOQ)</t>
  </si>
  <si>
    <t>Test cost curve (same formulas as the Dashboard)</t>
  </si>
</sst>
</file>

<file path=xl/styles.xml><?xml version="1.0" encoding="utf-8"?>
<styleSheet xmlns="http://schemas.openxmlformats.org/spreadsheetml/2006/main">
  <numFmts count="7">
    <numFmt numFmtId="164" formatCode="0.0%"/>
    <numFmt numFmtId="165" formatCode="#,##0"/>
    <numFmt numFmtId="166" formatCode="#,##0.0"/>
    <numFmt numFmtId="167" formatCode="#,##0.00"/>
    <numFmt numFmtId="168" formatCode="#,##0.000"/>
    <numFmt numFmtId="169" formatCode="+#,##0.0;-#,##0.0;0.0"/>
    <numFmt numFmtId="170" formatCode="0.0E+00"/>
  </numFmts>
  <fonts count="24">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sz val="9"/>
      <color rgb="FF8A4A06"/>
      <name val="Calibri"/>
      <family val="2"/>
      <scheme val="minor"/>
    </font>
    <font>
      <i/>
      <sz val="9"/>
      <color rgb="FF6B7280"/>
      <name val="Calibri"/>
      <family val="2"/>
      <scheme val="minor"/>
    </font>
    <font>
      <b/>
      <sz val="10"/>
      <color rgb="FFFFFFFF"/>
      <name val="Calibri"/>
      <family val="2"/>
      <scheme val="minor"/>
    </font>
    <font>
      <sz val="9"/>
      <color rgb="FF1B2430"/>
      <name val="Calibri"/>
      <family val="2"/>
      <scheme val="minor"/>
    </font>
    <font>
      <b/>
      <sz val="9"/>
      <color rgb="FF4A5361"/>
      <name val="Calibri"/>
      <family val="2"/>
      <scheme val="minor"/>
    </font>
    <font>
      <sz val="9"/>
      <color rgb="FF4A5361"/>
      <name val="Calibri"/>
      <family val="2"/>
      <scheme val="minor"/>
    </font>
    <font>
      <b/>
      <sz val="10"/>
      <color rgb="FF14386C"/>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1">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
      <left style="thin">
        <color rgb="FFC7D4EE"/>
      </left>
      <right style="thin">
        <color rgb="FFC7D4EE"/>
      </right>
      <top style="medium">
        <color rgb="FF14386C"/>
      </top>
      <bottom style="thin">
        <color rgb="FFC7D4EE"/>
      </bottom>
      <diagonal/>
    </border>
  </borders>
  <cellStyleXfs count="1">
    <xf numFmtId="0" fontId="0" fillId="0" borderId="0"/>
  </cellStyleXfs>
  <cellXfs count="71">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165" fontId="10" fillId="3" borderId="2" xfId="0" applyNumberFormat="1" applyFont="1" applyFill="1" applyBorder="1" applyAlignment="1" applyProtection="1">
      <alignment vertical="center"/>
      <protection locked="0"/>
    </xf>
    <xf numFmtId="0" fontId="17" fillId="7" borderId="2" xfId="0" applyFont="1" applyFill="1" applyBorder="1" applyAlignment="1">
      <alignment vertical="center" wrapText="1"/>
    </xf>
    <xf numFmtId="0" fontId="18" fillId="0" borderId="0" xfId="0" applyFont="1" applyAlignment="1">
      <alignment horizontal="center" vertical="center"/>
    </xf>
    <xf numFmtId="0" fontId="19" fillId="2" borderId="5" xfId="0" applyFont="1" applyFill="1" applyBorder="1" applyAlignment="1">
      <alignment horizontal="center" vertical="center" wrapText="1"/>
    </xf>
    <xf numFmtId="166" fontId="10" fillId="3" borderId="2" xfId="0" applyNumberFormat="1" applyFont="1" applyFill="1" applyBorder="1" applyAlignment="1" applyProtection="1">
      <alignment vertical="center"/>
      <protection locked="0"/>
    </xf>
    <xf numFmtId="167" fontId="10" fillId="3" borderId="2" xfId="0" applyNumberFormat="1" applyFont="1" applyFill="1" applyBorder="1" applyAlignment="1" applyProtection="1">
      <alignment vertical="center"/>
      <protection locked="0"/>
    </xf>
    <xf numFmtId="166" fontId="10" fillId="4" borderId="3" xfId="0" applyNumberFormat="1" applyFont="1" applyFill="1" applyBorder="1" applyAlignment="1">
      <alignment vertical="center"/>
    </xf>
    <xf numFmtId="168" fontId="10" fillId="4" borderId="3" xfId="0" applyNumberFormat="1" applyFont="1" applyFill="1" applyBorder="1" applyAlignment="1">
      <alignment vertical="center"/>
    </xf>
    <xf numFmtId="165" fontId="10" fillId="4" borderId="3" xfId="0" applyNumberFormat="1" applyFont="1" applyFill="1" applyBorder="1" applyAlignment="1">
      <alignment vertical="center"/>
    </xf>
    <xf numFmtId="167" fontId="10" fillId="4" borderId="3" xfId="0" applyNumberFormat="1" applyFont="1" applyFill="1" applyBorder="1" applyAlignment="1">
      <alignment vertical="center"/>
    </xf>
    <xf numFmtId="169" fontId="10" fillId="4" borderId="3" xfId="0" applyNumberFormat="1" applyFont="1" applyFill="1" applyBorder="1" applyAlignment="1">
      <alignment vertical="center"/>
    </xf>
    <xf numFmtId="0" fontId="10" fillId="4" borderId="3" xfId="0" applyFont="1" applyFill="1" applyBorder="1" applyAlignment="1">
      <alignment horizontal="center" vertical="center"/>
    </xf>
    <xf numFmtId="0" fontId="20" fillId="4" borderId="3" xfId="0" applyFont="1" applyFill="1" applyBorder="1" applyAlignment="1">
      <alignment vertical="center"/>
    </xf>
    <xf numFmtId="0" fontId="18" fillId="0" borderId="0" xfId="0" applyFont="1" applyAlignment="1">
      <alignment vertical="center"/>
    </xf>
    <xf numFmtId="0" fontId="21" fillId="9" borderId="6" xfId="0" applyFont="1" applyFill="1" applyBorder="1" applyAlignment="1">
      <alignment vertical="center" wrapText="1"/>
    </xf>
    <xf numFmtId="165" fontId="4" fillId="9" borderId="7" xfId="0" applyNumberFormat="1" applyFont="1" applyFill="1" applyBorder="1" applyAlignment="1">
      <alignment horizontal="left" vertical="center"/>
    </xf>
    <xf numFmtId="0" fontId="22" fillId="9" borderId="7" xfId="0" applyFont="1" applyFill="1" applyBorder="1" applyAlignment="1">
      <alignment vertical="center"/>
    </xf>
    <xf numFmtId="0" fontId="21" fillId="9" borderId="8" xfId="0" applyFont="1" applyFill="1" applyBorder="1" applyAlignment="1">
      <alignment vertical="center"/>
    </xf>
    <xf numFmtId="0" fontId="23" fillId="0" borderId="0" xfId="0" applyFont="1" applyAlignment="1">
      <alignment vertical="center"/>
    </xf>
    <xf numFmtId="0" fontId="19" fillId="2" borderId="5" xfId="0" applyFont="1" applyFill="1" applyBorder="1" applyAlignment="1">
      <alignment horizontal="left" vertical="center" wrapText="1"/>
    </xf>
    <xf numFmtId="0" fontId="9" fillId="0" borderId="9" xfId="0" applyFont="1" applyBorder="1" applyAlignment="1">
      <alignment vertical="center"/>
    </xf>
    <xf numFmtId="0" fontId="10" fillId="4" borderId="3" xfId="0" applyFont="1" applyFill="1" applyBorder="1" applyAlignment="1">
      <alignment vertical="center"/>
    </xf>
    <xf numFmtId="164" fontId="10" fillId="0" borderId="9" xfId="0" applyNumberFormat="1" applyFont="1" applyBorder="1" applyAlignment="1">
      <alignment vertical="center"/>
    </xf>
    <xf numFmtId="0" fontId="9" fillId="4" borderId="10" xfId="0" applyFont="1" applyFill="1" applyBorder="1" applyAlignment="1">
      <alignment vertical="center"/>
    </xf>
    <xf numFmtId="165" fontId="9" fillId="4" borderId="10" xfId="0" applyNumberFormat="1" applyFont="1" applyFill="1" applyBorder="1" applyAlignment="1">
      <alignment vertical="center"/>
    </xf>
    <xf numFmtId="167" fontId="9" fillId="0" borderId="9" xfId="0" applyNumberFormat="1" applyFont="1" applyBorder="1" applyAlignment="1">
      <alignment vertical="center"/>
    </xf>
    <xf numFmtId="165" fontId="9" fillId="4" borderId="3" xfId="0" applyNumberFormat="1" applyFont="1" applyFill="1" applyBorder="1" applyAlignment="1">
      <alignment vertical="center"/>
    </xf>
    <xf numFmtId="0" fontId="9" fillId="0" borderId="9" xfId="0" applyFont="1"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horizontal="center" vertical="top"/>
    </xf>
    <xf numFmtId="0" fontId="10" fillId="0" borderId="9" xfId="0" applyFont="1" applyBorder="1" applyAlignment="1">
      <alignment vertical="center"/>
    </xf>
    <xf numFmtId="0" fontId="10" fillId="0" borderId="9" xfId="0" applyFont="1" applyBorder="1" applyAlignment="1">
      <alignment vertical="center" wrapText="1"/>
    </xf>
    <xf numFmtId="0" fontId="10" fillId="0" borderId="9" xfId="0" applyFont="1" applyBorder="1" applyAlignment="1">
      <alignment horizontal="center" vertical="center"/>
    </xf>
    <xf numFmtId="0" fontId="8" fillId="0" borderId="0" xfId="0" applyFont="1" applyAlignment="1">
      <alignment vertical="center"/>
    </xf>
    <xf numFmtId="165" fontId="9" fillId="0" borderId="9" xfId="0" applyNumberFormat="1" applyFont="1" applyBorder="1" applyAlignment="1">
      <alignment horizontal="center" vertical="center"/>
    </xf>
    <xf numFmtId="167" fontId="10" fillId="0" borderId="9" xfId="0" applyNumberFormat="1" applyFont="1" applyBorder="1" applyAlignment="1">
      <alignment vertical="center"/>
    </xf>
    <xf numFmtId="170" fontId="10" fillId="4" borderId="3" xfId="0" applyNumberFormat="1" applyFont="1" applyFill="1" applyBorder="1" applyAlignment="1">
      <alignment vertical="center"/>
    </xf>
    <xf numFmtId="170" fontId="10" fillId="0" borderId="9" xfId="0" applyNumberFormat="1" applyFont="1" applyBorder="1" applyAlignment="1">
      <alignment vertical="center"/>
    </xf>
    <xf numFmtId="168" fontId="10" fillId="0" borderId="9" xfId="0" applyNumberFormat="1" applyFont="1" applyBorder="1" applyAlignment="1">
      <alignment vertical="center"/>
    </xf>
    <xf numFmtId="165" fontId="10" fillId="0" borderId="9" xfId="0" applyNumberFormat="1" applyFont="1" applyBorder="1" applyAlignment="1">
      <alignment vertical="center"/>
    </xf>
    <xf numFmtId="166" fontId="10" fillId="0" borderId="9" xfId="0" applyNumberFormat="1" applyFont="1" applyBorder="1" applyAlignment="1">
      <alignment vertical="center"/>
    </xf>
  </cellXfs>
  <cellStyles count="1">
    <cellStyle name="Normal" xfId="0" builtinId="0"/>
  </cellStyles>
  <dxfs count="4">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Days of cover above the reorder point</a:t>
            </a:r>
          </a:p>
        </c:rich>
      </c:tx>
      <c:layout/>
    </c:title>
    <c:plotArea>
      <c:layout/>
      <c:barChart>
        <c:barDir val="bar"/>
        <c:grouping val="clustered"/>
        <c:ser>
          <c:idx val="0"/>
          <c:order val="0"/>
          <c:tx>
            <c:v>Cover above reorder point (days)</c:v>
          </c:tx>
          <c:spPr>
            <a:solidFill>
              <a:srgbClr val="3B64D8"/>
            </a:solidFill>
            <a:ln w="9525">
              <a:solidFill>
                <a:srgbClr val="FFFFFF"/>
              </a:solidFill>
            </a:ln>
          </c:spPr>
          <c:cat>
            <c:strRef>
              <c:f>Dashboard!$C$33:$C$44</c:f>
              <c:strCache>
                <c:ptCount val="12"/>
                <c:pt idx="0">
                  <c:v>DIN-35</c:v>
                </c:pt>
                <c:pt idx="1">
                  <c:v>GLD-M20</c:v>
                </c:pt>
                <c:pt idx="2">
                  <c:v>LBL-R</c:v>
                </c:pt>
                <c:pt idx="3">
                  <c:v>BRK-3P</c:v>
                </c:pt>
                <c:pt idx="4">
                  <c:v>FAN-120</c:v>
                </c:pt>
                <c:pt idx="5">
                  <c:v>ENC-60</c:v>
                </c:pt>
                <c:pt idx="6">
                  <c:v>PSU-24</c:v>
                </c:pt>
                <c:pt idx="7">
                  <c:v>PB-22</c:v>
                </c:pt>
                <c:pt idx="8">
                  <c:v>PLC-24</c:v>
                </c:pt>
                <c:pt idx="9">
                  <c:v>TIE-200</c:v>
                </c:pt>
                <c:pt idx="10">
                  <c:v>TB-4</c:v>
                </c:pt>
                <c:pt idx="11">
                  <c:v>HMI-7</c:v>
                </c:pt>
              </c:strCache>
            </c:strRef>
          </c:cat>
          <c:val>
            <c:numRef>
              <c:f>Dashboard!$I$33:$I$44</c:f>
              <c:numCache>
                <c:formatCode>General</c:formatCode>
                <c:ptCount val="12"/>
                <c:pt idx="0">
                  <c:v>-6.01628816055665</c:v>
                </c:pt>
                <c:pt idx="1">
                  <c:v>-2.99758325578324</c:v>
                </c:pt>
                <c:pt idx="2">
                  <c:v>-1.91638884813077</c:v>
                </c:pt>
                <c:pt idx="3">
                  <c:v>-1.02821692842084</c:v>
                </c:pt>
                <c:pt idx="4">
                  <c:v>1.10460523352685</c:v>
                </c:pt>
                <c:pt idx="5">
                  <c:v>1.93057694335083</c:v>
                </c:pt>
                <c:pt idx="6">
                  <c:v>2.96922844659815</c:v>
                </c:pt>
                <c:pt idx="7">
                  <c:v>3.98400873452549</c:v>
                </c:pt>
                <c:pt idx="8">
                  <c:v>5.90661927705407</c:v>
                </c:pt>
                <c:pt idx="9">
                  <c:v>7.05927052652202</c:v>
                </c:pt>
                <c:pt idx="10">
                  <c:v>8.99999178597286</c:v>
                </c:pt>
                <c:pt idx="11">
                  <c:v>11.8809612026471</c:v>
                </c:pt>
              </c:numCache>
            </c:numRef>
          </c:val>
        </c:ser>
        <c:gapWidth val="60"/>
        <c:overlap val="-10"/>
        <c:axId val="50010001"/>
        <c:axId val="50010002"/>
      </c:barChart>
      <c:catAx>
        <c:axId val="50010001"/>
        <c:scaling>
          <c:orientation val="maxMin"/>
        </c:scaling>
        <c:axPos val="l"/>
        <c:majorTickMark val="none"/>
        <c:minorTickMark val="none"/>
        <c:tickLblPos val="low"/>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scaling>
        <c:axPos val="t"/>
        <c:majorGridlines>
          <c:spPr>
            <a:ln w="9525">
              <a:solidFill>
                <a:srgbClr val="E6E9EE"/>
              </a:solidFill>
            </a:ln>
          </c:spPr>
        </c:majorGridlines>
        <c:title>
          <c:tx>
            <c:rich>
              <a:bodyPr/>
              <a:lstStyle/>
              <a:p>
                <a:pPr>
                  <a:defRPr sz="900" b="0" baseline="0">
                    <a:solidFill>
                      <a:srgbClr val="4A5361"/>
                    </a:solidFill>
                    <a:latin typeface="Calibri"/>
                  </a:defRPr>
                </a:pPr>
                <a:r>
                  <a:rPr lang="en-US" sz="900" b="0" baseline="0">
                    <a:solidFill>
                      <a:srgbClr val="4A5361"/>
                    </a:solidFill>
                    <a:latin typeface="Calibri"/>
                  </a:rPr>
                  <a:t>Working days</a:t>
                </a:r>
              </a:p>
            </c:rich>
          </c:tx>
          <c:layout/>
        </c:title>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max"/>
        <c:crossBetween val="between"/>
      </c:valAx>
      <c:spPr>
        <a:solidFill>
          <a:srgbClr val="FFFFFF"/>
        </a:solidFill>
        <a:ln>
          <a:noFill/>
        </a:ln>
      </c:spPr>
    </c:plotArea>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EOQ cost curve for the selected item</a:t>
            </a:r>
          </a:p>
        </c:rich>
      </c:tx>
      <c:layout/>
    </c:title>
    <c:plotArea>
      <c:layout/>
      <c:lineChart>
        <c:grouping val="standard"/>
        <c:ser>
          <c:idx val="0"/>
          <c:order val="0"/>
          <c:tx>
            <c:v>Total cost</c:v>
          </c:tx>
          <c:spPr>
            <a:ln w="28575">
              <a:solidFill>
                <a:srgbClr val="3B64D8"/>
              </a:solidFill>
            </a:ln>
          </c:spPr>
          <c:marker>
            <c:symbol val="circle"/>
            <c:size val="5"/>
            <c:spPr>
              <a:solidFill>
                <a:srgbClr val="3B64D8"/>
              </a:solidFill>
              <a:ln>
                <a:solidFill>
                  <a:srgbClr val="3B64D8"/>
                </a:solidFill>
              </a:ln>
            </c:spPr>
          </c:marker>
          <c:cat>
            <c:numRef>
              <c:f>Dashboard!$G$57:$G$65</c:f>
              <c:numCache>
                <c:formatCode>General</c:formatCode>
                <c:ptCount val="9"/>
                <c:pt idx="0">
                  <c:v>7.03865632964341</c:v>
                </c:pt>
                <c:pt idx="1">
                  <c:v>14.0773126592868</c:v>
                </c:pt>
                <c:pt idx="2">
                  <c:v>21.1159689889302</c:v>
                </c:pt>
                <c:pt idx="3">
                  <c:v>28.1546253185737</c:v>
                </c:pt>
                <c:pt idx="4">
                  <c:v>35.1932816482171</c:v>
                </c:pt>
                <c:pt idx="5">
                  <c:v>42.2319379778605</c:v>
                </c:pt>
                <c:pt idx="6">
                  <c:v>56.3092506371473</c:v>
                </c:pt>
                <c:pt idx="7">
                  <c:v>70.3865632964341</c:v>
                </c:pt>
                <c:pt idx="8">
                  <c:v>84.463875955721</c:v>
                </c:pt>
              </c:numCache>
            </c:numRef>
          </c:cat>
          <c:val>
            <c:numRef>
              <c:f>Dashboard!$J$57:$J$65</c:f>
              <c:numCache>
                <c:formatCode>General</c:formatCode>
                <c:ptCount val="9"/>
                <c:pt idx="0">
                  <c:v>70645.585849365</c:v>
                </c:pt>
                <c:pt idx="1">
                  <c:v>41556.2269702147</c:v>
                </c:pt>
                <c:pt idx="2">
                  <c:v>34630.1891418456</c:v>
                </c:pt>
                <c:pt idx="3">
                  <c:v>33244.9815761718</c:v>
                </c:pt>
                <c:pt idx="4">
                  <c:v>34076.1061155761</c:v>
                </c:pt>
                <c:pt idx="5">
                  <c:v>36015.3967075194</c:v>
                </c:pt>
                <c:pt idx="6">
                  <c:v>41556.2269702147</c:v>
                </c:pt>
                <c:pt idx="7">
                  <c:v>48205.2232854491</c:v>
                </c:pt>
                <c:pt idx="8">
                  <c:v>55408.3026269529</c:v>
                </c:pt>
              </c:numCache>
            </c:numRef>
          </c:val>
        </c:ser>
        <c:ser>
          <c:idx val="1"/>
          <c:order val="1"/>
          <c:tx>
            <c:v>Ordering cost</c:v>
          </c:tx>
          <c:spPr>
            <a:ln w="28575">
              <a:solidFill>
                <a:srgbClr val="E8702A"/>
              </a:solidFill>
            </a:ln>
          </c:spPr>
          <c:marker>
            <c:symbol val="circle"/>
            <c:size val="5"/>
            <c:spPr>
              <a:solidFill>
                <a:srgbClr val="E8702A"/>
              </a:solidFill>
              <a:ln>
                <a:solidFill>
                  <a:srgbClr val="E8702A"/>
                </a:solidFill>
              </a:ln>
            </c:spPr>
          </c:marker>
          <c:cat>
            <c:numRef>
              <c:f>Dashboard!$G$57:$G$65</c:f>
              <c:numCache>
                <c:formatCode>General</c:formatCode>
                <c:ptCount val="9"/>
                <c:pt idx="0">
                  <c:v>7.03865632964341</c:v>
                </c:pt>
                <c:pt idx="1">
                  <c:v>14.0773126592868</c:v>
                </c:pt>
                <c:pt idx="2">
                  <c:v>21.1159689889302</c:v>
                </c:pt>
                <c:pt idx="3">
                  <c:v>28.1546253185737</c:v>
                </c:pt>
                <c:pt idx="4">
                  <c:v>35.1932816482171</c:v>
                </c:pt>
                <c:pt idx="5">
                  <c:v>42.2319379778605</c:v>
                </c:pt>
                <c:pt idx="6">
                  <c:v>56.3092506371473</c:v>
                </c:pt>
                <c:pt idx="7">
                  <c:v>70.3865632964341</c:v>
                </c:pt>
                <c:pt idx="8">
                  <c:v>84.463875955721</c:v>
                </c:pt>
              </c:numCache>
            </c:numRef>
          </c:cat>
          <c:val>
            <c:numRef>
              <c:f>Dashboard!$H$57:$H$65</c:f>
              <c:numCache>
                <c:formatCode>General</c:formatCode>
                <c:ptCount val="9"/>
                <c:pt idx="0">
                  <c:v>66489.9631523435</c:v>
                </c:pt>
                <c:pt idx="1">
                  <c:v>33244.9815761718</c:v>
                </c:pt>
                <c:pt idx="2">
                  <c:v>22163.3210507812</c:v>
                </c:pt>
                <c:pt idx="3">
                  <c:v>16622.4907880859</c:v>
                </c:pt>
                <c:pt idx="4">
                  <c:v>13297.9926304687</c:v>
                </c:pt>
                <c:pt idx="5">
                  <c:v>11081.6605253906</c:v>
                </c:pt>
                <c:pt idx="6">
                  <c:v>8311.24539404294</c:v>
                </c:pt>
                <c:pt idx="7">
                  <c:v>6648.99631523435</c:v>
                </c:pt>
                <c:pt idx="8">
                  <c:v>5540.83026269529</c:v>
                </c:pt>
              </c:numCache>
            </c:numRef>
          </c:val>
        </c:ser>
        <c:ser>
          <c:idx val="2"/>
          <c:order val="2"/>
          <c:tx>
            <c:v>Holding cost</c:v>
          </c:tx>
          <c:spPr>
            <a:ln w="28575">
              <a:solidFill>
                <a:srgbClr val="1BA37A"/>
              </a:solidFill>
            </a:ln>
          </c:spPr>
          <c:marker>
            <c:symbol val="circle"/>
            <c:size val="5"/>
            <c:spPr>
              <a:solidFill>
                <a:srgbClr val="1BA37A"/>
              </a:solidFill>
              <a:ln>
                <a:solidFill>
                  <a:srgbClr val="1BA37A"/>
                </a:solidFill>
              </a:ln>
            </c:spPr>
          </c:marker>
          <c:cat>
            <c:numRef>
              <c:f>Dashboard!$G$57:$G$65</c:f>
              <c:numCache>
                <c:formatCode>General</c:formatCode>
                <c:ptCount val="9"/>
                <c:pt idx="0">
                  <c:v>7.03865632964341</c:v>
                </c:pt>
                <c:pt idx="1">
                  <c:v>14.0773126592868</c:v>
                </c:pt>
                <c:pt idx="2">
                  <c:v>21.1159689889302</c:v>
                </c:pt>
                <c:pt idx="3">
                  <c:v>28.1546253185737</c:v>
                </c:pt>
                <c:pt idx="4">
                  <c:v>35.1932816482171</c:v>
                </c:pt>
                <c:pt idx="5">
                  <c:v>42.2319379778605</c:v>
                </c:pt>
                <c:pt idx="6">
                  <c:v>56.3092506371473</c:v>
                </c:pt>
                <c:pt idx="7">
                  <c:v>70.3865632964341</c:v>
                </c:pt>
                <c:pt idx="8">
                  <c:v>84.463875955721</c:v>
                </c:pt>
              </c:numCache>
            </c:numRef>
          </c:cat>
          <c:val>
            <c:numRef>
              <c:f>Dashboard!$I$57:$I$65</c:f>
              <c:numCache>
                <c:formatCode>General</c:formatCode>
                <c:ptCount val="9"/>
                <c:pt idx="0">
                  <c:v>4155.62269702147</c:v>
                </c:pt>
                <c:pt idx="1">
                  <c:v>8311.24539404294</c:v>
                </c:pt>
                <c:pt idx="2">
                  <c:v>12466.8680910644</c:v>
                </c:pt>
                <c:pt idx="3">
                  <c:v>16622.4907880859</c:v>
                </c:pt>
                <c:pt idx="4">
                  <c:v>20778.1134851074</c:v>
                </c:pt>
                <c:pt idx="5">
                  <c:v>24933.7361821288</c:v>
                </c:pt>
                <c:pt idx="6">
                  <c:v>33244.9815761718</c:v>
                </c:pt>
                <c:pt idx="7">
                  <c:v>41556.2269702147</c:v>
                </c:pt>
                <c:pt idx="8">
                  <c:v>49867.4723642577</c:v>
                </c:pt>
              </c:numCache>
            </c:numRef>
          </c:val>
        </c:ser>
        <c:marker val="1"/>
        <c:axId val="50020001"/>
        <c:axId val="50020002"/>
      </c:lineChart>
      <c:catAx>
        <c:axId val="50020001"/>
        <c:scaling>
          <c:orientation val="minMax"/>
        </c:scaling>
        <c:axPos val="b"/>
        <c:title>
          <c:tx>
            <c:rich>
              <a:bodyPr/>
              <a:lstStyle/>
              <a:p>
                <a:pPr>
                  <a:defRPr sz="900" b="0" baseline="0">
                    <a:solidFill>
                      <a:srgbClr val="4A5361"/>
                    </a:solidFill>
                    <a:latin typeface="Calibri"/>
                  </a:defRPr>
                </a:pPr>
                <a:r>
                  <a:rPr lang="en-US" sz="900" b="0" baseline="0">
                    <a:solidFill>
                      <a:srgbClr val="4A5361"/>
                    </a:solidFill>
                    <a:latin typeface="Calibri"/>
                  </a:rPr>
                  <a:t>Order quantity (units)</a:t>
                </a:r>
              </a:p>
            </c:rich>
          </c:tx>
          <c:layout/>
        </c:title>
        <c:numFmt formatCode="#,##0" sourceLinked="0"/>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12</xdr:row>
      <xdr:rowOff>38100</xdr:rowOff>
    </xdr:from>
    <xdr:to>
      <xdr:col>5</xdr:col>
      <xdr:colOff>676275</xdr:colOff>
      <xdr:row>27</xdr:row>
      <xdr:rowOff>152400</xdr:rowOff>
    </xdr:to>
    <xdr:graphicFrame macro="">
      <xdr:nvGraphicFramePr>
        <xdr:cNvPr id="2" name="Chart 1" descr="Bar chart of days of demand covered above the reorder point for the twelve most urgent items; bars below zero are items at or below their reorder point."/>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38100</xdr:colOff>
      <xdr:row>12</xdr:row>
      <xdr:rowOff>38100</xdr:rowOff>
    </xdr:from>
    <xdr:to>
      <xdr:col>11</xdr:col>
      <xdr:colOff>676275</xdr:colOff>
      <xdr:row>27</xdr:row>
      <xdr:rowOff>152400</xdr:rowOff>
    </xdr:to>
    <xdr:graphicFrame macro="">
      <xdr:nvGraphicFramePr>
        <xdr:cNvPr id="3" name="Chart 2" descr="Line chart of annual ordering, holding and total cost against order quantity for the selected item; total cost is lowest at the EOQ, where ordering and holding cost are equal."/>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ables/table1.xml><?xml version="1.0" encoding="utf-8"?>
<table xmlns="http://schemas.openxmlformats.org/spreadsheetml/2006/main" id="1" name="tblItems" displayName="tblItems" ref="B6:AD26" totalsRowShown="0">
  <autoFilter ref="B6:AD26"/>
  <tableColumns count="29">
    <tableColumn id="1" name="Item"/>
    <tableColumn id="2" name="Description"/>
    <tableColumn id="3" name="Class"/>
    <tableColumn id="4" name="Annual demand (units)"/>
    <tableColumn id="5" name="Demand std dev (units/day)"/>
    <tableColumn id="6" name="Lead time (days)"/>
    <tableColumn id="7" name="Lead time std dev (days)"/>
    <tableColumn id="8" name="Unit cost"/>
    <tableColumn id="9" name="Order cost"/>
    <tableColumn id="10" name="Current order qty (units)"/>
    <tableColumn id="11" name="On hand (units)"/>
    <tableColumn id="12" name="On order (units)"/>
    <tableColumn id="13" name="Daily demand (units/day)">
      <calculatedColumnFormula>IF(tblItems[[#This Row],[Item]]="","",tblItems[[#This Row],[Annual demand (units)]]/WorkDays)</calculatedColumnFormula>
    </tableColumn>
    <tableColumn id="14" name="Service factor z">
      <calculatedColumnFormula>IF(tblItems[[#This Row],[Item]]="","",_xlfn.NORM.S.INV(IF(tblItems[[#This Row],[Class]]="A",SLA,IF(tblItems[[#This Row],[Class]]="B",SLB,SLC))))</calculatedColumnFormula>
    </tableColumn>
    <tableColumn id="15" name="Safety stock (units)">
      <calculatedColumnFormula>IF(tblItems[[#This Row],[Item]]="","",tblItems[[#This Row],[Service factor z]]*SQRT(tblItems[[#This Row],[Lead time (days)]]*tblItems[[#This Row],[Demand std dev (units/day)]]^2+tblItems[[#This Row],[Daily demand (units/day)]]^2*tblItems[[#This Row],[Lead time std dev (days)]]^2))</calculatedColumnFormula>
    </tableColumn>
    <tableColumn id="16" name="Reorder point (units)">
      <calculatedColumnFormula>IF(tblItems[[#This Row],[Item]]="","",tblItems[[#This Row],[Daily demand (units/day)]]*tblItems[[#This Row],[Lead time (days)]]+tblItems[[#This Row],[Safety stock (units)]])</calculatedColumnFormula>
    </tableColumn>
    <tableColumn id="17" name="Holding cost">
      <calculatedColumnFormula>IF(tblItems[[#This Row],[Item]]="","",tblItems[[#This Row],[Unit cost]]*CarryRate)</calculatedColumnFormula>
    </tableColumn>
    <tableColumn id="18" name="EOQ (units)">
      <calculatedColumnFormula>IF(tblItems[[#This Row],[Item]]="","",IF(tblItems[[#This Row],[Holding cost]]&gt;0,SQRT(2*tblItems[[#This Row],[Annual demand (units)]]*tblItems[[#This Row],[Order cost]]/tblItems[[#This Row],[Holding cost]]),""))</calculatedColumnFormula>
    </tableColumn>
    <tableColumn id="19" name="Orders per year">
      <calculatedColumnFormula>IF(tblItems[[#This Row],[Item]]="","",IF(AND(ISNUMBER(tblItems[[#This Row],[EOQ (units)]]),tblItems[[#This Row],[EOQ (units)]]&gt;0),tblItems[[#This Row],[Annual demand (units)]]/tblItems[[#This Row],[EOQ (units)]],""))</calculatedColumnFormula>
    </tableColumn>
    <tableColumn id="20" name="Annual cost at EOQ">
      <calculatedColumnFormula>IF(tblItems[[#This Row],[Item]]="","",IF(AND(ISNUMBER(tblItems[[#This Row],[EOQ (units)]]),tblItems[[#This Row],[EOQ (units)]]&gt;0),tblItems[[#This Row],[Annual demand (units)]]*tblItems[[#This Row],[Order cost]]/tblItems[[#This Row],[EOQ (units)]]+tblItems[[#This Row],[Holding cost]]*tblItems[[#This Row],[EOQ (units)]]/2,""))</calculatedColumnFormula>
    </tableColumn>
    <tableColumn id="21" name="Annual cost at current qty">
      <calculatedColumnFormula>IF(tblItems[[#This Row],[Item]]="","",IF(tblItems[[#This Row],[Current order qty (units)]]&gt;0,tblItems[[#This Row],[Annual demand (units)]]*tblItems[[#This Row],[Order cost]]/tblItems[[#This Row],[Current order qty (units)]]+tblItems[[#This Row],[Holding cost]]*tblItems[[#This Row],[Current order qty (units)]]/2,""))</calculatedColumnFormula>
    </tableColumn>
    <tableColumn id="22" name="Saving at EOQ">
      <calculatedColumnFormula>IF(tblItems[[#This Row],[Item]]="","",IF(AND(ISNUMBER(tblItems[[#This Row],[Annual cost at current qty]]),ISNUMBER(tblItems[[#This Row],[Annual cost at EOQ]])),tblItems[[#This Row],[Annual cost at current qty]]-tblItems[[#This Row],[Annual cost at EOQ]],""))</calculatedColumnFormula>
    </tableColumn>
    <tableColumn id="23" name="Safety stock value">
      <calculatedColumnFormula>IF(tblItems[[#This Row],[Item]]="","",tblItems[[#This Row],[Safety stock (units)]]*tblItems[[#This Row],[Unit cost]])</calculatedColumnFormula>
    </tableColumn>
    <tableColumn id="24" name="Inventory position (units)">
      <calculatedColumnFormula>IF(tblItems[[#This Row],[Item]]="","",tblItems[[#This Row],[On hand (units)]]+tblItems[[#This Row],[On order (units)]])</calculatedColumnFormula>
    </tableColumn>
    <tableColumn id="25" name="Cover above ROP (days)">
      <calculatedColumnFormula>IF(tblItems[[#This Row],[Item]]="","",IF((tblItems[[#This Row],[Daily demand (units/day)]])=0,"",(tblItems[[#This Row],[Inventory position (units)]]-tblItems[[#This Row],[Reorder point (units)]])/(tblItems[[#This Row],[Daily demand (units/day)]])))</calculatedColumnFormula>
    </tableColumn>
    <tableColumn id="26" name="Reorder status">
      <calculatedColumnFormula>IF(tblItems[[#This Row],[Item]]="","",IF(tblItems[[#This Row],[Inventory position (units)]]&lt;=tblItems[[#This Row],[Reorder point (units)]],"Overdue",IF(tblItems[[#This Row],[Cover above ROP (days)]]&lt;=ReviewDays,"Due soon","OK")))</calculatedColumnFormula>
    </tableColumn>
    <tableColumn id="27" name="Urgency rank">
      <calculatedColumnFormula>IF(tblItems[[#This Row],[Item]]="","",IFERROR(RANK(tblItems[[#This Row],[Cover above ROP (days)]],tblItems[Cover above ROP (days)],1)+COUNTIFS(tblItems[Cover above ROP (days)],tblItems[[#This Row],[Cover above ROP (days)]],tblItems[Item],"&lt;"&amp;tblItems[[#This Row],[Item]]),""))</calculatedColumnFormula>
    </tableColumn>
    <tableColumn id="28" name="Check">
      <calculatedColumnFormula>IF(tblItems[[#This Row],[Item]]="","",IF(tblItems[[#This Row],[Class]]="","Missing class",IF(tblItems[[#This Row],[Annual demand (units)]]="","Missing annual demand",IF(tblItems[[#This Row],[Demand std dev (units/day)]]="","Missing demand std dev",IF(tblItems[[#This Row],[Lead time (days)]]="","Missing lead time",IF(tblItems[[#This Row],[Lead time std dev (days)]]="","Missing lead time std dev",IF(tblItems[[#This Row],[Unit cost]]="","Missing unit cost",IF(tblItems[[#This Row],[Order cost]]="","Missing order cost",IF(COUNTIF(tblItems[Item],tblItems[[#This Row],[Item]])&gt;1,"Item listed twice",IF(tblItems[[#This Row],[Unit cost]]=0,"Unit cost is 0",IF(tblItems[[#This Row],[Current order qty (units)]]=0,"Current order qty is 0","OK")))))))))))</calculatedColumnFormula>
    </tableColumn>
    <tableColumn id="29" name="Notes"/>
  </tableColumns>
  <tableStyleInfo name="TableStyleLight1" showFirstColumn="0" showLastColumn="0" showRowStripes="0" showColumnStripes="0"/>
</table>
</file>

<file path=xl/tables/table2.xml><?xml version="1.0" encoding="utf-8"?>
<table xmlns="http://schemas.openxmlformats.org/spreadsheetml/2006/main" id="2" name="tblVerifyItems" displayName="tblVerifyItems" ref="B44:AD48" totalsRowShown="0">
  <tableColumns count="29">
    <tableColumn id="1" name="Item"/>
    <tableColumn id="2" name="Description"/>
    <tableColumn id="3" name="Class"/>
    <tableColumn id="4" name="Annual demand (units)"/>
    <tableColumn id="5" name="Demand std dev (units/day)"/>
    <tableColumn id="6" name="Lead time (days)"/>
    <tableColumn id="7" name="Lead time std dev (days)"/>
    <tableColumn id="8" name="Unit cost"/>
    <tableColumn id="9" name="Order cost"/>
    <tableColumn id="10" name="Current order qty (units)"/>
    <tableColumn id="11" name="On hand (units)"/>
    <tableColumn id="12" name="On order (units)"/>
    <tableColumn id="13" name="Daily demand (units/day)">
      <calculatedColumnFormula>IF(tblVerifyItems[[#This Row],[Item]]="","",tblVerifyItems[[#This Row],[Annual demand (units)]]/$E$35)</calculatedColumnFormula>
    </tableColumn>
    <tableColumn id="14" name="Service factor z">
      <calculatedColumnFormula>IF(tblVerifyItems[[#This Row],[Item]]="","",_xlfn.NORM.S.INV(IF(tblVerifyItems[[#This Row],[Class]]="A",$E$37,IF(tblVerifyItems[[#This Row],[Class]]="B",$E$38,$E$39))))</calculatedColumnFormula>
    </tableColumn>
    <tableColumn id="15" name="Safety stock (units)">
      <calculatedColumnFormula>IF(tblVerifyItems[[#This Row],[Item]]="","",tblVerifyItems[[#This Row],[Service factor z]]*SQRT(tblVerifyItems[[#This Row],[Lead time (days)]]*tblVerifyItems[[#This Row],[Demand std dev (units/day)]]^2+tblVerifyItems[[#This Row],[Daily demand (units/day)]]^2*tblVerifyItems[[#This Row],[Lead time std dev (days)]]^2))</calculatedColumnFormula>
    </tableColumn>
    <tableColumn id="16" name="Reorder point (units)">
      <calculatedColumnFormula>IF(tblVerifyItems[[#This Row],[Item]]="","",tblVerifyItems[[#This Row],[Daily demand (units/day)]]*tblVerifyItems[[#This Row],[Lead time (days)]]+tblVerifyItems[[#This Row],[Safety stock (units)]])</calculatedColumnFormula>
    </tableColumn>
    <tableColumn id="17" name="Holding cost">
      <calculatedColumnFormula>IF(tblVerifyItems[[#This Row],[Item]]="","",tblVerifyItems[[#This Row],[Unit cost]]*$E$34)</calculatedColumnFormula>
    </tableColumn>
    <tableColumn id="18" name="EOQ (units)">
      <calculatedColumnFormula>IF(tblVerifyItems[[#This Row],[Item]]="","",IF(tblVerifyItems[[#This Row],[Holding cost]]&gt;0,SQRT(2*tblVerifyItems[[#This Row],[Annual demand (units)]]*tblVerifyItems[[#This Row],[Order cost]]/tblVerifyItems[[#This Row],[Holding cost]]),""))</calculatedColumnFormula>
    </tableColumn>
    <tableColumn id="19" name="Orders per year">
      <calculatedColumnFormula>IF(tblVerifyItems[[#This Row],[Item]]="","",IF(AND(ISNUMBER(tblVerifyItems[[#This Row],[EOQ (units)]]),tblVerifyItems[[#This Row],[EOQ (units)]]&gt;0),tblVerifyItems[[#This Row],[Annual demand (units)]]/tblVerifyItems[[#This Row],[EOQ (units)]],""))</calculatedColumnFormula>
    </tableColumn>
    <tableColumn id="20" name="Annual cost at EOQ">
      <calculatedColumnFormula>IF(tblVerifyItems[[#This Row],[Item]]="","",IF(AND(ISNUMBER(tblVerifyItems[[#This Row],[EOQ (units)]]),tblVerifyItems[[#This Row],[EOQ (units)]]&gt;0),tblVerifyItems[[#This Row],[Annual demand (units)]]*tblVerifyItems[[#This Row],[Order cost]]/tblVerifyItems[[#This Row],[EOQ (units)]]+tblVerifyItems[[#This Row],[Holding cost]]*tblVerifyItems[[#This Row],[EOQ (units)]]/2,""))</calculatedColumnFormula>
    </tableColumn>
    <tableColumn id="21" name="Annual cost at current qty">
      <calculatedColumnFormula>IF(tblVerifyItems[[#This Row],[Item]]="","",IF(tblVerifyItems[[#This Row],[Current order qty (units)]]&gt;0,tblVerifyItems[[#This Row],[Annual demand (units)]]*tblVerifyItems[[#This Row],[Order cost]]/tblVerifyItems[[#This Row],[Current order qty (units)]]+tblVerifyItems[[#This Row],[Holding cost]]*tblVerifyItems[[#This Row],[Current order qty (units)]]/2,""))</calculatedColumnFormula>
    </tableColumn>
    <tableColumn id="22" name="Saving at EOQ">
      <calculatedColumnFormula>IF(tblVerifyItems[[#This Row],[Item]]="","",IF(AND(ISNUMBER(tblVerifyItems[[#This Row],[Annual cost at current qty]]),ISNUMBER(tblVerifyItems[[#This Row],[Annual cost at EOQ]])),tblVerifyItems[[#This Row],[Annual cost at current qty]]-tblVerifyItems[[#This Row],[Annual cost at EOQ]],""))</calculatedColumnFormula>
    </tableColumn>
    <tableColumn id="23" name="Safety stock value">
      <calculatedColumnFormula>IF(tblVerifyItems[[#This Row],[Item]]="","",tblVerifyItems[[#This Row],[Safety stock (units)]]*tblVerifyItems[[#This Row],[Unit cost]])</calculatedColumnFormula>
    </tableColumn>
    <tableColumn id="24" name="Inventory position (units)">
      <calculatedColumnFormula>IF(tblVerifyItems[[#This Row],[Item]]="","",tblVerifyItems[[#This Row],[On hand (units)]]+tblVerifyItems[[#This Row],[On order (units)]])</calculatedColumnFormula>
    </tableColumn>
    <tableColumn id="25" name="Cover above ROP (days)">
      <calculatedColumnFormula>IF(tblVerifyItems[[#This Row],[Item]]="","",IF((tblVerifyItems[[#This Row],[Daily demand (units/day)]])=0,"",(tblVerifyItems[[#This Row],[Inventory position (units)]]-tblVerifyItems[[#This Row],[Reorder point (units)]])/(tblVerifyItems[[#This Row],[Daily demand (units/day)]])))</calculatedColumnFormula>
    </tableColumn>
    <tableColumn id="26" name="Reorder status">
      <calculatedColumnFormula>IF(tblVerifyItems[[#This Row],[Item]]="","",IF(tblVerifyItems[[#This Row],[Inventory position (units)]]&lt;=tblVerifyItems[[#This Row],[Reorder point (units)]],"Overdue",IF(tblVerifyItems[[#This Row],[Cover above ROP (days)]]&lt;=$E$36,"Due soon","OK")))</calculatedColumnFormula>
    </tableColumn>
    <tableColumn id="27" name="Urgency rank">
      <calculatedColumnFormula>IF(tblVerifyItems[[#This Row],[Item]]="","",IFERROR(RANK(tblVerifyItems[[#This Row],[Cover above ROP (days)]],tblVerifyItems[Cover above ROP (days)],1)+COUNTIFS(tblVerifyItems[Cover above ROP (days)],tblVerifyItems[[#This Row],[Cover above ROP (days)]],tblVerifyItems[Item],"&lt;"&amp;tblVerifyItems[[#This Row],[Item]]),""))</calculatedColumnFormula>
    </tableColumn>
    <tableColumn id="28" name="Check">
      <calculatedColumnFormula>IF(tblVerifyItems[[#This Row],[Item]]="","",IF(tblVerifyItems[[#This Row],[Class]]="","Missing class",IF(tblVerifyItems[[#This Row],[Annual demand (units)]]="","Missing annual demand",IF(tblVerifyItems[[#This Row],[Demand std dev (units/day)]]="","Missing demand std dev",IF(tblVerifyItems[[#This Row],[Lead time (days)]]="","Missing lead time",IF(tblVerifyItems[[#This Row],[Lead time std dev (days)]]="","Missing lead time std dev",IF(tblVerifyItems[[#This Row],[Unit cost]]="","Missing unit cost",IF(tblVerifyItems[[#This Row],[Order cost]]="","Missing order cost",IF(COUNTIF(tblVerifyItems[Item],tblVerifyItems[[#This Row],[Item]])&gt;1,"Item listed twice",IF(tblVerifyItems[[#This Row],[Unit cost]]=0,"Unit cost is 0",IF(tblVerifyItems[[#This Row],[Current order qty (units)]]=0,"Current order qty is 0","OK")))))))))))</calculatedColumnFormula>
    </tableColumn>
    <tableColumn id="29" name="Notes"/>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reorder-point-eoq" TargetMode="External"/><Relationship Id="rId2" Type="http://schemas.openxmlformats.org/officeDocument/2006/relationships/hyperlink" Target="https://www.mfgcalcs.com/calculators/supply-chain-procurement-inventory/economic-order-quantity?utm_source=mfgcalcs-template&amp;utm_medium=xlsx&amp;utm_campaign=reorder-point-eoq" TargetMode="External"/><Relationship Id="rId3" Type="http://schemas.openxmlformats.org/officeDocument/2006/relationships/hyperlink" Target="https://www.mfgcalcs.com/templates/reorder-point-eoq?utm_source=mfgcalcs-template&amp;utm_medium=xlsx&amp;utm_campaign=reorder-point-eoq" TargetMode="External"/><Relationship Id="rId4" Type="http://schemas.openxmlformats.org/officeDocument/2006/relationships/hyperlink" Target="https://www.mfgcalcs.com/templates?utm_source=mfgcalcs-template&amp;utm_medium=xlsx&amp;utm_campaign=reorder-point-eoq"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reorder-point-eoq"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reorder-point-eoq" TargetMode="External"/><Relationship Id="rId2"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reorder-point-eoq" TargetMode="External"/><Relationship Id="rId2"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reorder-point-eoq" TargetMode="External"/><Relationship Id="rId2" Type="http://schemas.openxmlformats.org/officeDocument/2006/relationships/hyperlink" Target="https://www.mfgcalcs.com/calculators/supply-chain-procurement-inventory/economic-order-quantity?utm_source=mfgcalcs-template&amp;utm_medium=xlsx&amp;utm_campaign=reorder-point-eoq"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reorder-point-eoq" TargetMode="External"/><Relationship Id="rId2"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5"/>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29.4" customHeight="1">
      <c r="B12" s="9" t="s">
        <v>7</v>
      </c>
      <c r="C12" s="10" t="s">
        <v>8</v>
      </c>
      <c r="D12" s="10"/>
      <c r="E12" s="10"/>
      <c r="F12" s="10"/>
    </row>
    <row r="13" spans="1:6" ht="29.4" customHeight="1">
      <c r="B13" s="9" t="s">
        <v>9</v>
      </c>
      <c r="C13" s="10" t="s">
        <v>10</v>
      </c>
      <c r="D13" s="10"/>
      <c r="E13" s="10"/>
      <c r="F13" s="10"/>
    </row>
    <row r="14" spans="1:6" ht="29.4" customHeight="1">
      <c r="B14" s="9" t="s">
        <v>11</v>
      </c>
      <c r="C14" s="10" t="s">
        <v>12</v>
      </c>
      <c r="D14" s="10"/>
      <c r="E14" s="10"/>
      <c r="F14" s="10"/>
    </row>
    <row r="15" spans="1:6" ht="29.4" customHeight="1">
      <c r="B15" s="9" t="s">
        <v>13</v>
      </c>
      <c r="C15" s="10" t="s">
        <v>14</v>
      </c>
      <c r="D15" s="10"/>
      <c r="E15" s="10"/>
      <c r="F15" s="10"/>
    </row>
    <row r="17" spans="2:6" ht="21" customHeight="1">
      <c r="B17" s="8" t="s">
        <v>15</v>
      </c>
      <c r="C17" s="8"/>
      <c r="D17" s="8"/>
      <c r="E17" s="8"/>
      <c r="F17" s="8"/>
    </row>
    <row r="18" spans="2:6" ht="5" customHeight="1"/>
    <row r="19" spans="2:6" ht="16.2" customHeight="1">
      <c r="B19" s="11"/>
      <c r="C19" s="12" t="s">
        <v>16</v>
      </c>
      <c r="D19" s="10" t="s">
        <v>1</v>
      </c>
      <c r="E19" s="10"/>
      <c r="F19" s="10"/>
    </row>
    <row r="20" spans="2:6" ht="29.4" customHeight="1">
      <c r="B20" s="11"/>
      <c r="C20" s="12" t="s">
        <v>17</v>
      </c>
      <c r="D20" s="10" t="s">
        <v>18</v>
      </c>
      <c r="E20" s="10"/>
      <c r="F20" s="10"/>
    </row>
    <row r="21" spans="2:6" ht="16.2" customHeight="1">
      <c r="B21" s="11"/>
      <c r="C21" s="12" t="s">
        <v>19</v>
      </c>
      <c r="D21" s="10" t="s">
        <v>20</v>
      </c>
      <c r="E21" s="10"/>
      <c r="F21" s="10"/>
    </row>
    <row r="22" spans="2:6" ht="29.4" customHeight="1">
      <c r="B22" s="11"/>
      <c r="C22" s="12" t="s">
        <v>21</v>
      </c>
      <c r="D22" s="10" t="s">
        <v>22</v>
      </c>
      <c r="E22" s="10"/>
      <c r="F22" s="10"/>
    </row>
    <row r="23" spans="2:6" ht="16.2" customHeight="1">
      <c r="B23" s="11"/>
      <c r="C23" s="12" t="s">
        <v>23</v>
      </c>
      <c r="D23" s="10" t="s">
        <v>24</v>
      </c>
      <c r="E23" s="10"/>
      <c r="F23" s="10"/>
    </row>
    <row r="24" spans="2:6" ht="29.4" customHeight="1">
      <c r="B24" s="11"/>
      <c r="C24" s="12" t="s">
        <v>25</v>
      </c>
      <c r="D24" s="10" t="s">
        <v>26</v>
      </c>
      <c r="E24" s="10"/>
      <c r="F24" s="10"/>
    </row>
    <row r="26" spans="2:6" ht="21" customHeight="1">
      <c r="B26" s="8" t="s">
        <v>27</v>
      </c>
      <c r="C26" s="8"/>
      <c r="D26" s="8"/>
      <c r="E26" s="8"/>
      <c r="F26" s="8"/>
    </row>
    <row r="27" spans="2:6" ht="5" customHeight="1"/>
    <row r="28" spans="2:6" ht="29.4" customHeight="1">
      <c r="C28" s="13" t="s">
        <v>28</v>
      </c>
      <c r="D28" s="14" t="s">
        <v>29</v>
      </c>
      <c r="E28" s="14"/>
      <c r="F28" s="14"/>
    </row>
    <row r="29" spans="2:6" ht="29.4" customHeight="1">
      <c r="C29" s="15" t="s">
        <v>30</v>
      </c>
      <c r="D29" s="14" t="s">
        <v>31</v>
      </c>
      <c r="E29" s="14"/>
      <c r="F29" s="14"/>
    </row>
    <row r="30" spans="2:6" ht="16.2" customHeight="1">
      <c r="C30" s="16" t="s">
        <v>32</v>
      </c>
      <c r="D30" s="14" t="s">
        <v>33</v>
      </c>
      <c r="E30" s="14"/>
      <c r="F30" s="14"/>
    </row>
    <row r="31" spans="2:6" ht="18" customHeight="1">
      <c r="C31" s="17" t="s">
        <v>34</v>
      </c>
      <c r="D31" s="18" t="s">
        <v>35</v>
      </c>
      <c r="E31" s="19" t="s">
        <v>36</v>
      </c>
      <c r="F31" s="20" t="s">
        <v>37</v>
      </c>
    </row>
    <row r="32" spans="2:6" ht="26.76" customHeight="1">
      <c r="C32" s="21" t="s">
        <v>38</v>
      </c>
      <c r="D32" s="21"/>
      <c r="E32" s="21"/>
      <c r="F32" s="21"/>
    </row>
    <row r="34" spans="2:6" ht="21" customHeight="1">
      <c r="B34" s="8" t="s">
        <v>39</v>
      </c>
      <c r="C34" s="8"/>
      <c r="D34" s="8"/>
      <c r="E34" s="8"/>
      <c r="F34" s="8"/>
    </row>
    <row r="35" spans="2:6" ht="5" customHeight="1"/>
    <row r="36" spans="2:6" ht="26" customHeight="1">
      <c r="C36" s="17" t="s">
        <v>40</v>
      </c>
      <c r="D36" s="22" t="str">
        <f>SelfCheck</f>
        <v>PASS</v>
      </c>
      <c r="E36" s="23" t="str">
        <f>SelfCheckSummary</f>
        <v>18 of 18 checks pass</v>
      </c>
      <c r="F36" s="23"/>
    </row>
    <row r="37" spans="2:6" ht="26.76" customHeight="1">
      <c r="C37" s="21" t="s">
        <v>41</v>
      </c>
      <c r="D37" s="21"/>
      <c r="E37" s="21"/>
      <c r="F37" s="21"/>
    </row>
    <row r="38" spans="2:6">
      <c r="C38" s="17" t="s">
        <v>42</v>
      </c>
      <c r="D38" s="24" t="s">
        <v>43</v>
      </c>
      <c r="E38" s="24"/>
      <c r="F38" s="24"/>
    </row>
    <row r="39" spans="2:6">
      <c r="C39" s="17" t="s">
        <v>44</v>
      </c>
      <c r="D39" s="24" t="s">
        <v>45</v>
      </c>
      <c r="E39" s="24"/>
      <c r="F39" s="24"/>
    </row>
    <row r="40" spans="2:6">
      <c r="C40" s="17" t="s">
        <v>46</v>
      </c>
      <c r="D40" s="24" t="s">
        <v>47</v>
      </c>
      <c r="E40" s="24"/>
      <c r="F40" s="24"/>
    </row>
    <row r="41" spans="2:6">
      <c r="C41" s="17" t="s">
        <v>48</v>
      </c>
      <c r="D41" s="11" t="s">
        <v>49</v>
      </c>
      <c r="E41" s="11"/>
      <c r="F41" s="11"/>
    </row>
    <row r="43" spans="2:6" ht="21" customHeight="1">
      <c r="B43" s="8" t="s">
        <v>50</v>
      </c>
      <c r="C43" s="8"/>
      <c r="D43" s="8"/>
      <c r="E43" s="8"/>
      <c r="F43" s="8"/>
    </row>
    <row r="44" spans="2:6" ht="5" customHeight="1"/>
    <row r="45" spans="2:6" ht="75" customHeight="1">
      <c r="B45" s="25" t="s">
        <v>51</v>
      </c>
      <c r="C45" s="25"/>
      <c r="D45" s="25"/>
      <c r="E45" s="25"/>
      <c r="F45" s="25"/>
    </row>
    <row r="47" spans="2:6" ht="21" customHeight="1">
      <c r="B47" s="8" t="s">
        <v>52</v>
      </c>
      <c r="C47" s="8"/>
      <c r="D47" s="8"/>
      <c r="E47" s="8"/>
      <c r="F47" s="8"/>
    </row>
    <row r="48" spans="2:6" ht="5" customHeight="1"/>
    <row r="49" spans="2:6" ht="29.4" customHeight="1">
      <c r="B49" s="26" t="s">
        <v>53</v>
      </c>
      <c r="C49" s="10" t="s">
        <v>54</v>
      </c>
      <c r="D49" s="10"/>
      <c r="E49" s="10"/>
      <c r="F49" s="10"/>
    </row>
    <row r="50" spans="2:6" ht="16.2" customHeight="1">
      <c r="B50" s="26" t="s">
        <v>53</v>
      </c>
      <c r="C50" s="10" t="s">
        <v>55</v>
      </c>
      <c r="D50" s="10"/>
      <c r="E50" s="10"/>
      <c r="F50" s="10"/>
    </row>
    <row r="51" spans="2:6" ht="29.4" customHeight="1">
      <c r="B51" s="26" t="s">
        <v>53</v>
      </c>
      <c r="C51" s="10" t="s">
        <v>56</v>
      </c>
      <c r="D51" s="10"/>
      <c r="E51" s="10"/>
      <c r="F51" s="10"/>
    </row>
    <row r="52" spans="2:6" ht="16.2" customHeight="1">
      <c r="B52" s="26" t="s">
        <v>53</v>
      </c>
      <c r="C52" s="10" t="s">
        <v>57</v>
      </c>
      <c r="D52" s="10"/>
      <c r="E52" s="10"/>
      <c r="F52" s="10"/>
    </row>
    <row r="54" spans="2:6" ht="16.2" customHeight="1">
      <c r="B54" s="17" t="s">
        <v>58</v>
      </c>
      <c r="C54" s="17"/>
      <c r="D54" s="17"/>
      <c r="E54" s="17"/>
      <c r="F54" s="17"/>
    </row>
    <row r="55" spans="2:6" ht="26.76" customHeight="1">
      <c r="B55" s="21" t="s">
        <v>59</v>
      </c>
      <c r="C55" s="21"/>
      <c r="D55" s="21"/>
      <c r="E55" s="21"/>
      <c r="F55" s="21"/>
    </row>
  </sheetData>
  <sheetProtection sheet="1" formatColumns="0" formatRows="0"/>
  <mergeCells count="39">
    <mergeCell ref="A1:F1"/>
    <mergeCell ref="B2:E2"/>
    <mergeCell ref="D4:F4"/>
    <mergeCell ref="D5:F6"/>
    <mergeCell ref="D7:F7"/>
    <mergeCell ref="D8:F8"/>
    <mergeCell ref="B10:F10"/>
    <mergeCell ref="C12:F12"/>
    <mergeCell ref="C13:F13"/>
    <mergeCell ref="C14:F14"/>
    <mergeCell ref="C15:F15"/>
    <mergeCell ref="B17:F17"/>
    <mergeCell ref="D19:F19"/>
    <mergeCell ref="D20:F20"/>
    <mergeCell ref="D21:F21"/>
    <mergeCell ref="D22:F22"/>
    <mergeCell ref="D23:F23"/>
    <mergeCell ref="D24:F24"/>
    <mergeCell ref="B26:F26"/>
    <mergeCell ref="D28:F28"/>
    <mergeCell ref="D29:F29"/>
    <mergeCell ref="D30:F30"/>
    <mergeCell ref="C32:F32"/>
    <mergeCell ref="B34:F34"/>
    <mergeCell ref="E36:F36"/>
    <mergeCell ref="C37:F37"/>
    <mergeCell ref="D38:F38"/>
    <mergeCell ref="D39:F39"/>
    <mergeCell ref="D40:F40"/>
    <mergeCell ref="D41:F41"/>
    <mergeCell ref="B43:F43"/>
    <mergeCell ref="B45:F45"/>
    <mergeCell ref="B47:F47"/>
    <mergeCell ref="C49:F49"/>
    <mergeCell ref="C50:F50"/>
    <mergeCell ref="C51:F51"/>
    <mergeCell ref="C52:F52"/>
    <mergeCell ref="B54:F54"/>
    <mergeCell ref="B55:F55"/>
  </mergeCells>
  <conditionalFormatting sqref="D36">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19" location="'Start Here'!A1" tooltip="Go to Start Here" display="Start Here"/>
    <hyperlink ref="C20" location="Setup!A1" tooltip="Go to Setup" display="Setup"/>
    <hyperlink ref="C21" location="'Item Plan'!A1" tooltip="Go to Item Plan" display="Item Plan"/>
    <hyperlink ref="C22" location="Dashboard!A1" tooltip="Go to Dashboard" display="Dashboard"/>
    <hyperlink ref="C23" location="Method!A1" tooltip="Go to Method" display="Method"/>
    <hyperlink ref="C24" location="Verify!A1" tooltip="Go to Verify" display="Verify"/>
    <hyperlink ref="D38" r:id="rId2"/>
    <hyperlink ref="D39" r:id="rId3"/>
    <hyperlink ref="D40" r:id="rId4"/>
  </hyperlinks>
  <printOptions horizontalCentered="1"/>
  <pageMargins left="0.4" right="0.4" top="0.7" bottom="0.65" header="0.3" footer="0.3"/>
  <pageSetup fitToHeight="0" orientation="portrait"/>
  <headerFooter>
    <oddHeader>&amp;L&amp;8MFG Calcs - Reorder Point and EOQ Planner&amp;R&amp;8&amp;A</oddHeader>
    <oddFooter>&amp;L&amp;8mfgcalcs.com - free manufacturing templates&amp;R&amp;8Page &amp;P of &amp;N</oddFooter>
  </headerFooter>
  <rowBreaks count="1" manualBreakCount="1">
    <brk id="32"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E15"/>
  <sheetViews>
    <sheetView showGridLines="0" workbookViewId="0"/>
  </sheetViews>
  <sheetFormatPr defaultRowHeight="15"/>
  <cols>
    <col min="1" max="1" width="2.7109375" customWidth="1"/>
    <col min="2" max="2" width="36.7109375" customWidth="1"/>
    <col min="3" max="3" width="14.7109375" customWidth="1"/>
    <col min="4" max="4" width="34.7109375" customWidth="1"/>
  </cols>
  <sheetData>
    <row r="1" spans="1:5" ht="30" customHeight="1">
      <c r="A1" s="1" t="s">
        <v>0</v>
      </c>
      <c r="B1" s="1"/>
      <c r="C1" s="1"/>
      <c r="D1" s="1"/>
      <c r="E1" s="1"/>
    </row>
    <row r="2" spans="1:5" ht="32.4" customHeight="1">
      <c r="B2" s="2" t="s">
        <v>18</v>
      </c>
      <c r="C2" s="2"/>
      <c r="D2" s="3" t="s">
        <v>2</v>
      </c>
      <c r="E2" s="3"/>
    </row>
    <row r="3" spans="1:5" ht="6" customHeight="1"/>
    <row r="4" spans="1:5" ht="21" customHeight="1">
      <c r="B4" s="8" t="s">
        <v>60</v>
      </c>
      <c r="C4" s="8"/>
      <c r="D4" s="8"/>
    </row>
    <row r="5" spans="1:5" ht="5" customHeight="1"/>
    <row r="6" spans="1:5">
      <c r="B6" s="27" t="s">
        <v>61</v>
      </c>
      <c r="C6" s="28" t="s">
        <v>62</v>
      </c>
      <c r="D6" s="28"/>
    </row>
    <row r="7" spans="1:5">
      <c r="B7" s="27" t="s">
        <v>63</v>
      </c>
      <c r="C7" s="28" t="s">
        <v>64</v>
      </c>
      <c r="D7" s="28"/>
    </row>
    <row r="8" spans="1:5">
      <c r="B8" s="27" t="s">
        <v>65</v>
      </c>
      <c r="C8" s="29">
        <v>0.24</v>
      </c>
      <c r="D8" s="7" t="s">
        <v>66</v>
      </c>
    </row>
    <row r="9" spans="1:5">
      <c r="B9" s="27" t="s">
        <v>67</v>
      </c>
      <c r="C9" s="30">
        <v>250</v>
      </c>
      <c r="D9" s="7" t="s">
        <v>68</v>
      </c>
    </row>
    <row r="10" spans="1:5">
      <c r="B10" s="27" t="s">
        <v>69</v>
      </c>
      <c r="C10" s="30">
        <v>5</v>
      </c>
      <c r="D10" s="7" t="s">
        <v>70</v>
      </c>
    </row>
    <row r="11" spans="1:5">
      <c r="B11" s="27" t="s">
        <v>71</v>
      </c>
      <c r="C11" s="29">
        <v>0.98</v>
      </c>
      <c r="D11" s="7"/>
    </row>
    <row r="12" spans="1:5">
      <c r="B12" s="27" t="s">
        <v>72</v>
      </c>
      <c r="C12" s="29">
        <v>0.95</v>
      </c>
      <c r="D12" s="7"/>
    </row>
    <row r="13" spans="1:5">
      <c r="B13" s="27" t="s">
        <v>73</v>
      </c>
      <c r="C13" s="29">
        <v>0.9</v>
      </c>
      <c r="D13" s="7"/>
    </row>
    <row r="15" spans="1:5" ht="48.6" customHeight="1">
      <c r="B15" s="25" t="s">
        <v>74</v>
      </c>
      <c r="C15" s="25"/>
      <c r="D15" s="25"/>
    </row>
  </sheetData>
  <mergeCells count="7">
    <mergeCell ref="A1:E1"/>
    <mergeCell ref="B2:C2"/>
    <mergeCell ref="D2:E2"/>
    <mergeCell ref="B4:D4"/>
    <mergeCell ref="C6:D6"/>
    <mergeCell ref="C7:D7"/>
    <mergeCell ref="B15:D15"/>
  </mergeCells>
  <dataValidations count="8">
    <dataValidation type="textLength" allowBlank="1" showInputMessage="1" showErrorMessage="1" errorTitle="Check this entry" error="Text up to 80 characters." promptTitle="Company or site" prompt="Shown on the Dashboard. Text up to 80 characters." sqref="C6">
      <formula1>0</formula1>
      <formula2>80</formula2>
    </dataValidation>
    <dataValidation type="textLength" allowBlank="1" showInputMessage="1" showErrorMessage="1" errorTitle="Check this entry" error="Text up to 12 characters." promptTitle="Currency label" prompt="Text shown with every money value, e.g. USD, INR, GBP, EUR, MXN. No exchange rate is applied. Text up to 12 characters." sqref="C7">
      <formula1>0</formula1>
      <formula2>12</formula2>
    </dataValidation>
    <dataValidation type="decimal" allowBlank="1" showInputMessage="1" showErrorMessage="1" errorTitle="Check this entry" error="Enter a percentage from 0.1% to 200% (type 85% or 0.85)." promptTitle="Carrying-cost rate" prompt="Annual cost of holding one unit as a share of its cost: capital, space, handling, insurance, obsolescence. Build yours with the Inventory Carrying Cost template. Enter a percentage from 0.1% to 200% (type 85% or 0.85)." sqref="C8">
      <formula1>0.001</formula1>
      <formula2>2</formula2>
    </dataValidation>
    <dataValidation type="whole" allowBlank="1" showInputMessage="1" showErrorMessage="1" errorTitle="Check this entry" error="Enter a whole number from 1 to 366." promptTitle="Working days per year" prompt="Days with demand. Daily demand = annual demand / this; lead times are in the same days. Enter a whole number from 1 to 366." sqref="C9">
      <formula1>1</formula1>
      <formula2>366</formula2>
    </dataValidation>
    <dataValidation type="whole" allowBlank="1" showInputMessage="1" showErrorMessage="1" errorTitle="Check this entry" error="Enter a whole number from 0 to 365." promptTitle="Review window" prompt="Items that will reach their reorder point within this many days of demand read Due soon. Enter a whole number from 0 to 365." sqref="C10">
      <formula1>0</formula1>
      <formula2>365</formula2>
    </dataValidation>
    <dataValidation type="decimal" allowBlank="1" showInputMessage="1" showErrorMessage="1" errorTitle="Check this entry" error="Enter a percentage from 50% to 99.99% (type 85% or 0.85)." promptTitle="Cycle service level, A items" prompt="Probability of not running out during one replenishment lead time. Your policy. Enter a percentage from 50% to 99.99% (type 85% or 0.85)." sqref="C11">
      <formula1>0.5</formula1>
      <formula2>0.9999</formula2>
    </dataValidation>
    <dataValidation type="decimal" allowBlank="1" showInputMessage="1" showErrorMessage="1" errorTitle="Check this entry" error="Enter a percentage from 50% to 99.99% (type 85% or 0.85)." promptTitle="Cycle service level, B items" prompt="Probability of not running out during one replenishment lead time. Your policy. Enter a percentage from 50% to 99.99% (type 85% or 0.85)." sqref="C12">
      <formula1>0.5</formula1>
      <formula2>0.9999</formula2>
    </dataValidation>
    <dataValidation type="decimal" allowBlank="1" showInputMessage="1" showErrorMessage="1" errorTitle="Check this entry" error="Enter a percentage from 50% to 99.99% (type 85% or 0.85)." promptTitle="Cycle service level, C items" prompt="Probability of not running out during one replenishment lead time. Your policy. Enter a percentage from 50% to 99.99% (type 85% or 0.85)." sqref="C13">
      <formula1>0.5</formula1>
      <formula2>0.9999</formula2>
    </dataValidation>
  </dataValidations>
  <hyperlinks>
    <hyperlink ref="D2" r:id="rId1" tooltip="Free manufacturing calculators and templates"/>
  </hyperlinks>
  <pageMargins left="0.4" right="0.4" top="0.7" bottom="0.65" header="0.3" footer="0.3"/>
  <pageSetup fitToHeight="0" orientation="portrait"/>
  <headerFooter>
    <oddHeader>&amp;L&amp;8MFG Calcs - Reorder Point and EOQ Planner&amp;R&amp;8&amp;A</oddHeader>
    <oddFooter>&amp;L&amp;8mfgcalcs.com - free manufacturing templates&amp;R&amp;8Page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B64D8"/>
    <pageSetUpPr fitToPage="1"/>
  </sheetPr>
  <dimension ref="A1:AD26"/>
  <sheetViews>
    <sheetView workbookViewId="0">
      <pane xSplit="2" ySplit="6" topLeftCell="C7" activePane="bottomRight" state="frozen"/>
      <selection pane="topRight" activeCell="C1" sqref="C1"/>
      <selection pane="bottomLeft" activeCell="A7" sqref="A7"/>
      <selection pane="bottomRight"/>
    </sheetView>
  </sheetViews>
  <sheetFormatPr defaultRowHeight="15" x14ac:dyDescent="0.25"/>
  <cols>
    <col min="1" max="1" width="2.7109375" customWidth="1"/>
    <col min="2" max="2" width="10.28515625" customWidth="1"/>
    <col min="3" max="3" width="18.7109375" customWidth="1"/>
    <col min="4" max="4" width="6.7109375" customWidth="1"/>
    <col min="5" max="5" width="9.7109375" customWidth="1"/>
    <col min="6" max="6" width="10.28515625" customWidth="1"/>
    <col min="7" max="7" width="8.28515625" customWidth="1"/>
    <col min="8" max="8" width="9.28515625" customWidth="1"/>
    <col min="9" max="9" width="9.7109375" customWidth="1"/>
    <col min="10" max="10" width="8.7109375" customWidth="1"/>
    <col min="11" max="11" width="9.7109375" customWidth="1"/>
    <col min="12" max="14" width="9.28515625" customWidth="1"/>
    <col min="15" max="15" width="8.7109375" customWidth="1"/>
    <col min="16" max="18" width="9.28515625" customWidth="1"/>
    <col min="19" max="19" width="8.7109375" customWidth="1"/>
    <col min="20" max="20" width="8.28515625" customWidth="1"/>
    <col min="21" max="22" width="10.28515625" customWidth="1"/>
    <col min="23" max="25" width="9.7109375" customWidth="1"/>
    <col min="26" max="26" width="9.28515625" customWidth="1"/>
    <col min="27" max="27" width="10.28515625" customWidth="1"/>
    <col min="28" max="28" width="7.7109375" customWidth="1"/>
    <col min="29" max="29" width="14.7109375" customWidth="1"/>
    <col min="30" max="30" width="18.7109375" customWidth="1"/>
  </cols>
  <sheetData>
    <row r="1" spans="1:30" ht="30" customHeight="1" x14ac:dyDescent="0.2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row>
    <row r="2" spans="1:30" ht="21" customHeight="1" x14ac:dyDescent="0.25">
      <c r="B2" s="2" t="s">
        <v>20</v>
      </c>
      <c r="C2" s="2"/>
      <c r="D2" s="2"/>
      <c r="E2" s="2"/>
      <c r="F2" s="2"/>
      <c r="G2" s="2"/>
      <c r="H2" s="2"/>
      <c r="I2" s="2"/>
      <c r="J2" s="2"/>
      <c r="K2" s="2"/>
      <c r="L2" s="2"/>
      <c r="M2" s="2"/>
      <c r="N2" s="2"/>
      <c r="O2" s="2"/>
      <c r="P2" s="2"/>
      <c r="Q2" s="2"/>
      <c r="R2" s="2"/>
      <c r="S2" s="2"/>
      <c r="T2" s="2"/>
      <c r="U2" s="2"/>
      <c r="V2" s="2"/>
      <c r="W2" s="2"/>
      <c r="X2" s="2"/>
      <c r="Y2" s="2"/>
      <c r="Z2" s="2"/>
      <c r="AA2" s="2"/>
      <c r="AB2" s="2"/>
      <c r="AC2" s="2"/>
      <c r="AD2" s="3" t="s">
        <v>2</v>
      </c>
    </row>
    <row r="3" spans="1:30" ht="6" customHeight="1" x14ac:dyDescent="0.25"/>
    <row r="4" spans="1:30" ht="18" customHeight="1" x14ac:dyDescent="0.25">
      <c r="B4" s="31" t="s">
        <v>104</v>
      </c>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row>
    <row r="5" spans="1:30" ht="14" customHeight="1" x14ac:dyDescent="0.25">
      <c r="B5" s="32"/>
      <c r="C5" s="32"/>
      <c r="D5" s="32"/>
      <c r="E5" s="32"/>
      <c r="F5" s="32"/>
      <c r="G5" s="32"/>
      <c r="H5" s="32"/>
      <c r="I5" s="32" t="str">
        <f>Currency&amp;"/unit"</f>
        <v>MXN/unit</v>
      </c>
      <c r="J5" s="32" t="str">
        <f>Currency&amp;"/order"</f>
        <v>MXN/order</v>
      </c>
      <c r="K5" s="32"/>
      <c r="L5" s="32"/>
      <c r="M5" s="32"/>
      <c r="N5" s="32"/>
      <c r="O5" s="32"/>
      <c r="P5" s="32"/>
      <c r="Q5" s="32"/>
      <c r="R5" s="32" t="str">
        <f>Currency&amp;"/unit/year"</f>
        <v>MXN/unit/year</v>
      </c>
      <c r="S5" s="32"/>
      <c r="T5" s="32"/>
      <c r="U5" s="32" t="str">
        <f>Currency&amp;"/year"</f>
        <v>MXN/year</v>
      </c>
      <c r="V5" s="32" t="str">
        <f>Currency&amp;"/year"</f>
        <v>MXN/year</v>
      </c>
      <c r="W5" s="32" t="str">
        <f>Currency&amp;"/year"</f>
        <v>MXN/year</v>
      </c>
      <c r="X5" s="32" t="str">
        <f>Currency</f>
        <v>MXN</v>
      </c>
      <c r="Y5" s="32"/>
      <c r="Z5" s="32"/>
      <c r="AA5" s="32"/>
      <c r="AB5" s="32"/>
      <c r="AC5" s="32"/>
      <c r="AD5" s="32"/>
    </row>
    <row r="6" spans="1:30" ht="45.5" customHeight="1" x14ac:dyDescent="0.25">
      <c r="B6" s="33" t="s">
        <v>75</v>
      </c>
      <c r="C6" s="33" t="s">
        <v>76</v>
      </c>
      <c r="D6" s="33" t="s">
        <v>77</v>
      </c>
      <c r="E6" s="33" t="s">
        <v>78</v>
      </c>
      <c r="F6" s="33" t="s">
        <v>79</v>
      </c>
      <c r="G6" s="33" t="s">
        <v>80</v>
      </c>
      <c r="H6" s="33" t="s">
        <v>81</v>
      </c>
      <c r="I6" s="33" t="s">
        <v>82</v>
      </c>
      <c r="J6" s="33" t="s">
        <v>83</v>
      </c>
      <c r="K6" s="33" t="s">
        <v>84</v>
      </c>
      <c r="L6" s="33" t="s">
        <v>85</v>
      </c>
      <c r="M6" s="33" t="s">
        <v>86</v>
      </c>
      <c r="N6" s="33" t="s">
        <v>87</v>
      </c>
      <c r="O6" s="33" t="s">
        <v>88</v>
      </c>
      <c r="P6" s="33" t="s">
        <v>89</v>
      </c>
      <c r="Q6" s="33" t="s">
        <v>90</v>
      </c>
      <c r="R6" s="33" t="s">
        <v>91</v>
      </c>
      <c r="S6" s="33" t="s">
        <v>92</v>
      </c>
      <c r="T6" s="33" t="s">
        <v>93</v>
      </c>
      <c r="U6" s="33" t="s">
        <v>94</v>
      </c>
      <c r="V6" s="33" t="s">
        <v>95</v>
      </c>
      <c r="W6" s="33" t="s">
        <v>96</v>
      </c>
      <c r="X6" s="33" t="s">
        <v>97</v>
      </c>
      <c r="Y6" s="33" t="s">
        <v>98</v>
      </c>
      <c r="Z6" s="33" t="s">
        <v>99</v>
      </c>
      <c r="AA6" s="33" t="s">
        <v>100</v>
      </c>
      <c r="AB6" s="33" t="s">
        <v>101</v>
      </c>
      <c r="AC6" s="33" t="s">
        <v>102</v>
      </c>
      <c r="AD6" s="33" t="s">
        <v>103</v>
      </c>
    </row>
    <row r="7" spans="1:30" x14ac:dyDescent="0.25">
      <c r="B7" s="28" t="s">
        <v>105</v>
      </c>
      <c r="C7" s="28" t="s">
        <v>106</v>
      </c>
      <c r="D7" s="28" t="s">
        <v>107</v>
      </c>
      <c r="E7" s="30">
        <v>640</v>
      </c>
      <c r="F7" s="34">
        <v>1.3</v>
      </c>
      <c r="G7" s="34">
        <v>35</v>
      </c>
      <c r="H7" s="34">
        <v>6</v>
      </c>
      <c r="I7" s="35">
        <v>6850</v>
      </c>
      <c r="J7" s="30">
        <v>900</v>
      </c>
      <c r="K7" s="30">
        <v>50</v>
      </c>
      <c r="L7" s="30">
        <v>90</v>
      </c>
      <c r="M7" s="30">
        <v>50</v>
      </c>
      <c r="N7" s="36">
        <f>IF(tblItems[[#This Row],[Item]]="","",tblItems[[#This Row],[Annual demand (units)]]/WorkDays)</f>
        <v>2.56</v>
      </c>
      <c r="O7" s="37">
        <f>IF(tblItems[[#This Row],[Item]]="","",_xlfn.NORM.S.INV(IF(tblItems[[#This Row],[Class]]="A",SLA,IF(tblItems[[#This Row],[Class]]="B",SLB,SLC))))</f>
        <v>2.05374891063182</v>
      </c>
      <c r="P7" s="38">
        <f>IF(tblItems[[#This Row],[Item]]="","",tblItems[[#This Row],[Service factor z]]*SQRT(tblItems[[#This Row],[Lead time (days)]]*tblItems[[#This Row],[Demand std dev (units/day)]]^2+tblItems[[#This Row],[Daily demand (units/day)]]^2*tblItems[[#This Row],[Lead time std dev (days)]]^2))</f>
        <v>35.2790546507416</v>
      </c>
      <c r="Q7" s="38">
        <f>IF(tblItems[[#This Row],[Item]]="","",tblItems[[#This Row],[Daily demand (units/day)]]*tblItems[[#This Row],[Lead time (days)]]+tblItems[[#This Row],[Safety stock (units)]])</f>
        <v>124.879054650742</v>
      </c>
      <c r="R7" s="39">
        <f>IF(tblItems[[#This Row],[Item]]="","",tblItems[[#This Row],[Unit cost]]*CarryRate)</f>
        <v>1644</v>
      </c>
      <c r="S7" s="38">
        <f>IF(tblItems[[#This Row],[Item]]="","",IF(tblItems[[#This Row],[Holding cost]]&gt;0,SQRT(2*tblItems[[#This Row],[Annual demand (units)]]*tblItems[[#This Row],[Order cost]]/tblItems[[#This Row],[Holding cost]]),""))</f>
        <v>26.4713038403343</v>
      </c>
      <c r="T7" s="36">
        <f>IF(tblItems[[#This Row],[Item]]="","",IF(AND(ISNUMBER(tblItems[[#This Row],[EOQ (units)]]),tblItems[[#This Row],[EOQ (units)]]&gt;0),tblItems[[#This Row],[Annual demand (units)]]/tblItems[[#This Row],[EOQ (units)]],""))</f>
        <v>24.177124174172</v>
      </c>
      <c r="U7" s="38">
        <f>IF(tblItems[[#This Row],[Item]]="","",IF(AND(ISNUMBER(tblItems[[#This Row],[EOQ (units)]]),tblItems[[#This Row],[EOQ (units)]]&gt;0),tblItems[[#This Row],[Annual demand (units)]]*tblItems[[#This Row],[Order cost]]/tblItems[[#This Row],[EOQ (units)]]+tblItems[[#This Row],[Holding cost]]*tblItems[[#This Row],[EOQ (units)]]/2,""))</f>
        <v>43518.8235135097</v>
      </c>
      <c r="V7" s="38">
        <f>IF(tblItems[[#This Row],[Item]]="","",IF(tblItems[[#This Row],[Current order qty (units)]]&gt;0,tblItems[[#This Row],[Annual demand (units)]]*tblItems[[#This Row],[Order cost]]/tblItems[[#This Row],[Current order qty (units)]]+tblItems[[#This Row],[Holding cost]]*tblItems[[#This Row],[Current order qty (units)]]/2,""))</f>
        <v>52620</v>
      </c>
      <c r="W7" s="38">
        <f>IF(tblItems[[#This Row],[Item]]="","",IF(AND(ISNUMBER(tblItems[[#This Row],[Annual cost at current qty]]),ISNUMBER(tblItems[[#This Row],[Annual cost at EOQ]])),tblItems[[#This Row],[Annual cost at current qty]]-tblItems[[#This Row],[Annual cost at EOQ]],""))</f>
        <v>9101.17648649035</v>
      </c>
      <c r="X7" s="38">
        <f>IF(tblItems[[#This Row],[Item]]="","",tblItems[[#This Row],[Safety stock (units)]]*tblItems[[#This Row],[Unit cost]])</f>
        <v>241661.52435758</v>
      </c>
      <c r="Y7" s="38">
        <f>IF(tblItems[[#This Row],[Item]]="","",tblItems[[#This Row],[On hand (units)]]+tblItems[[#This Row],[On order (units)]])</f>
        <v>140</v>
      </c>
      <c r="Z7" s="40">
        <f>IF(tblItems[[#This Row],[Item]]="","",IF((tblItems[[#This Row],[Daily demand (units/day)]])=0,"",(tblItems[[#This Row],[Inventory position (units)]]-tblItems[[#This Row],[Reorder point (units)]])/(tblItems[[#This Row],[Daily demand (units/day)]])))</f>
        <v>5.90661927705407</v>
      </c>
      <c r="AA7" s="41" t="str">
        <f>IF(tblItems[[#This Row],[Item]]="","",IF(tblItems[[#This Row],[Inventory position (units)]]&lt;=tblItems[[#This Row],[Reorder point (units)]],"Overdue",IF(tblItems[[#This Row],[Cover above ROP (days)]]&lt;=ReviewDays,"Due soon","OK")))</f>
        <v>OK</v>
      </c>
      <c r="AB7" s="38">
        <f>IF(tblItems[[#This Row],[Item]]="","",IFERROR(RANK(tblItems[[#This Row],[Cover above ROP (days)]],tblItems[Cover above ROP (days)],1)+COUNTIFS(tblItems[Cover above ROP (days)],tblItems[[#This Row],[Cover above ROP (days)]],tblItems[Item],"&lt;"&amp;tblItems[[#This Row],[Item]]),""))</f>
        <v>9</v>
      </c>
      <c r="AC7" s="42" t="str">
        <f>IF(tblItems[[#This Row],[Item]]="","",IF(tblItems[[#This Row],[Class]]="","Missing class",IF(tblItems[[#This Row],[Annual demand (units)]]="","Missing annual demand",IF(tblItems[[#This Row],[Demand std dev (units/day)]]="","Missing demand std dev",IF(tblItems[[#This Row],[Lead time (days)]]="","Missing lead time",IF(tblItems[[#This Row],[Lead time std dev (days)]]="","Missing lead time std dev",IF(tblItems[[#This Row],[Unit cost]]="","Missing unit cost",IF(tblItems[[#This Row],[Order cost]]="","Missing order cost",IF(COUNTIF(tblItems[Item],tblItems[[#This Row],[Item]])&gt;1,"Item listed twice",IF(tblItems[[#This Row],[Unit cost]]=0,"Unit cost is 0",IF(tblItems[[#This Row],[Current order qty (units)]]=0,"Current order qty is 0","OK")))))))))))</f>
        <v>OK</v>
      </c>
      <c r="AD7" s="28" t="s">
        <v>108</v>
      </c>
    </row>
    <row r="8" spans="1:30" x14ac:dyDescent="0.25">
      <c r="B8" s="28" t="s">
        <v>109</v>
      </c>
      <c r="C8" s="28" t="s">
        <v>110</v>
      </c>
      <c r="D8" s="28" t="s">
        <v>107</v>
      </c>
      <c r="E8" s="30">
        <v>520</v>
      </c>
      <c r="F8" s="34">
        <v>1.2</v>
      </c>
      <c r="G8" s="34">
        <v>35</v>
      </c>
      <c r="H8" s="34">
        <v>6</v>
      </c>
      <c r="I8" s="35">
        <v>4920</v>
      </c>
      <c r="J8" s="30">
        <v>900</v>
      </c>
      <c r="K8" s="30">
        <v>10</v>
      </c>
      <c r="L8" s="30">
        <v>127</v>
      </c>
      <c r="M8" s="30">
        <v>0</v>
      </c>
      <c r="N8" s="36">
        <f>IF(tblItems[[#This Row],[Item]]="","",tblItems[[#This Row],[Annual demand (units)]]/WorkDays)</f>
        <v>2.08</v>
      </c>
      <c r="O8" s="37">
        <f>IF(tblItems[[#This Row],[Item]]="","",_xlfn.NORM.S.INV(IF(tblItems[[#This Row],[Class]]="A",SLA,IF(tblItems[[#This Row],[Class]]="B",SLB,SLC))))</f>
        <v>2.05374891063182</v>
      </c>
      <c r="P8" s="38">
        <f>IF(tblItems[[#This Row],[Item]]="","",tblItems[[#This Row],[Service factor z]]*SQRT(tblItems[[#This Row],[Lead time (days)]]*tblItems[[#This Row],[Demand std dev (units/day)]]^2+tblItems[[#This Row],[Daily demand (units/day)]]^2*tblItems[[#This Row],[Lead time std dev (days)]]^2))</f>
        <v>29.4876006984941</v>
      </c>
      <c r="Q8" s="38">
        <f>IF(tblItems[[#This Row],[Item]]="","",tblItems[[#This Row],[Daily demand (units/day)]]*tblItems[[#This Row],[Lead time (days)]]+tblItems[[#This Row],[Safety stock (units)]])</f>
        <v>102.287600698494</v>
      </c>
      <c r="R8" s="39">
        <f>IF(tblItems[[#This Row],[Item]]="","",tblItems[[#This Row],[Unit cost]]*CarryRate)</f>
        <v>1180.8</v>
      </c>
      <c r="S8" s="38">
        <f>IF(tblItems[[#This Row],[Item]]="","",IF(tblItems[[#This Row],[Holding cost]]&gt;0,SQRT(2*tblItems[[#This Row],[Annual demand (units)]]*tblItems[[#This Row],[Order cost]]/tblItems[[#This Row],[Holding cost]]),""))</f>
        <v>28.1546253185737</v>
      </c>
      <c r="T8" s="36">
        <f>IF(tblItems[[#This Row],[Item]]="","",IF(AND(ISNUMBER(tblItems[[#This Row],[EOQ (units)]]),tblItems[[#This Row],[EOQ (units)]]&gt;0),tblItems[[#This Row],[Annual demand (units)]]/tblItems[[#This Row],[EOQ (units)]],""))</f>
        <v>18.4694342089843</v>
      </c>
      <c r="U8" s="38">
        <f>IF(tblItems[[#This Row],[Item]]="","",IF(AND(ISNUMBER(tblItems[[#This Row],[EOQ (units)]]),tblItems[[#This Row],[EOQ (units)]]&gt;0),tblItems[[#This Row],[Annual demand (units)]]*tblItems[[#This Row],[Order cost]]/tblItems[[#This Row],[EOQ (units)]]+tblItems[[#This Row],[Holding cost]]*tblItems[[#This Row],[EOQ (units)]]/2,""))</f>
        <v>33244.9815761718</v>
      </c>
      <c r="V8" s="38">
        <f>IF(tblItems[[#This Row],[Item]]="","",IF(tblItems[[#This Row],[Current order qty (units)]]&gt;0,tblItems[[#This Row],[Annual demand (units)]]*tblItems[[#This Row],[Order cost]]/tblItems[[#This Row],[Current order qty (units)]]+tblItems[[#This Row],[Holding cost]]*tblItems[[#This Row],[Current order qty (units)]]/2,""))</f>
        <v>52704</v>
      </c>
      <c r="W8" s="38">
        <f>IF(tblItems[[#This Row],[Item]]="","",IF(AND(ISNUMBER(tblItems[[#This Row],[Annual cost at current qty]]),ISNUMBER(tblItems[[#This Row],[Annual cost at EOQ]])),tblItems[[#This Row],[Annual cost at current qty]]-tblItems[[#This Row],[Annual cost at EOQ]],""))</f>
        <v>19459.0184238282</v>
      </c>
      <c r="X8" s="38">
        <f>IF(tblItems[[#This Row],[Item]]="","",tblItems[[#This Row],[Safety stock (units)]]*tblItems[[#This Row],[Unit cost]])</f>
        <v>145078.995436591</v>
      </c>
      <c r="Y8" s="38">
        <f>IF(tblItems[[#This Row],[Item]]="","",tblItems[[#This Row],[On hand (units)]]+tblItems[[#This Row],[On order (units)]])</f>
        <v>127</v>
      </c>
      <c r="Z8" s="40">
        <f>IF(tblItems[[#This Row],[Item]]="","",IF((tblItems[[#This Row],[Daily demand (units/day)]])=0,"",(tblItems[[#This Row],[Inventory position (units)]]-tblItems[[#This Row],[Reorder point (units)]])/(tblItems[[#This Row],[Daily demand (units/day)]])))</f>
        <v>11.8809612026471</v>
      </c>
      <c r="AA8" s="41" t="str">
        <f>IF(tblItems[[#This Row],[Item]]="","",IF(tblItems[[#This Row],[Inventory position (units)]]&lt;=tblItems[[#This Row],[Reorder point (units)]],"Overdue",IF(tblItems[[#This Row],[Cover above ROP (days)]]&lt;=ReviewDays,"Due soon","OK")))</f>
        <v>OK</v>
      </c>
      <c r="AB8" s="38">
        <f>IF(tblItems[[#This Row],[Item]]="","",IFERROR(RANK(tblItems[[#This Row],[Cover above ROP (days)]],tblItems[Cover above ROP (days)],1)+COUNTIFS(tblItems[Cover above ROP (days)],tblItems[[#This Row],[Cover above ROP (days)]],tblItems[Item],"&lt;"&amp;tblItems[[#This Row],[Item]]),""))</f>
        <v>12</v>
      </c>
      <c r="AC8" s="42" t="str">
        <f>IF(tblItems[[#This Row],[Item]]="","",IF(tblItems[[#This Row],[Class]]="","Missing class",IF(tblItems[[#This Row],[Annual demand (units)]]="","Missing annual demand",IF(tblItems[[#This Row],[Demand std dev (units/day)]]="","Missing demand std dev",IF(tblItems[[#This Row],[Lead time (days)]]="","Missing lead time",IF(tblItems[[#This Row],[Lead time std dev (days)]]="","Missing lead time std dev",IF(tblItems[[#This Row],[Unit cost]]="","Missing unit cost",IF(tblItems[[#This Row],[Order cost]]="","Missing order cost",IF(COUNTIF(tblItems[Item],tblItems[[#This Row],[Item]])&gt;1,"Item listed twice",IF(tblItems[[#This Row],[Unit cost]]=0,"Unit cost is 0",IF(tblItems[[#This Row],[Current order qty (units)]]=0,"Current order qty is 0","OK")))))))))))</f>
        <v>OK</v>
      </c>
      <c r="AD8" s="28" t="s">
        <v>111</v>
      </c>
    </row>
    <row r="9" spans="1:30" x14ac:dyDescent="0.25">
      <c r="B9" s="28" t="s">
        <v>112</v>
      </c>
      <c r="C9" s="28" t="s">
        <v>113</v>
      </c>
      <c r="D9" s="28" t="s">
        <v>107</v>
      </c>
      <c r="E9" s="30">
        <v>460</v>
      </c>
      <c r="F9" s="34">
        <v>1.3</v>
      </c>
      <c r="G9" s="34">
        <v>28</v>
      </c>
      <c r="H9" s="34">
        <v>5</v>
      </c>
      <c r="I9" s="35">
        <v>5480</v>
      </c>
      <c r="J9" s="30">
        <v>900</v>
      </c>
      <c r="K9" s="30">
        <v>10</v>
      </c>
      <c r="L9" s="30">
        <v>130</v>
      </c>
      <c r="M9" s="30">
        <v>0</v>
      </c>
      <c r="N9" s="36">
        <f>IF(tblItems[[#This Row],[Item]]="","",tblItems[[#This Row],[Annual demand (units)]]/WorkDays)</f>
        <v>1.84</v>
      </c>
      <c r="O9" s="37">
        <f>IF(tblItems[[#This Row],[Item]]="","",_xlfn.NORM.S.INV(IF(tblItems[[#This Row],[Class]]="A",SLA,IF(tblItems[[#This Row],[Class]]="B",SLB,SLC))))</f>
        <v>2.05374891063182</v>
      </c>
      <c r="P9" s="38">
        <f>IF(tblItems[[#This Row],[Item]]="","",tblItems[[#This Row],[Service factor z]]*SQRT(tblItems[[#This Row],[Lead time (days)]]*tblItems[[#This Row],[Demand std dev (units/day)]]^2+tblItems[[#This Row],[Daily demand (units/day)]]^2*tblItems[[#This Row],[Lead time std dev (days)]]^2))</f>
        <v>23.5922031659213</v>
      </c>
      <c r="Q9" s="38">
        <f>IF(tblItems[[#This Row],[Item]]="","",tblItems[[#This Row],[Daily demand (units/day)]]*tblItems[[#This Row],[Lead time (days)]]+tblItems[[#This Row],[Safety stock (units)]])</f>
        <v>75.1122031659213</v>
      </c>
      <c r="R9" s="39">
        <f>IF(tblItems[[#This Row],[Item]]="","",tblItems[[#This Row],[Unit cost]]*CarryRate)</f>
        <v>1315.2</v>
      </c>
      <c r="S9" s="38">
        <f>IF(tblItems[[#This Row],[Item]]="","",IF(tblItems[[#This Row],[Holding cost]]&gt;0,SQRT(2*tblItems[[#This Row],[Annual demand (units)]]*tblItems[[#This Row],[Order cost]]/tblItems[[#This Row],[Holding cost]]),""))</f>
        <v>25.0910749828623</v>
      </c>
      <c r="T9" s="36">
        <f>IF(tblItems[[#This Row],[Item]]="","",IF(AND(ISNUMBER(tblItems[[#This Row],[EOQ (units)]]),tblItems[[#This Row],[EOQ (units)]]&gt;0),tblItems[[#This Row],[Annual demand (units)]]/tblItems[[#This Row],[EOQ (units)]],""))</f>
        <v>18.3332121208114</v>
      </c>
      <c r="U9" s="38">
        <f>IF(tblItems[[#This Row],[Item]]="","",IF(AND(ISNUMBER(tblItems[[#This Row],[EOQ (units)]]),tblItems[[#This Row],[EOQ (units)]]&gt;0),tblItems[[#This Row],[Annual demand (units)]]*tblItems[[#This Row],[Order cost]]/tblItems[[#This Row],[EOQ (units)]]+tblItems[[#This Row],[Holding cost]]*tblItems[[#This Row],[EOQ (units)]]/2,""))</f>
        <v>32999.7818174606</v>
      </c>
      <c r="V9" s="38">
        <f>IF(tblItems[[#This Row],[Item]]="","",IF(tblItems[[#This Row],[Current order qty (units)]]&gt;0,tblItems[[#This Row],[Annual demand (units)]]*tblItems[[#This Row],[Order cost]]/tblItems[[#This Row],[Current order qty (units)]]+tblItems[[#This Row],[Holding cost]]*tblItems[[#This Row],[Current order qty (units)]]/2,""))</f>
        <v>47976</v>
      </c>
      <c r="W9" s="38">
        <f>IF(tblItems[[#This Row],[Item]]="","",IF(AND(ISNUMBER(tblItems[[#This Row],[Annual cost at current qty]]),ISNUMBER(tblItems[[#This Row],[Annual cost at EOQ]])),tblItems[[#This Row],[Annual cost at current qty]]-tblItems[[#This Row],[Annual cost at EOQ]],""))</f>
        <v>14976.2181825395</v>
      </c>
      <c r="X9" s="38">
        <f>IF(tblItems[[#This Row],[Item]]="","",tblItems[[#This Row],[Safety stock (units)]]*tblItems[[#This Row],[Unit cost]])</f>
        <v>129285.273349249</v>
      </c>
      <c r="Y9" s="38">
        <f>IF(tblItems[[#This Row],[Item]]="","",tblItems[[#This Row],[On hand (units)]]+tblItems[[#This Row],[On order (units)]])</f>
        <v>130</v>
      </c>
      <c r="Z9" s="40">
        <f>IF(tblItems[[#This Row],[Item]]="","",IF((tblItems[[#This Row],[Daily demand (units/day)]])=0,"",(tblItems[[#This Row],[Inventory position (units)]]-tblItems[[#This Row],[Reorder point (units)]])/(tblItems[[#This Row],[Daily demand (units/day)]])))</f>
        <v>29.8303243663471</v>
      </c>
      <c r="AA9" s="41" t="str">
        <f>IF(tblItems[[#This Row],[Item]]="","",IF(tblItems[[#This Row],[Inventory position (units)]]&lt;=tblItems[[#This Row],[Reorder point (units)]],"Overdue",IF(tblItems[[#This Row],[Cover above ROP (days)]]&lt;=ReviewDays,"Due soon","OK")))</f>
        <v>OK</v>
      </c>
      <c r="AB9" s="38">
        <f>IF(tblItems[[#This Row],[Item]]="","",IFERROR(RANK(tblItems[[#This Row],[Cover above ROP (days)]],tblItems[Cover above ROP (days)],1)+COUNTIFS(tblItems[Cover above ROP (days)],tblItems[[#This Row],[Cover above ROP (days)]],tblItems[Item],"&lt;"&amp;tblItems[[#This Row],[Item]]),""))</f>
        <v>19</v>
      </c>
      <c r="AC9" s="42" t="str">
        <f>IF(tblItems[[#This Row],[Item]]="","",IF(tblItems[[#This Row],[Class]]="","Missing class",IF(tblItems[[#This Row],[Annual demand (units)]]="","Missing annual demand",IF(tblItems[[#This Row],[Demand std dev (units/day)]]="","Missing demand std dev",IF(tblItems[[#This Row],[Lead time (days)]]="","Missing lead time",IF(tblItems[[#This Row],[Lead time std dev (days)]]="","Missing lead time std dev",IF(tblItems[[#This Row],[Unit cost]]="","Missing unit cost",IF(tblItems[[#This Row],[Order cost]]="","Missing order cost",IF(COUNTIF(tblItems[Item],tblItems[[#This Row],[Item]])&gt;1,"Item listed twice",IF(tblItems[[#This Row],[Unit cost]]=0,"Unit cost is 0",IF(tblItems[[#This Row],[Current order qty (units)]]=0,"Current order qty is 0","OK")))))))))))</f>
        <v>OK</v>
      </c>
      <c r="AD9" s="28" t="s">
        <v>114</v>
      </c>
    </row>
    <row r="10" spans="1:30" x14ac:dyDescent="0.25">
      <c r="B10" s="28" t="s">
        <v>115</v>
      </c>
      <c r="C10" s="28" t="s">
        <v>116</v>
      </c>
      <c r="D10" s="28" t="s">
        <v>107</v>
      </c>
      <c r="E10" s="30">
        <v>1150</v>
      </c>
      <c r="F10" s="34">
        <v>1.9</v>
      </c>
      <c r="G10" s="34">
        <v>15</v>
      </c>
      <c r="H10" s="34">
        <v>3</v>
      </c>
      <c r="I10" s="35">
        <v>1850</v>
      </c>
      <c r="J10" s="30">
        <v>650</v>
      </c>
      <c r="K10" s="30">
        <v>70</v>
      </c>
      <c r="L10" s="30">
        <v>110</v>
      </c>
      <c r="M10" s="30">
        <v>0</v>
      </c>
      <c r="N10" s="36">
        <f>IF(tblItems[[#This Row],[Item]]="","",tblItems[[#This Row],[Annual demand (units)]]/WorkDays)</f>
        <v>4.6</v>
      </c>
      <c r="O10" s="37">
        <f>IF(tblItems[[#This Row],[Item]]="","",_xlfn.NORM.S.INV(IF(tblItems[[#This Row],[Class]]="A",SLA,IF(tblItems[[#This Row],[Class]]="B",SLB,SLC))))</f>
        <v>2.05374891063182</v>
      </c>
      <c r="P10" s="38">
        <f>IF(tblItems[[#This Row],[Item]]="","",tblItems[[#This Row],[Service factor z]]*SQRT(tblItems[[#This Row],[Lead time (days)]]*tblItems[[#This Row],[Demand std dev (units/day)]]^2+tblItems[[#This Row],[Daily demand (units/day)]]^2*tblItems[[#This Row],[Lead time std dev (days)]]^2))</f>
        <v>32.1193460605862</v>
      </c>
      <c r="Q10" s="38">
        <f>IF(tblItems[[#This Row],[Item]]="","",tblItems[[#This Row],[Daily demand (units/day)]]*tblItems[[#This Row],[Lead time (days)]]+tblItems[[#This Row],[Safety stock (units)]])</f>
        <v>101.119346060586</v>
      </c>
      <c r="R10" s="39">
        <f>IF(tblItems[[#This Row],[Item]]="","",tblItems[[#This Row],[Unit cost]]*CarryRate)</f>
        <v>444</v>
      </c>
      <c r="S10" s="38">
        <f>IF(tblItems[[#This Row],[Item]]="","",IF(tblItems[[#This Row],[Holding cost]]&gt;0,SQRT(2*tblItems[[#This Row],[Annual demand (units)]]*tblItems[[#This Row],[Order cost]]/tblItems[[#This Row],[Holding cost]]),""))</f>
        <v>58.0268654772694</v>
      </c>
      <c r="T10" s="36">
        <f>IF(tblItems[[#This Row],[Item]]="","",IF(AND(ISNUMBER(tblItems[[#This Row],[EOQ (units)]]),tblItems[[#This Row],[EOQ (units)]]&gt;0),tblItems[[#This Row],[Annual demand (units)]]/tblItems[[#This Row],[EOQ (units)]],""))</f>
        <v>19.8184063630059</v>
      </c>
      <c r="U10" s="38">
        <f>IF(tblItems[[#This Row],[Item]]="","",IF(AND(ISNUMBER(tblItems[[#This Row],[EOQ (units)]]),tblItems[[#This Row],[EOQ (units)]]&gt;0),tblItems[[#This Row],[Annual demand (units)]]*tblItems[[#This Row],[Order cost]]/tblItems[[#This Row],[EOQ (units)]]+tblItems[[#This Row],[Holding cost]]*tblItems[[#This Row],[EOQ (units)]]/2,""))</f>
        <v>25763.9282719076</v>
      </c>
      <c r="V10" s="38">
        <f>IF(tblItems[[#This Row],[Item]]="","",IF(tblItems[[#This Row],[Current order qty (units)]]&gt;0,tblItems[[#This Row],[Annual demand (units)]]*tblItems[[#This Row],[Order cost]]/tblItems[[#This Row],[Current order qty (units)]]+tblItems[[#This Row],[Holding cost]]*tblItems[[#This Row],[Current order qty (units)]]/2,""))</f>
        <v>26218.5714285714</v>
      </c>
      <c r="W10" s="38">
        <f>IF(tblItems[[#This Row],[Item]]="","",IF(AND(ISNUMBER(tblItems[[#This Row],[Annual cost at current qty]]),ISNUMBER(tblItems[[#This Row],[Annual cost at EOQ]])),tblItems[[#This Row],[Annual cost at current qty]]-tblItems[[#This Row],[Annual cost at EOQ]],""))</f>
        <v>454.64315666382</v>
      </c>
      <c r="X10" s="38">
        <f>IF(tblItems[[#This Row],[Item]]="","",tblItems[[#This Row],[Safety stock (units)]]*tblItems[[#This Row],[Unit cost]])</f>
        <v>59420.7902120845</v>
      </c>
      <c r="Y10" s="38">
        <f>IF(tblItems[[#This Row],[Item]]="","",tblItems[[#This Row],[On hand (units)]]+tblItems[[#This Row],[On order (units)]])</f>
        <v>110</v>
      </c>
      <c r="Z10" s="40">
        <f>IF(tblItems[[#This Row],[Item]]="","",IF((tblItems[[#This Row],[Daily demand (units/day)]])=0,"",(tblItems[[#This Row],[Inventory position (units)]]-tblItems[[#This Row],[Reorder point (units)]])/(tblItems[[#This Row],[Daily demand (units/day)]])))</f>
        <v>1.93057694335083</v>
      </c>
      <c r="AA10" s="41" t="str">
        <f>IF(tblItems[[#This Row],[Item]]="","",IF(tblItems[[#This Row],[Inventory position (units)]]&lt;=tblItems[[#This Row],[Reorder point (units)]],"Overdue",IF(tblItems[[#This Row],[Cover above ROP (days)]]&lt;=ReviewDays,"Due soon","OK")))</f>
        <v>Due soon</v>
      </c>
      <c r="AB10" s="38">
        <f>IF(tblItems[[#This Row],[Item]]="","",IFERROR(RANK(tblItems[[#This Row],[Cover above ROP (days)]],tblItems[Cover above ROP (days)],1)+COUNTIFS(tblItems[Cover above ROP (days)],tblItems[[#This Row],[Cover above ROP (days)]],tblItems[Item],"&lt;"&amp;tblItems[[#This Row],[Item]]),""))</f>
        <v>6</v>
      </c>
      <c r="AC10" s="42" t="str">
        <f>IF(tblItems[[#This Row],[Item]]="","",IF(tblItems[[#This Row],[Class]]="","Missing class",IF(tblItems[[#This Row],[Annual demand (units)]]="","Missing annual demand",IF(tblItems[[#This Row],[Demand std dev (units/day)]]="","Missing demand std dev",IF(tblItems[[#This Row],[Lead time (days)]]="","Missing lead time",IF(tblItems[[#This Row],[Lead time std dev (days)]]="","Missing lead time std dev",IF(tblItems[[#This Row],[Unit cost]]="","Missing unit cost",IF(tblItems[[#This Row],[Order cost]]="","Missing order cost",IF(COUNTIF(tblItems[Item],tblItems[[#This Row],[Item]])&gt;1,"Item listed twice",IF(tblItems[[#This Row],[Unit cost]]=0,"Unit cost is 0",IF(tblItems[[#This Row],[Current order qty (units)]]=0,"Current order qty is 0","OK")))))))))))</f>
        <v>OK</v>
      </c>
      <c r="AD10" s="28" t="s">
        <v>111</v>
      </c>
    </row>
    <row r="11" spans="1:30" x14ac:dyDescent="0.25">
      <c r="B11" s="28" t="s">
        <v>117</v>
      </c>
      <c r="C11" s="28" t="s">
        <v>118</v>
      </c>
      <c r="D11" s="28" t="s">
        <v>107</v>
      </c>
      <c r="E11" s="30">
        <v>4200</v>
      </c>
      <c r="F11" s="34">
        <v>6.4</v>
      </c>
      <c r="G11" s="34">
        <v>12</v>
      </c>
      <c r="H11" s="34">
        <v>2</v>
      </c>
      <c r="I11" s="35">
        <v>640</v>
      </c>
      <c r="J11" s="30">
        <v>450</v>
      </c>
      <c r="K11" s="30">
        <v>280</v>
      </c>
      <c r="L11" s="30">
        <v>267</v>
      </c>
      <c r="M11" s="30">
        <v>0</v>
      </c>
      <c r="N11" s="36">
        <f>IF(tblItems[[#This Row],[Item]]="","",tblItems[[#This Row],[Annual demand (units)]]/WorkDays)</f>
        <v>16.8</v>
      </c>
      <c r="O11" s="37">
        <f>IF(tblItems[[#This Row],[Item]]="","",_xlfn.NORM.S.INV(IF(tblItems[[#This Row],[Class]]="A",SLA,IF(tblItems[[#This Row],[Class]]="B",SLB,SLC))))</f>
        <v>2.05374891063182</v>
      </c>
      <c r="P11" s="38">
        <f>IF(tblItems[[#This Row],[Item]]="","",tblItems[[#This Row],[Service factor z]]*SQRT(tblItems[[#This Row],[Lead time (days)]]*tblItems[[#This Row],[Demand std dev (units/day)]]^2+tblItems[[#This Row],[Daily demand (units/day)]]^2*tblItems[[#This Row],[Lead time std dev (days)]]^2))</f>
        <v>82.6740443974701</v>
      </c>
      <c r="Q11" s="38">
        <f>IF(tblItems[[#This Row],[Item]]="","",tblItems[[#This Row],[Daily demand (units/day)]]*tblItems[[#This Row],[Lead time (days)]]+tblItems[[#This Row],[Safety stock (units)]])</f>
        <v>284.27404439747</v>
      </c>
      <c r="R11" s="39">
        <f>IF(tblItems[[#This Row],[Item]]="","",tblItems[[#This Row],[Unit cost]]*CarryRate)</f>
        <v>153.6</v>
      </c>
      <c r="S11" s="38">
        <f>IF(tblItems[[#This Row],[Item]]="","",IF(tblItems[[#This Row],[Holding cost]]&gt;0,SQRT(2*tblItems[[#This Row],[Annual demand (units)]]*tblItems[[#This Row],[Order cost]]/tblItems[[#This Row],[Holding cost]]),""))</f>
        <v>156.873754975139</v>
      </c>
      <c r="T11" s="36">
        <f>IF(tblItems[[#This Row],[Item]]="","",IF(AND(ISNUMBER(tblItems[[#This Row],[EOQ (units)]]),tblItems[[#This Row],[EOQ (units)]]&gt;0),tblItems[[#This Row],[Annual demand (units)]]/tblItems[[#This Row],[EOQ (units)]],""))</f>
        <v>26.7731208490904</v>
      </c>
      <c r="U11" s="38">
        <f>IF(tblItems[[#This Row],[Item]]="","",IF(AND(ISNUMBER(tblItems[[#This Row],[EOQ (units)]]),tblItems[[#This Row],[EOQ (units)]]&gt;0),tblItems[[#This Row],[Annual demand (units)]]*tblItems[[#This Row],[Order cost]]/tblItems[[#This Row],[EOQ (units)]]+tblItems[[#This Row],[Holding cost]]*tblItems[[#This Row],[EOQ (units)]]/2,""))</f>
        <v>24095.8087641814</v>
      </c>
      <c r="V11" s="38">
        <f>IF(tblItems[[#This Row],[Item]]="","",IF(tblItems[[#This Row],[Current order qty (units)]]&gt;0,tblItems[[#This Row],[Annual demand (units)]]*tblItems[[#This Row],[Order cost]]/tblItems[[#This Row],[Current order qty (units)]]+tblItems[[#This Row],[Holding cost]]*tblItems[[#This Row],[Current order qty (units)]]/2,""))</f>
        <v>28254</v>
      </c>
      <c r="W11" s="38">
        <f>IF(tblItems[[#This Row],[Item]]="","",IF(AND(ISNUMBER(tblItems[[#This Row],[Annual cost at current qty]]),ISNUMBER(tblItems[[#This Row],[Annual cost at EOQ]])),tblItems[[#This Row],[Annual cost at current qty]]-tblItems[[#This Row],[Annual cost at EOQ]],""))</f>
        <v>4158.19123581862</v>
      </c>
      <c r="X11" s="38">
        <f>IF(tblItems[[#This Row],[Item]]="","",tblItems[[#This Row],[Safety stock (units)]]*tblItems[[#This Row],[Unit cost]])</f>
        <v>52911.3884143809</v>
      </c>
      <c r="Y11" s="38">
        <f>IF(tblItems[[#This Row],[Item]]="","",tblItems[[#This Row],[On hand (units)]]+tblItems[[#This Row],[On order (units)]])</f>
        <v>267</v>
      </c>
      <c r="Z11" s="40">
        <f>IF(tblItems[[#This Row],[Item]]="","",IF((tblItems[[#This Row],[Daily demand (units/day)]])=0,"",(tblItems[[#This Row],[Inventory position (units)]]-tblItems[[#This Row],[Reorder point (units)]])/(tblItems[[#This Row],[Daily demand (units/day)]])))</f>
        <v>-1.02821692842084</v>
      </c>
      <c r="AA11" s="41" t="str">
        <f>IF(tblItems[[#This Row],[Item]]="","",IF(tblItems[[#This Row],[Inventory position (units)]]&lt;=tblItems[[#This Row],[Reorder point (units)]],"Overdue",IF(tblItems[[#This Row],[Cover above ROP (days)]]&lt;=ReviewDays,"Due soon","OK")))</f>
        <v>Overdue</v>
      </c>
      <c r="AB11" s="38">
        <f>IF(tblItems[[#This Row],[Item]]="","",IFERROR(RANK(tblItems[[#This Row],[Cover above ROP (days)]],tblItems[Cover above ROP (days)],1)+COUNTIFS(tblItems[Cover above ROP (days)],tblItems[[#This Row],[Cover above ROP (days)]],tblItems[Item],"&lt;"&amp;tblItems[[#This Row],[Item]]),""))</f>
        <v>4</v>
      </c>
      <c r="AC11" s="42" t="str">
        <f>IF(tblItems[[#This Row],[Item]]="","",IF(tblItems[[#This Row],[Class]]="","Missing class",IF(tblItems[[#This Row],[Annual demand (units)]]="","Missing annual demand",IF(tblItems[[#This Row],[Demand std dev (units/day)]]="","Missing demand std dev",IF(tblItems[[#This Row],[Lead time (days)]]="","Missing lead time",IF(tblItems[[#This Row],[Lead time std dev (days)]]="","Missing lead time std dev",IF(tblItems[[#This Row],[Unit cost]]="","Missing unit cost",IF(tblItems[[#This Row],[Order cost]]="","Missing order cost",IF(COUNTIF(tblItems[Item],tblItems[[#This Row],[Item]])&gt;1,"Item listed twice",IF(tblItems[[#This Row],[Unit cost]]=0,"Unit cost is 0",IF(tblItems[[#This Row],[Current order qty (units)]]=0,"Current order qty is 0","OK")))))))))))</f>
        <v>OK</v>
      </c>
      <c r="AD11" s="28" t="s">
        <v>111</v>
      </c>
    </row>
    <row r="12" spans="1:30" x14ac:dyDescent="0.25">
      <c r="B12" s="28" t="s">
        <v>119</v>
      </c>
      <c r="C12" s="28" t="s">
        <v>120</v>
      </c>
      <c r="D12" s="28" t="s">
        <v>121</v>
      </c>
      <c r="E12" s="30">
        <v>5600</v>
      </c>
      <c r="F12" s="34">
        <v>9.4</v>
      </c>
      <c r="G12" s="34">
        <v>12</v>
      </c>
      <c r="H12" s="34">
        <v>2</v>
      </c>
      <c r="I12" s="35">
        <v>385</v>
      </c>
      <c r="J12" s="30">
        <v>450</v>
      </c>
      <c r="K12" s="30">
        <v>600</v>
      </c>
      <c r="L12" s="30">
        <v>763</v>
      </c>
      <c r="M12" s="30">
        <v>0</v>
      </c>
      <c r="N12" s="36">
        <f>IF(tblItems[[#This Row],[Item]]="","",tblItems[[#This Row],[Annual demand (units)]]/WorkDays)</f>
        <v>22.4</v>
      </c>
      <c r="O12" s="37">
        <f>IF(tblItems[[#This Row],[Item]]="","",_xlfn.NORM.S.INV(IF(tblItems[[#This Row],[Class]]="A",SLA,IF(tblItems[[#This Row],[Class]]="B",SLB,SLC))))</f>
        <v>1.64485362695147</v>
      </c>
      <c r="P12" s="38">
        <f>IF(tblItems[[#This Row],[Item]]="","",tblItems[[#This Row],[Service factor z]]*SQRT(tblItems[[#This Row],[Lead time (days)]]*tblItems[[#This Row],[Demand std dev (units/day)]]^2+tblItems[[#This Row],[Daily demand (units/day)]]^2*tblItems[[#This Row],[Lead time std dev (days)]]^2))</f>
        <v>91.0981655652522</v>
      </c>
      <c r="Q12" s="38">
        <f>IF(tblItems[[#This Row],[Item]]="","",tblItems[[#This Row],[Daily demand (units/day)]]*tblItems[[#This Row],[Lead time (days)]]+tblItems[[#This Row],[Safety stock (units)]])</f>
        <v>359.898165565252</v>
      </c>
      <c r="R12" s="39">
        <f>IF(tblItems[[#This Row],[Item]]="","",tblItems[[#This Row],[Unit cost]]*CarryRate)</f>
        <v>92.4</v>
      </c>
      <c r="S12" s="38">
        <f>IF(tblItems[[#This Row],[Item]]="","",IF(tblItems[[#This Row],[Holding cost]]&gt;0,SQRT(2*tblItems[[#This Row],[Annual demand (units)]]*tblItems[[#This Row],[Order cost]]/tblItems[[#This Row],[Holding cost]]),""))</f>
        <v>233.549683248457</v>
      </c>
      <c r="T12" s="36">
        <f>IF(tblItems[[#This Row],[Item]]="","",IF(AND(ISNUMBER(tblItems[[#This Row],[EOQ (units)]]),tblItems[[#This Row],[EOQ (units)]]&gt;0),tblItems[[#This Row],[Annual demand (units)]]/tblItems[[#This Row],[EOQ (units)]],""))</f>
        <v>23.9777674801749</v>
      </c>
      <c r="U12" s="38">
        <f>IF(tblItems[[#This Row],[Item]]="","",IF(AND(ISNUMBER(tblItems[[#This Row],[EOQ (units)]]),tblItems[[#This Row],[EOQ (units)]]&gt;0),tblItems[[#This Row],[Annual demand (units)]]*tblItems[[#This Row],[Order cost]]/tblItems[[#This Row],[EOQ (units)]]+tblItems[[#This Row],[Holding cost]]*tblItems[[#This Row],[EOQ (units)]]/2,""))</f>
        <v>21579.9907321574</v>
      </c>
      <c r="V12" s="38">
        <f>IF(tblItems[[#This Row],[Item]]="","",IF(tblItems[[#This Row],[Current order qty (units)]]&gt;0,tblItems[[#This Row],[Annual demand (units)]]*tblItems[[#This Row],[Order cost]]/tblItems[[#This Row],[Current order qty (units)]]+tblItems[[#This Row],[Holding cost]]*tblItems[[#This Row],[Current order qty (units)]]/2,""))</f>
        <v>31920</v>
      </c>
      <c r="W12" s="38">
        <f>IF(tblItems[[#This Row],[Item]]="","",IF(AND(ISNUMBER(tblItems[[#This Row],[Annual cost at current qty]]),ISNUMBER(tblItems[[#This Row],[Annual cost at EOQ]])),tblItems[[#This Row],[Annual cost at current qty]]-tblItems[[#This Row],[Annual cost at EOQ]],""))</f>
        <v>10340.0092678426</v>
      </c>
      <c r="X12" s="38">
        <f>IF(tblItems[[#This Row],[Item]]="","",tblItems[[#This Row],[Safety stock (units)]]*tblItems[[#This Row],[Unit cost]])</f>
        <v>35072.7937426221</v>
      </c>
      <c r="Y12" s="38">
        <f>IF(tblItems[[#This Row],[Item]]="","",tblItems[[#This Row],[On hand (units)]]+tblItems[[#This Row],[On order (units)]])</f>
        <v>763</v>
      </c>
      <c r="Z12" s="40">
        <f>IF(tblItems[[#This Row],[Item]]="","",IF((tblItems[[#This Row],[Daily demand (units/day)]])=0,"",(tblItems[[#This Row],[Inventory position (units)]]-tblItems[[#This Row],[Reorder point (units)]])/(tblItems[[#This Row],[Daily demand (units/day)]])))</f>
        <v>17.9956176086941</v>
      </c>
      <c r="AA12" s="41" t="str">
        <f>IF(tblItems[[#This Row],[Item]]="","",IF(tblItems[[#This Row],[Inventory position (units)]]&lt;=tblItems[[#This Row],[Reorder point (units)]],"Overdue",IF(tblItems[[#This Row],[Cover above ROP (days)]]&lt;=ReviewDays,"Due soon","OK")))</f>
        <v>OK</v>
      </c>
      <c r="AB12" s="38">
        <f>IF(tblItems[[#This Row],[Item]]="","",IFERROR(RANK(tblItems[[#This Row],[Cover above ROP (days)]],tblItems[Cover above ROP (days)],1)+COUNTIFS(tblItems[Cover above ROP (days)],tblItems[[#This Row],[Cover above ROP (days)]],tblItems[Item],"&lt;"&amp;tblItems[[#This Row],[Item]]),""))</f>
        <v>15</v>
      </c>
      <c r="AC12" s="42" t="str">
        <f>IF(tblItems[[#This Row],[Item]]="","",IF(tblItems[[#This Row],[Class]]="","Missing class",IF(tblItems[[#This Row],[Annual demand (units)]]="","Missing annual demand",IF(tblItems[[#This Row],[Demand std dev (units/day)]]="","Missing demand std dev",IF(tblItems[[#This Row],[Lead time (days)]]="","Missing lead time",IF(tblItems[[#This Row],[Lead time std dev (days)]]="","Missing lead time std dev",IF(tblItems[[#This Row],[Unit cost]]="","Missing unit cost",IF(tblItems[[#This Row],[Order cost]]="","Missing order cost",IF(COUNTIF(tblItems[Item],tblItems[[#This Row],[Item]])&gt;1,"Item listed twice",IF(tblItems[[#This Row],[Unit cost]]=0,"Unit cost is 0",IF(tblItems[[#This Row],[Current order qty (units)]]=0,"Current order qty is 0","OK")))))))))))</f>
        <v>OK</v>
      </c>
      <c r="AD12" s="28" t="s">
        <v>111</v>
      </c>
    </row>
    <row r="13" spans="1:30" x14ac:dyDescent="0.25">
      <c r="B13" s="28" t="s">
        <v>122</v>
      </c>
      <c r="C13" s="28" t="s">
        <v>123</v>
      </c>
      <c r="D13" s="28" t="s">
        <v>121</v>
      </c>
      <c r="E13" s="30">
        <v>1300</v>
      </c>
      <c r="F13" s="34">
        <v>2.7</v>
      </c>
      <c r="G13" s="34">
        <v>20</v>
      </c>
      <c r="H13" s="34">
        <v>4</v>
      </c>
      <c r="I13" s="35">
        <v>960</v>
      </c>
      <c r="J13" s="30">
        <v>450</v>
      </c>
      <c r="K13" s="30">
        <v>210</v>
      </c>
      <c r="L13" s="30">
        <v>159</v>
      </c>
      <c r="M13" s="30">
        <v>0</v>
      </c>
      <c r="N13" s="36">
        <f>IF(tblItems[[#This Row],[Item]]="","",tblItems[[#This Row],[Annual demand (units)]]/WorkDays)</f>
        <v>5.2</v>
      </c>
      <c r="O13" s="37">
        <f>IF(tblItems[[#This Row],[Item]]="","",_xlfn.NORM.S.INV(IF(tblItems[[#This Row],[Class]]="A",SLA,IF(tblItems[[#This Row],[Class]]="B",SLB,SLC))))</f>
        <v>1.64485362695147</v>
      </c>
      <c r="P13" s="38">
        <f>IF(tblItems[[#This Row],[Item]]="","",tblItems[[#This Row],[Service factor z]]*SQRT(tblItems[[#This Row],[Lead time (days)]]*tblItems[[#This Row],[Demand std dev (units/day)]]^2+tblItems[[#This Row],[Daily demand (units/day)]]^2*tblItems[[#This Row],[Lead time std dev (days)]]^2))</f>
        <v>39.5600120776896</v>
      </c>
      <c r="Q13" s="38">
        <f>IF(tblItems[[#This Row],[Item]]="","",tblItems[[#This Row],[Daily demand (units/day)]]*tblItems[[#This Row],[Lead time (days)]]+tblItems[[#This Row],[Safety stock (units)]])</f>
        <v>143.56001207769</v>
      </c>
      <c r="R13" s="39">
        <f>IF(tblItems[[#This Row],[Item]]="","",tblItems[[#This Row],[Unit cost]]*CarryRate)</f>
        <v>230.4</v>
      </c>
      <c r="S13" s="38">
        <f>IF(tblItems[[#This Row],[Item]]="","",IF(tblItems[[#This Row],[Holding cost]]&gt;0,SQRT(2*tblItems[[#This Row],[Annual demand (units)]]*tblItems[[#This Row],[Order cost]]/tblItems[[#This Row],[Holding cost]]),""))</f>
        <v>71.2609640686961</v>
      </c>
      <c r="T13" s="36">
        <f>IF(tblItems[[#This Row],[Item]]="","",IF(AND(ISNUMBER(tblItems[[#This Row],[EOQ (units)]]),tblItems[[#This Row],[EOQ (units)]]&gt;0),tblItems[[#This Row],[Annual demand (units)]]/tblItems[[#This Row],[EOQ (units)]],""))</f>
        <v>18.2428068015862</v>
      </c>
      <c r="U13" s="38">
        <f>IF(tblItems[[#This Row],[Item]]="","",IF(AND(ISNUMBER(tblItems[[#This Row],[EOQ (units)]]),tblItems[[#This Row],[EOQ (units)]]&gt;0),tblItems[[#This Row],[Annual demand (units)]]*tblItems[[#This Row],[Order cost]]/tblItems[[#This Row],[EOQ (units)]]+tblItems[[#This Row],[Holding cost]]*tblItems[[#This Row],[EOQ (units)]]/2,""))</f>
        <v>16418.5261214276</v>
      </c>
      <c r="V13" s="38">
        <f>IF(tblItems[[#This Row],[Item]]="","",IF(tblItems[[#This Row],[Current order qty (units)]]&gt;0,tblItems[[#This Row],[Annual demand (units)]]*tblItems[[#This Row],[Order cost]]/tblItems[[#This Row],[Current order qty (units)]]+tblItems[[#This Row],[Holding cost]]*tblItems[[#This Row],[Current order qty (units)]]/2,""))</f>
        <v>26977.7142857143</v>
      </c>
      <c r="W13" s="38">
        <f>IF(tblItems[[#This Row],[Item]]="","",IF(AND(ISNUMBER(tblItems[[#This Row],[Annual cost at current qty]]),ISNUMBER(tblItems[[#This Row],[Annual cost at EOQ]])),tblItems[[#This Row],[Annual cost at current qty]]-tblItems[[#This Row],[Annual cost at EOQ]],""))</f>
        <v>10559.1881642867</v>
      </c>
      <c r="X13" s="38">
        <f>IF(tblItems[[#This Row],[Item]]="","",tblItems[[#This Row],[Safety stock (units)]]*tblItems[[#This Row],[Unit cost]])</f>
        <v>37977.6115945821</v>
      </c>
      <c r="Y13" s="38">
        <f>IF(tblItems[[#This Row],[Item]]="","",tblItems[[#This Row],[On hand (units)]]+tblItems[[#This Row],[On order (units)]])</f>
        <v>159</v>
      </c>
      <c r="Z13" s="40">
        <f>IF(tblItems[[#This Row],[Item]]="","",IF((tblItems[[#This Row],[Daily demand (units/day)]])=0,"",(tblItems[[#This Row],[Inventory position (units)]]-tblItems[[#This Row],[Reorder point (units)]])/(tblItems[[#This Row],[Daily demand (units/day)]])))</f>
        <v>2.96922844659815</v>
      </c>
      <c r="AA13" s="41" t="str">
        <f>IF(tblItems[[#This Row],[Item]]="","",IF(tblItems[[#This Row],[Inventory position (units)]]&lt;=tblItems[[#This Row],[Reorder point (units)]],"Overdue",IF(tblItems[[#This Row],[Cover above ROP (days)]]&lt;=ReviewDays,"Due soon","OK")))</f>
        <v>Due soon</v>
      </c>
      <c r="AB13" s="38">
        <f>IF(tblItems[[#This Row],[Item]]="","",IFERROR(RANK(tblItems[[#This Row],[Cover above ROP (days)]],tblItems[Cover above ROP (days)],1)+COUNTIFS(tblItems[Cover above ROP (days)],tblItems[[#This Row],[Cover above ROP (days)]],tblItems[Item],"&lt;"&amp;tblItems[[#This Row],[Item]]),""))</f>
        <v>7</v>
      </c>
      <c r="AC13" s="42" t="str">
        <f>IF(tblItems[[#This Row],[Item]]="","",IF(tblItems[[#This Row],[Class]]="","Missing class",IF(tblItems[[#This Row],[Annual demand (units)]]="","Missing annual demand",IF(tblItems[[#This Row],[Demand std dev (units/day)]]="","Missing demand std dev",IF(tblItems[[#This Row],[Lead time (days)]]="","Missing lead time",IF(tblItems[[#This Row],[Lead time std dev (days)]]="","Missing lead time std dev",IF(tblItems[[#This Row],[Unit cost]]="","Missing unit cost",IF(tblItems[[#This Row],[Order cost]]="","Missing order cost",IF(COUNTIF(tblItems[Item],tblItems[[#This Row],[Item]])&gt;1,"Item listed twice",IF(tblItems[[#This Row],[Unit cost]]=0,"Unit cost is 0",IF(tblItems[[#This Row],[Current order qty (units)]]=0,"Current order qty is 0","OK")))))))))))</f>
        <v>OK</v>
      </c>
      <c r="AD13" s="28" t="s">
        <v>111</v>
      </c>
    </row>
    <row r="14" spans="1:30" x14ac:dyDescent="0.25">
      <c r="B14" s="28" t="s">
        <v>124</v>
      </c>
      <c r="C14" s="28" t="s">
        <v>125</v>
      </c>
      <c r="D14" s="28" t="s">
        <v>121</v>
      </c>
      <c r="E14" s="30">
        <v>14800</v>
      </c>
      <c r="F14" s="34">
        <v>21.6</v>
      </c>
      <c r="G14" s="34">
        <v>10</v>
      </c>
      <c r="H14" s="34">
        <v>2</v>
      </c>
      <c r="I14" s="35">
        <v>92.5</v>
      </c>
      <c r="J14" s="30">
        <v>450</v>
      </c>
      <c r="K14" s="30">
        <v>1950</v>
      </c>
      <c r="L14" s="30">
        <v>2297</v>
      </c>
      <c r="M14" s="30">
        <v>0</v>
      </c>
      <c r="N14" s="36">
        <f>IF(tblItems[[#This Row],[Item]]="","",tblItems[[#This Row],[Annual demand (units)]]/WorkDays)</f>
        <v>59.2</v>
      </c>
      <c r="O14" s="37">
        <f>IF(tblItems[[#This Row],[Item]]="","",_xlfn.NORM.S.INV(IF(tblItems[[#This Row],[Class]]="A",SLA,IF(tblItems[[#This Row],[Class]]="B",SLB,SLC))))</f>
        <v>1.64485362695147</v>
      </c>
      <c r="P14" s="38">
        <f>IF(tblItems[[#This Row],[Item]]="","",tblItems[[#This Row],[Service factor z]]*SQRT(tblItems[[#This Row],[Lead time (days)]]*tblItems[[#This Row],[Demand std dev (units/day)]]^2+tblItems[[#This Row],[Daily demand (units/day)]]^2*tblItems[[#This Row],[Lead time std dev (days)]]^2))</f>
        <v>224.835065733242</v>
      </c>
      <c r="Q14" s="38">
        <f>IF(tblItems[[#This Row],[Item]]="","",tblItems[[#This Row],[Daily demand (units/day)]]*tblItems[[#This Row],[Lead time (days)]]+tblItems[[#This Row],[Safety stock (units)]])</f>
        <v>816.835065733242</v>
      </c>
      <c r="R14" s="39">
        <f>IF(tblItems[[#This Row],[Item]]="","",tblItems[[#This Row],[Unit cost]]*CarryRate)</f>
        <v>22.2</v>
      </c>
      <c r="S14" s="38">
        <f>IF(tblItems[[#This Row],[Item]]="","",IF(tblItems[[#This Row],[Holding cost]]&gt;0,SQRT(2*tblItems[[#This Row],[Annual demand (units)]]*tblItems[[#This Row],[Order cost]]/tblItems[[#This Row],[Holding cost]]),""))</f>
        <v>774.596669241483</v>
      </c>
      <c r="T14" s="36">
        <f>IF(tblItems[[#This Row],[Item]]="","",IF(AND(ISNUMBER(tblItems[[#This Row],[EOQ (units)]]),tblItems[[#This Row],[EOQ (units)]]&gt;0),tblItems[[#This Row],[Annual demand (units)]]/tblItems[[#This Row],[EOQ (units)]],""))</f>
        <v>19.1067178412899</v>
      </c>
      <c r="U14" s="38">
        <f>IF(tblItems[[#This Row],[Item]]="","",IF(AND(ISNUMBER(tblItems[[#This Row],[EOQ (units)]]),tblItems[[#This Row],[EOQ (units)]]&gt;0),tblItems[[#This Row],[Annual demand (units)]]*tblItems[[#This Row],[Order cost]]/tblItems[[#This Row],[EOQ (units)]]+tblItems[[#This Row],[Holding cost]]*tblItems[[#This Row],[EOQ (units)]]/2,""))</f>
        <v>17196.0460571609</v>
      </c>
      <c r="V14" s="38">
        <f>IF(tblItems[[#This Row],[Item]]="","",IF(tblItems[[#This Row],[Current order qty (units)]]&gt;0,tblItems[[#This Row],[Annual demand (units)]]*tblItems[[#This Row],[Order cost]]/tblItems[[#This Row],[Current order qty (units)]]+tblItems[[#This Row],[Holding cost]]*tblItems[[#This Row],[Current order qty (units)]]/2,""))</f>
        <v>25060.3846153846</v>
      </c>
      <c r="W14" s="38">
        <f>IF(tblItems[[#This Row],[Item]]="","",IF(AND(ISNUMBER(tblItems[[#This Row],[Annual cost at current qty]]),ISNUMBER(tblItems[[#This Row],[Annual cost at EOQ]])),tblItems[[#This Row],[Annual cost at current qty]]-tblItems[[#This Row],[Annual cost at EOQ]],""))</f>
        <v>7864.33855822369</v>
      </c>
      <c r="X14" s="38">
        <f>IF(tblItems[[#This Row],[Item]]="","",tblItems[[#This Row],[Safety stock (units)]]*tblItems[[#This Row],[Unit cost]])</f>
        <v>20797.2435803249</v>
      </c>
      <c r="Y14" s="38">
        <f>IF(tblItems[[#This Row],[Item]]="","",tblItems[[#This Row],[On hand (units)]]+tblItems[[#This Row],[On order (units)]])</f>
        <v>2297</v>
      </c>
      <c r="Z14" s="40">
        <f>IF(tblItems[[#This Row],[Item]]="","",IF((tblItems[[#This Row],[Daily demand (units/day)]])=0,"",(tblItems[[#This Row],[Inventory position (units)]]-tblItems[[#This Row],[Reorder point (units)]])/(tblItems[[#This Row],[Daily demand (units/day)]])))</f>
        <v>25.0027860518033</v>
      </c>
      <c r="AA14" s="41" t="str">
        <f>IF(tblItems[[#This Row],[Item]]="","",IF(tblItems[[#This Row],[Inventory position (units)]]&lt;=tblItems[[#This Row],[Reorder point (units)]],"Overdue",IF(tblItems[[#This Row],[Cover above ROP (days)]]&lt;=ReviewDays,"Due soon","OK")))</f>
        <v>OK</v>
      </c>
      <c r="AB14" s="38">
        <f>IF(tblItems[[#This Row],[Item]]="","",IFERROR(RANK(tblItems[[#This Row],[Cover above ROP (days)]],tblItems[Cover above ROP (days)],1)+COUNTIFS(tblItems[Cover above ROP (days)],tblItems[[#This Row],[Cover above ROP (days)]],tblItems[Item],"&lt;"&amp;tblItems[[#This Row],[Item]]),""))</f>
        <v>17</v>
      </c>
      <c r="AC14" s="42" t="str">
        <f>IF(tblItems[[#This Row],[Item]]="","",IF(tblItems[[#This Row],[Class]]="","Missing class",IF(tblItems[[#This Row],[Annual demand (units)]]="","Missing annual demand",IF(tblItems[[#This Row],[Demand std dev (units/day)]]="","Missing demand std dev",IF(tblItems[[#This Row],[Lead time (days)]]="","Missing lead time",IF(tblItems[[#This Row],[Lead time std dev (days)]]="","Missing lead time std dev",IF(tblItems[[#This Row],[Unit cost]]="","Missing unit cost",IF(tblItems[[#This Row],[Order cost]]="","Missing order cost",IF(COUNTIF(tblItems[Item],tblItems[[#This Row],[Item]])&gt;1,"Item listed twice",IF(tblItems[[#This Row],[Unit cost]]=0,"Unit cost is 0",IF(tblItems[[#This Row],[Current order qty (units)]]=0,"Current order qty is 0","OK")))))))))))</f>
        <v>OK</v>
      </c>
      <c r="AD14" s="28" t="s">
        <v>111</v>
      </c>
    </row>
    <row r="15" spans="1:30" x14ac:dyDescent="0.25">
      <c r="B15" s="28" t="s">
        <v>126</v>
      </c>
      <c r="C15" s="28" t="s">
        <v>127</v>
      </c>
      <c r="D15" s="28" t="s">
        <v>121</v>
      </c>
      <c r="E15" s="30">
        <v>96000</v>
      </c>
      <c r="F15" s="34">
        <v>109</v>
      </c>
      <c r="G15" s="34">
        <v>8</v>
      </c>
      <c r="H15" s="34">
        <v>1</v>
      </c>
      <c r="I15" s="35">
        <v>14.8</v>
      </c>
      <c r="J15" s="30">
        <v>450</v>
      </c>
      <c r="K15" s="30">
        <v>2000</v>
      </c>
      <c r="L15" s="30">
        <v>7338</v>
      </c>
      <c r="M15" s="30">
        <v>0</v>
      </c>
      <c r="N15" s="36">
        <f>IF(tblItems[[#This Row],[Item]]="","",tblItems[[#This Row],[Annual demand (units)]]/WorkDays)</f>
        <v>384</v>
      </c>
      <c r="O15" s="37">
        <f>IF(tblItems[[#This Row],[Item]]="","",_xlfn.NORM.S.INV(IF(tblItems[[#This Row],[Class]]="A",SLA,IF(tblItems[[#This Row],[Class]]="B",SLB,SLC))))</f>
        <v>1.64485362695147</v>
      </c>
      <c r="P15" s="38">
        <f>IF(tblItems[[#This Row],[Item]]="","",tblItems[[#This Row],[Service factor z]]*SQRT(tblItems[[#This Row],[Lead time (days)]]*tblItems[[#This Row],[Demand std dev (units/day)]]^2+tblItems[[#This Row],[Daily demand (units/day)]]^2*tblItems[[#This Row],[Lead time std dev (days)]]^2))</f>
        <v>810.003154186423</v>
      </c>
      <c r="Q15" s="38">
        <f>IF(tblItems[[#This Row],[Item]]="","",tblItems[[#This Row],[Daily demand (units/day)]]*tblItems[[#This Row],[Lead time (days)]]+tblItems[[#This Row],[Safety stock (units)]])</f>
        <v>3882.00315418642</v>
      </c>
      <c r="R15" s="39">
        <f>IF(tblItems[[#This Row],[Item]]="","",tblItems[[#This Row],[Unit cost]]*CarryRate)</f>
        <v>3.552</v>
      </c>
      <c r="S15" s="38">
        <f>IF(tblItems[[#This Row],[Item]]="","",IF(tblItems[[#This Row],[Holding cost]]&gt;0,SQRT(2*tblItems[[#This Row],[Annual demand (units)]]*tblItems[[#This Row],[Order cost]]/tblItems[[#This Row],[Holding cost]]),""))</f>
        <v>4931.96961916072</v>
      </c>
      <c r="T15" s="36">
        <f>IF(tblItems[[#This Row],[Item]]="","",IF(AND(ISNUMBER(tblItems[[#This Row],[EOQ (units)]]),tblItems[[#This Row],[EOQ (units)]]&gt;0),tblItems[[#This Row],[Annual demand (units)]]/tblItems[[#This Row],[EOQ (units)]],""))</f>
        <v>19.4648400969543</v>
      </c>
      <c r="U15" s="38">
        <f>IF(tblItems[[#This Row],[Item]]="","",IF(AND(ISNUMBER(tblItems[[#This Row],[EOQ (units)]]),tblItems[[#This Row],[EOQ (units)]]&gt;0),tblItems[[#This Row],[Annual demand (units)]]*tblItems[[#This Row],[Order cost]]/tblItems[[#This Row],[EOQ (units)]]+tblItems[[#This Row],[Holding cost]]*tblItems[[#This Row],[EOQ (units)]]/2,""))</f>
        <v>17518.3560872589</v>
      </c>
      <c r="V15" s="38">
        <f>IF(tblItems[[#This Row],[Item]]="","",IF(tblItems[[#This Row],[Current order qty (units)]]&gt;0,tblItems[[#This Row],[Annual demand (units)]]*tblItems[[#This Row],[Order cost]]/tblItems[[#This Row],[Current order qty (units)]]+tblItems[[#This Row],[Holding cost]]*tblItems[[#This Row],[Current order qty (units)]]/2,""))</f>
        <v>25152</v>
      </c>
      <c r="W15" s="38">
        <f>IF(tblItems[[#This Row],[Item]]="","",IF(AND(ISNUMBER(tblItems[[#This Row],[Annual cost at current qty]]),ISNUMBER(tblItems[[#This Row],[Annual cost at EOQ]])),tblItems[[#This Row],[Annual cost at current qty]]-tblItems[[#This Row],[Annual cost at EOQ]],""))</f>
        <v>7633.64391274113</v>
      </c>
      <c r="X15" s="38">
        <f>IF(tblItems[[#This Row],[Item]]="","",tblItems[[#This Row],[Safety stock (units)]]*tblItems[[#This Row],[Unit cost]])</f>
        <v>11988.0466819591</v>
      </c>
      <c r="Y15" s="38">
        <f>IF(tblItems[[#This Row],[Item]]="","",tblItems[[#This Row],[On hand (units)]]+tblItems[[#This Row],[On order (units)]])</f>
        <v>7338</v>
      </c>
      <c r="Z15" s="40">
        <f>IF(tblItems[[#This Row],[Item]]="","",IF((tblItems[[#This Row],[Daily demand (units/day)]])=0,"",(tblItems[[#This Row],[Inventory position (units)]]-tblItems[[#This Row],[Reorder point (units)]])/(tblItems[[#This Row],[Daily demand (units/day)]])))</f>
        <v>8.99999178597286</v>
      </c>
      <c r="AA15" s="41" t="str">
        <f>IF(tblItems[[#This Row],[Item]]="","",IF(tblItems[[#This Row],[Inventory position (units)]]&lt;=tblItems[[#This Row],[Reorder point (units)]],"Overdue",IF(tblItems[[#This Row],[Cover above ROP (days)]]&lt;=ReviewDays,"Due soon","OK")))</f>
        <v>OK</v>
      </c>
      <c r="AB15" s="38">
        <f>IF(tblItems[[#This Row],[Item]]="","",IFERROR(RANK(tblItems[[#This Row],[Cover above ROP (days)]],tblItems[Cover above ROP (days)],1)+COUNTIFS(tblItems[Cover above ROP (days)],tblItems[[#This Row],[Cover above ROP (days)]],tblItems[Item],"&lt;"&amp;tblItems[[#This Row],[Item]]),""))</f>
        <v>11</v>
      </c>
      <c r="AC15" s="42" t="str">
        <f>IF(tblItems[[#This Row],[Item]]="","",IF(tblItems[[#This Row],[Class]]="","Missing class",IF(tblItems[[#This Row],[Annual demand (units)]]="","Missing annual demand",IF(tblItems[[#This Row],[Demand std dev (units/day)]]="","Missing demand std dev",IF(tblItems[[#This Row],[Lead time (days)]]="","Missing lead time",IF(tblItems[[#This Row],[Lead time std dev (days)]]="","Missing lead time std dev",IF(tblItems[[#This Row],[Unit cost]]="","Missing unit cost",IF(tblItems[[#This Row],[Order cost]]="","Missing order cost",IF(COUNTIF(tblItems[Item],tblItems[[#This Row],[Item]])&gt;1,"Item listed twice",IF(tblItems[[#This Row],[Unit cost]]=0,"Unit cost is 0",IF(tblItems[[#This Row],[Current order qty (units)]]=0,"Current order qty is 0","OK")))))))))))</f>
        <v>OK</v>
      </c>
      <c r="AD15" s="28" t="s">
        <v>128</v>
      </c>
    </row>
    <row r="16" spans="1:30" x14ac:dyDescent="0.25">
      <c r="B16" s="28" t="s">
        <v>129</v>
      </c>
      <c r="C16" s="28" t="s">
        <v>130</v>
      </c>
      <c r="D16" s="28" t="s">
        <v>121</v>
      </c>
      <c r="E16" s="30">
        <v>6200</v>
      </c>
      <c r="F16" s="34">
        <v>9.4</v>
      </c>
      <c r="G16" s="34">
        <v>8</v>
      </c>
      <c r="H16" s="34">
        <v>1</v>
      </c>
      <c r="I16" s="35">
        <v>118</v>
      </c>
      <c r="J16" s="30">
        <v>450</v>
      </c>
      <c r="K16" s="30">
        <v>800</v>
      </c>
      <c r="L16" s="30">
        <v>109</v>
      </c>
      <c r="M16" s="30">
        <v>0</v>
      </c>
      <c r="N16" s="36">
        <f>IF(tblItems[[#This Row],[Item]]="","",tblItems[[#This Row],[Annual demand (units)]]/WorkDays)</f>
        <v>24.8</v>
      </c>
      <c r="O16" s="37">
        <f>IF(tblItems[[#This Row],[Item]]="","",_xlfn.NORM.S.INV(IF(tblItems[[#This Row],[Class]]="A",SLA,IF(tblItems[[#This Row],[Class]]="B",SLB,SLC))))</f>
        <v>1.64485362695147</v>
      </c>
      <c r="P16" s="38">
        <f>IF(tblItems[[#This Row],[Item]]="","",tblItems[[#This Row],[Service factor z]]*SQRT(tblItems[[#This Row],[Lead time (days)]]*tblItems[[#This Row],[Demand std dev (units/day)]]^2+tblItems[[#This Row],[Daily demand (units/day)]]^2*tblItems[[#This Row],[Lead time std dev (days)]]^2))</f>
        <v>59.803946381805</v>
      </c>
      <c r="Q16" s="38">
        <f>IF(tblItems[[#This Row],[Item]]="","",tblItems[[#This Row],[Daily demand (units/day)]]*tblItems[[#This Row],[Lead time (days)]]+tblItems[[#This Row],[Safety stock (units)]])</f>
        <v>258.203946381805</v>
      </c>
      <c r="R16" s="39">
        <f>IF(tblItems[[#This Row],[Item]]="","",tblItems[[#This Row],[Unit cost]]*CarryRate)</f>
        <v>28.32</v>
      </c>
      <c r="S16" s="38">
        <f>IF(tblItems[[#This Row],[Item]]="","",IF(tblItems[[#This Row],[Holding cost]]&gt;0,SQRT(2*tblItems[[#This Row],[Annual demand (units)]]*tblItems[[#This Row],[Order cost]]/tblItems[[#This Row],[Holding cost]]),""))</f>
        <v>443.885005722298</v>
      </c>
      <c r="T16" s="36">
        <f>IF(tblItems[[#This Row],[Item]]="","",IF(AND(ISNUMBER(tblItems[[#This Row],[EOQ (units)]]),tblItems[[#This Row],[EOQ (units)]]&gt;0),tblItems[[#This Row],[Annual demand (units)]]/tblItems[[#This Row],[EOQ (units)]],""))</f>
        <v>13.967581513395</v>
      </c>
      <c r="U16" s="38">
        <f>IF(tblItems[[#This Row],[Item]]="","",IF(AND(ISNUMBER(tblItems[[#This Row],[EOQ (units)]]),tblItems[[#This Row],[EOQ (units)]]&gt;0),tblItems[[#This Row],[Annual demand (units)]]*tblItems[[#This Row],[Order cost]]/tblItems[[#This Row],[EOQ (units)]]+tblItems[[#This Row],[Holding cost]]*tblItems[[#This Row],[EOQ (units)]]/2,""))</f>
        <v>12570.8233620555</v>
      </c>
      <c r="V16" s="38">
        <f>IF(tblItems[[#This Row],[Item]]="","",IF(tblItems[[#This Row],[Current order qty (units)]]&gt;0,tblItems[[#This Row],[Annual demand (units)]]*tblItems[[#This Row],[Order cost]]/tblItems[[#This Row],[Current order qty (units)]]+tblItems[[#This Row],[Holding cost]]*tblItems[[#This Row],[Current order qty (units)]]/2,""))</f>
        <v>14815.5</v>
      </c>
      <c r="W16" s="38">
        <f>IF(tblItems[[#This Row],[Item]]="","",IF(AND(ISNUMBER(tblItems[[#This Row],[Annual cost at current qty]]),ISNUMBER(tblItems[[#This Row],[Annual cost at EOQ]])),tblItems[[#This Row],[Annual cost at current qty]]-tblItems[[#This Row],[Annual cost at EOQ]],""))</f>
        <v>2244.67663794451</v>
      </c>
      <c r="X16" s="38">
        <f>IF(tblItems[[#This Row],[Item]]="","",tblItems[[#This Row],[Safety stock (units)]]*tblItems[[#This Row],[Unit cost]])</f>
        <v>7056.86567305299</v>
      </c>
      <c r="Y16" s="38">
        <f>IF(tblItems[[#This Row],[Item]]="","",tblItems[[#This Row],[On hand (units)]]+tblItems[[#This Row],[On order (units)]])</f>
        <v>109</v>
      </c>
      <c r="Z16" s="40">
        <f>IF(tblItems[[#This Row],[Item]]="","",IF((tblItems[[#This Row],[Daily demand (units/day)]])=0,"",(tblItems[[#This Row],[Inventory position (units)]]-tblItems[[#This Row],[Reorder point (units)]])/(tblItems[[#This Row],[Daily demand (units/day)]])))</f>
        <v>-6.01628816055665</v>
      </c>
      <c r="AA16" s="41" t="str">
        <f>IF(tblItems[[#This Row],[Item]]="","",IF(tblItems[[#This Row],[Inventory position (units)]]&lt;=tblItems[[#This Row],[Reorder point (units)]],"Overdue",IF(tblItems[[#This Row],[Cover above ROP (days)]]&lt;=ReviewDays,"Due soon","OK")))</f>
        <v>Overdue</v>
      </c>
      <c r="AB16" s="38">
        <f>IF(tblItems[[#This Row],[Item]]="","",IFERROR(RANK(tblItems[[#This Row],[Cover above ROP (days)]],tblItems[Cover above ROP (days)],1)+COUNTIFS(tblItems[Cover above ROP (days)],tblItems[[#This Row],[Cover above ROP (days)]],tblItems[Item],"&lt;"&amp;tblItems[[#This Row],[Item]]),""))</f>
        <v>1</v>
      </c>
      <c r="AC16" s="42" t="str">
        <f>IF(tblItems[[#This Row],[Item]]="","",IF(tblItems[[#This Row],[Class]]="","Missing class",IF(tblItems[[#This Row],[Annual demand (units)]]="","Missing annual demand",IF(tblItems[[#This Row],[Demand std dev (units/day)]]="","Missing demand std dev",IF(tblItems[[#This Row],[Lead time (days)]]="","Missing lead time",IF(tblItems[[#This Row],[Lead time std dev (days)]]="","Missing lead time std dev",IF(tblItems[[#This Row],[Unit cost]]="","Missing unit cost",IF(tblItems[[#This Row],[Order cost]]="","Missing order cost",IF(COUNTIF(tblItems[Item],tblItems[[#This Row],[Item]])&gt;1,"Item listed twice",IF(tblItems[[#This Row],[Unit cost]]=0,"Unit cost is 0",IF(tblItems[[#This Row],[Current order qty (units)]]=0,"Current order qty is 0","OK")))))))))))</f>
        <v>OK</v>
      </c>
      <c r="AD16" s="28" t="s">
        <v>111</v>
      </c>
    </row>
    <row r="17" spans="2:30" x14ac:dyDescent="0.25">
      <c r="B17" s="28" t="s">
        <v>131</v>
      </c>
      <c r="C17" s="28" t="s">
        <v>132</v>
      </c>
      <c r="D17" s="28" t="s">
        <v>121</v>
      </c>
      <c r="E17" s="30">
        <v>7400</v>
      </c>
      <c r="F17" s="34">
        <v>10.2</v>
      </c>
      <c r="G17" s="34">
        <v>8</v>
      </c>
      <c r="H17" s="34">
        <v>1</v>
      </c>
      <c r="I17" s="35">
        <v>96</v>
      </c>
      <c r="J17" s="30">
        <v>450</v>
      </c>
      <c r="K17" s="30">
        <v>950</v>
      </c>
      <c r="L17" s="30">
        <v>1489</v>
      </c>
      <c r="M17" s="30">
        <v>0</v>
      </c>
      <c r="N17" s="36">
        <f>IF(tblItems[[#This Row],[Item]]="","",tblItems[[#This Row],[Annual demand (units)]]/WorkDays)</f>
        <v>29.6</v>
      </c>
      <c r="O17" s="37">
        <f>IF(tblItems[[#This Row],[Item]]="","",_xlfn.NORM.S.INV(IF(tblItems[[#This Row],[Class]]="A",SLA,IF(tblItems[[#This Row],[Class]]="B",SLB,SLC))))</f>
        <v>1.64485362695147</v>
      </c>
      <c r="P17" s="38">
        <f>IF(tblItems[[#This Row],[Item]]="","",tblItems[[#This Row],[Service factor z]]*SQRT(tblItems[[#This Row],[Lead time (days)]]*tblItems[[#This Row],[Demand std dev (units/day)]]^2+tblItems[[#This Row],[Daily demand (units/day)]]^2*tblItems[[#This Row],[Lead time std dev (days)]]^2))</f>
        <v>67.9879907075722</v>
      </c>
      <c r="Q17" s="38">
        <f>IF(tblItems[[#This Row],[Item]]="","",tblItems[[#This Row],[Daily demand (units/day)]]*tblItems[[#This Row],[Lead time (days)]]+tblItems[[#This Row],[Safety stock (units)]])</f>
        <v>304.787990707572</v>
      </c>
      <c r="R17" s="39">
        <f>IF(tblItems[[#This Row],[Item]]="","",tblItems[[#This Row],[Unit cost]]*CarryRate)</f>
        <v>23.04</v>
      </c>
      <c r="S17" s="38">
        <f>IF(tblItems[[#This Row],[Item]]="","",IF(tblItems[[#This Row],[Holding cost]]&gt;0,SQRT(2*tblItems[[#This Row],[Annual demand (units)]]*tblItems[[#This Row],[Order cost]]/tblItems[[#This Row],[Holding cost]]),""))</f>
        <v>537.645329190164</v>
      </c>
      <c r="T17" s="36">
        <f>IF(tblItems[[#This Row],[Item]]="","",IF(AND(ISNUMBER(tblItems[[#This Row],[EOQ (units)]]),tblItems[[#This Row],[EOQ (units)]]&gt;0),tblItems[[#This Row],[Annual demand (units)]]/tblItems[[#This Row],[EOQ (units)]],""))</f>
        <v>13.7637204272682</v>
      </c>
      <c r="U17" s="38">
        <f>IF(tblItems[[#This Row],[Item]]="","",IF(AND(ISNUMBER(tblItems[[#This Row],[EOQ (units)]]),tblItems[[#This Row],[EOQ (units)]]&gt;0),tblItems[[#This Row],[Annual demand (units)]]*tblItems[[#This Row],[Order cost]]/tblItems[[#This Row],[EOQ (units)]]+tblItems[[#This Row],[Holding cost]]*tblItems[[#This Row],[EOQ (units)]]/2,""))</f>
        <v>12387.3483845414</v>
      </c>
      <c r="V17" s="38">
        <f>IF(tblItems[[#This Row],[Item]]="","",IF(tblItems[[#This Row],[Current order qty (units)]]&gt;0,tblItems[[#This Row],[Annual demand (units)]]*tblItems[[#This Row],[Order cost]]/tblItems[[#This Row],[Current order qty (units)]]+tblItems[[#This Row],[Holding cost]]*tblItems[[#This Row],[Current order qty (units)]]/2,""))</f>
        <v>14449.2631578947</v>
      </c>
      <c r="W17" s="38">
        <f>IF(tblItems[[#This Row],[Item]]="","",IF(AND(ISNUMBER(tblItems[[#This Row],[Annual cost at current qty]]),ISNUMBER(tblItems[[#This Row],[Annual cost at EOQ]])),tblItems[[#This Row],[Annual cost at current qty]]-tblItems[[#This Row],[Annual cost at EOQ]],""))</f>
        <v>2061.91477335335</v>
      </c>
      <c r="X17" s="38">
        <f>IF(tblItems[[#This Row],[Item]]="","",tblItems[[#This Row],[Safety stock (units)]]*tblItems[[#This Row],[Unit cost]])</f>
        <v>6526.84710792693</v>
      </c>
      <c r="Y17" s="38">
        <f>IF(tblItems[[#This Row],[Item]]="","",tblItems[[#This Row],[On hand (units)]]+tblItems[[#This Row],[On order (units)]])</f>
        <v>1489</v>
      </c>
      <c r="Z17" s="40">
        <f>IF(tblItems[[#This Row],[Item]]="","",IF((tblItems[[#This Row],[Daily demand (units/day)]])=0,"",(tblItems[[#This Row],[Inventory position (units)]]-tblItems[[#This Row],[Reorder point (units)]])/(tblItems[[#This Row],[Daily demand (units/day)]])))</f>
        <v>40.0071624760955</v>
      </c>
      <c r="AA17" s="41" t="str">
        <f>IF(tblItems[[#This Row],[Item]]="","",IF(tblItems[[#This Row],[Inventory position (units)]]&lt;=tblItems[[#This Row],[Reorder point (units)]],"Overdue",IF(tblItems[[#This Row],[Cover above ROP (days)]]&lt;=ReviewDays,"Due soon","OK")))</f>
        <v>OK</v>
      </c>
      <c r="AB17" s="38">
        <f>IF(tblItems[[#This Row],[Item]]="","",IFERROR(RANK(tblItems[[#This Row],[Cover above ROP (days)]],tblItems[Cover above ROP (days)],1)+COUNTIFS(tblItems[Cover above ROP (days)],tblItems[[#This Row],[Cover above ROP (days)]],tblItems[Item],"&lt;"&amp;tblItems[[#This Row],[Item]]),""))</f>
        <v>20</v>
      </c>
      <c r="AC17" s="42" t="str">
        <f>IF(tblItems[[#This Row],[Item]]="","",IF(tblItems[[#This Row],[Class]]="","Missing class",IF(tblItems[[#This Row],[Annual demand (units)]]="","Missing annual demand",IF(tblItems[[#This Row],[Demand std dev (units/day)]]="","Missing demand std dev",IF(tblItems[[#This Row],[Lead time (days)]]="","Missing lead time",IF(tblItems[[#This Row],[Lead time std dev (days)]]="","Missing lead time std dev",IF(tblItems[[#This Row],[Unit cost]]="","Missing unit cost",IF(tblItems[[#This Row],[Order cost]]="","Missing order cost",IF(COUNTIF(tblItems[Item],tblItems[[#This Row],[Item]])&gt;1,"Item listed twice",IF(tblItems[[#This Row],[Unit cost]]=0,"Unit cost is 0",IF(tblItems[[#This Row],[Current order qty (units)]]=0,"Current order qty is 0","OK")))))))))))</f>
        <v>OK</v>
      </c>
      <c r="AD17" s="28" t="s">
        <v>111</v>
      </c>
    </row>
    <row r="18" spans="2:30" x14ac:dyDescent="0.25">
      <c r="B18" s="28" t="s">
        <v>133</v>
      </c>
      <c r="C18" s="28" t="s">
        <v>134</v>
      </c>
      <c r="D18" s="28" t="s">
        <v>121</v>
      </c>
      <c r="E18" s="30">
        <v>820</v>
      </c>
      <c r="F18" s="34">
        <v>1.6</v>
      </c>
      <c r="G18" s="34">
        <v>10</v>
      </c>
      <c r="H18" s="34">
        <v>2</v>
      </c>
      <c r="I18" s="35">
        <v>1240</v>
      </c>
      <c r="J18" s="30">
        <v>450</v>
      </c>
      <c r="K18" s="30">
        <v>90</v>
      </c>
      <c r="L18" s="30">
        <v>96</v>
      </c>
      <c r="M18" s="30">
        <v>0</v>
      </c>
      <c r="N18" s="36">
        <f>IF(tblItems[[#This Row],[Item]]="","",tblItems[[#This Row],[Annual demand (units)]]/WorkDays)</f>
        <v>3.28</v>
      </c>
      <c r="O18" s="37">
        <f>IF(tblItems[[#This Row],[Item]]="","",_xlfn.NORM.S.INV(IF(tblItems[[#This Row],[Class]]="A",SLA,IF(tblItems[[#This Row],[Class]]="B",SLB,SLC))))</f>
        <v>1.64485362695147</v>
      </c>
      <c r="P18" s="38">
        <f>IF(tblItems[[#This Row],[Item]]="","",tblItems[[#This Row],[Service factor z]]*SQRT(tblItems[[#This Row],[Lead time (days)]]*tblItems[[#This Row],[Demand std dev (units/day)]]^2+tblItems[[#This Row],[Daily demand (units/day)]]^2*tblItems[[#This Row],[Lead time std dev (days)]]^2))</f>
        <v>13.6268553676555</v>
      </c>
      <c r="Q18" s="38">
        <f>IF(tblItems[[#This Row],[Item]]="","",tblItems[[#This Row],[Daily demand (units/day)]]*tblItems[[#This Row],[Lead time (days)]]+tblItems[[#This Row],[Safety stock (units)]])</f>
        <v>46.4268553676555</v>
      </c>
      <c r="R18" s="39">
        <f>IF(tblItems[[#This Row],[Item]]="","",tblItems[[#This Row],[Unit cost]]*CarryRate)</f>
        <v>297.6</v>
      </c>
      <c r="S18" s="38">
        <f>IF(tblItems[[#This Row],[Item]]="","",IF(tblItems[[#This Row],[Holding cost]]&gt;0,SQRT(2*tblItems[[#This Row],[Annual demand (units)]]*tblItems[[#This Row],[Order cost]]/tblItems[[#This Row],[Holding cost]]),""))</f>
        <v>49.7979789718159</v>
      </c>
      <c r="T18" s="36">
        <f>IF(tblItems[[#This Row],[Item]]="","",IF(AND(ISNUMBER(tblItems[[#This Row],[EOQ (units)]]),tblItems[[#This Row],[EOQ (units)]]&gt;0),tblItems[[#This Row],[Annual demand (units)]]/tblItems[[#This Row],[EOQ (units)]],""))</f>
        <v>16.4665317133471</v>
      </c>
      <c r="U18" s="38">
        <f>IF(tblItems[[#This Row],[Item]]="","",IF(AND(ISNUMBER(tblItems[[#This Row],[EOQ (units)]]),tblItems[[#This Row],[EOQ (units)]]&gt;0),tblItems[[#This Row],[Annual demand (units)]]*tblItems[[#This Row],[Order cost]]/tblItems[[#This Row],[EOQ (units)]]+tblItems[[#This Row],[Holding cost]]*tblItems[[#This Row],[EOQ (units)]]/2,""))</f>
        <v>14819.8785420124</v>
      </c>
      <c r="V18" s="38">
        <f>IF(tblItems[[#This Row],[Item]]="","",IF(tblItems[[#This Row],[Current order qty (units)]]&gt;0,tblItems[[#This Row],[Annual demand (units)]]*tblItems[[#This Row],[Order cost]]/tblItems[[#This Row],[Current order qty (units)]]+tblItems[[#This Row],[Holding cost]]*tblItems[[#This Row],[Current order qty (units)]]/2,""))</f>
        <v>17492</v>
      </c>
      <c r="W18" s="38">
        <f>IF(tblItems[[#This Row],[Item]]="","",IF(AND(ISNUMBER(tblItems[[#This Row],[Annual cost at current qty]]),ISNUMBER(tblItems[[#This Row],[Annual cost at EOQ]])),tblItems[[#This Row],[Annual cost at current qty]]-tblItems[[#This Row],[Annual cost at EOQ]],""))</f>
        <v>2672.12145798759</v>
      </c>
      <c r="X18" s="38">
        <f>IF(tblItems[[#This Row],[Item]]="","",tblItems[[#This Row],[Safety stock (units)]]*tblItems[[#This Row],[Unit cost]])</f>
        <v>16897.3006558929</v>
      </c>
      <c r="Y18" s="38">
        <f>IF(tblItems[[#This Row],[Item]]="","",tblItems[[#This Row],[On hand (units)]]+tblItems[[#This Row],[On order (units)]])</f>
        <v>96</v>
      </c>
      <c r="Z18" s="40">
        <f>IF(tblItems[[#This Row],[Item]]="","",IF((tblItems[[#This Row],[Daily demand (units/day)]])=0,"",(tblItems[[#This Row],[Inventory position (units)]]-tblItems[[#This Row],[Reorder point (units)]])/(tblItems[[#This Row],[Daily demand (units/day)]])))</f>
        <v>15.1137636074221</v>
      </c>
      <c r="AA18" s="41" t="str">
        <f>IF(tblItems[[#This Row],[Item]]="","",IF(tblItems[[#This Row],[Inventory position (units)]]&lt;=tblItems[[#This Row],[Reorder point (units)]],"Overdue",IF(tblItems[[#This Row],[Cover above ROP (days)]]&lt;=ReviewDays,"Due soon","OK")))</f>
        <v>OK</v>
      </c>
      <c r="AB18" s="38">
        <f>IF(tblItems[[#This Row],[Item]]="","",IFERROR(RANK(tblItems[[#This Row],[Cover above ROP (days)]],tblItems[Cover above ROP (days)],1)+COUNTIFS(tblItems[Cover above ROP (days)],tblItems[[#This Row],[Cover above ROP (days)]],tblItems[Item],"&lt;"&amp;tblItems[[#This Row],[Item]]),""))</f>
        <v>14</v>
      </c>
      <c r="AC18" s="42" t="str">
        <f>IF(tblItems[[#This Row],[Item]]="","",IF(tblItems[[#This Row],[Class]]="","Missing class",IF(tblItems[[#This Row],[Annual demand (units)]]="","Missing annual demand",IF(tblItems[[#This Row],[Demand std dev (units/day)]]="","Missing demand std dev",IF(tblItems[[#This Row],[Lead time (days)]]="","Missing lead time",IF(tblItems[[#This Row],[Lead time std dev (days)]]="","Missing lead time std dev",IF(tblItems[[#This Row],[Unit cost]]="","Missing unit cost",IF(tblItems[[#This Row],[Order cost]]="","Missing order cost",IF(COUNTIF(tblItems[Item],tblItems[[#This Row],[Item]])&gt;1,"Item listed twice",IF(tblItems[[#This Row],[Unit cost]]=0,"Unit cost is 0",IF(tblItems[[#This Row],[Current order qty (units)]]=0,"Current order qty is 0","OK")))))))))))</f>
        <v>OK</v>
      </c>
      <c r="AD18" s="28" t="s">
        <v>111</v>
      </c>
    </row>
    <row r="19" spans="2:30" x14ac:dyDescent="0.25">
      <c r="B19" s="28" t="s">
        <v>135</v>
      </c>
      <c r="C19" s="28" t="s">
        <v>136</v>
      </c>
      <c r="D19" s="28" t="s">
        <v>137</v>
      </c>
      <c r="E19" s="30">
        <v>6800</v>
      </c>
      <c r="F19" s="34">
        <v>11.4</v>
      </c>
      <c r="G19" s="34">
        <v>10</v>
      </c>
      <c r="H19" s="34">
        <v>2</v>
      </c>
      <c r="I19" s="35">
        <v>58</v>
      </c>
      <c r="J19" s="30">
        <v>450</v>
      </c>
      <c r="K19" s="30">
        <v>550</v>
      </c>
      <c r="L19" s="30">
        <v>464</v>
      </c>
      <c r="M19" s="30">
        <v>0</v>
      </c>
      <c r="N19" s="36">
        <f>IF(tblItems[[#This Row],[Item]]="","",tblItems[[#This Row],[Annual demand (units)]]/WorkDays)</f>
        <v>27.2</v>
      </c>
      <c r="O19" s="37">
        <f>IF(tblItems[[#This Row],[Item]]="","",_xlfn.NORM.S.INV(IF(tblItems[[#This Row],[Class]]="A",SLA,IF(tblItems[[#This Row],[Class]]="B",SLB,SLC))))</f>
        <v>1.2815515655446</v>
      </c>
      <c r="P19" s="38">
        <f>IF(tblItems[[#This Row],[Item]]="","",tblItems[[#This Row],[Service factor z]]*SQRT(tblItems[[#This Row],[Lead time (days)]]*tblItems[[#This Row],[Demand std dev (units/day)]]^2+tblItems[[#This Row],[Daily demand (units/day)]]^2*tblItems[[#This Row],[Lead time std dev (days)]]^2))</f>
        <v>83.6349624209067</v>
      </c>
      <c r="Q19" s="38">
        <f>IF(tblItems[[#This Row],[Item]]="","",tblItems[[#This Row],[Daily demand (units/day)]]*tblItems[[#This Row],[Lead time (days)]]+tblItems[[#This Row],[Safety stock (units)]])</f>
        <v>355.634962420907</v>
      </c>
      <c r="R19" s="39">
        <f>IF(tblItems[[#This Row],[Item]]="","",tblItems[[#This Row],[Unit cost]]*CarryRate)</f>
        <v>13.92</v>
      </c>
      <c r="S19" s="38">
        <f>IF(tblItems[[#This Row],[Item]]="","",IF(tblItems[[#This Row],[Holding cost]]&gt;0,SQRT(2*tblItems[[#This Row],[Annual demand (units)]]*tblItems[[#This Row],[Order cost]]/tblItems[[#This Row],[Holding cost]]),""))</f>
        <v>663.064983552738</v>
      </c>
      <c r="T19" s="36">
        <f>IF(tblItems[[#This Row],[Item]]="","",IF(AND(ISNUMBER(tblItems[[#This Row],[EOQ (units)]]),tblItems[[#This Row],[EOQ (units)]]&gt;0),tblItems[[#This Row],[Annual demand (units)]]/tblItems[[#This Row],[EOQ (units)]],""))</f>
        <v>10.255405078949</v>
      </c>
      <c r="U19" s="38">
        <f>IF(tblItems[[#This Row],[Item]]="","",IF(AND(ISNUMBER(tblItems[[#This Row],[EOQ (units)]]),tblItems[[#This Row],[EOQ (units)]]&gt;0),tblItems[[#This Row],[Annual demand (units)]]*tblItems[[#This Row],[Order cost]]/tblItems[[#This Row],[EOQ (units)]]+tblItems[[#This Row],[Holding cost]]*tblItems[[#This Row],[EOQ (units)]]/2,""))</f>
        <v>9229.86457105412</v>
      </c>
      <c r="V19" s="38">
        <f>IF(tblItems[[#This Row],[Item]]="","",IF(tblItems[[#This Row],[Current order qty (units)]]&gt;0,tblItems[[#This Row],[Annual demand (units)]]*tblItems[[#This Row],[Order cost]]/tblItems[[#This Row],[Current order qty (units)]]+tblItems[[#This Row],[Holding cost]]*tblItems[[#This Row],[Current order qty (units)]]/2,""))</f>
        <v>9391.63636363636</v>
      </c>
      <c r="W19" s="38">
        <f>IF(tblItems[[#This Row],[Item]]="","",IF(AND(ISNUMBER(tblItems[[#This Row],[Annual cost at current qty]]),ISNUMBER(tblItems[[#This Row],[Annual cost at EOQ]])),tblItems[[#This Row],[Annual cost at current qty]]-tblItems[[#This Row],[Annual cost at EOQ]],""))</f>
        <v>161.771792582247</v>
      </c>
      <c r="X19" s="38">
        <f>IF(tblItems[[#This Row],[Item]]="","",tblItems[[#This Row],[Safety stock (units)]]*tblItems[[#This Row],[Unit cost]])</f>
        <v>4850.82782041259</v>
      </c>
      <c r="Y19" s="38">
        <f>IF(tblItems[[#This Row],[Item]]="","",tblItems[[#This Row],[On hand (units)]]+tblItems[[#This Row],[On order (units)]])</f>
        <v>464</v>
      </c>
      <c r="Z19" s="40">
        <f>IF(tblItems[[#This Row],[Item]]="","",IF((tblItems[[#This Row],[Daily demand (units/day)]])=0,"",(tblItems[[#This Row],[Inventory position (units)]]-tblItems[[#This Row],[Reorder point (units)]])/(tblItems[[#This Row],[Daily demand (units/day)]])))</f>
        <v>3.98400873452549</v>
      </c>
      <c r="AA19" s="41" t="str">
        <f>IF(tblItems[[#This Row],[Item]]="","",IF(tblItems[[#This Row],[Inventory position (units)]]&lt;=tblItems[[#This Row],[Reorder point (units)]],"Overdue",IF(tblItems[[#This Row],[Cover above ROP (days)]]&lt;=ReviewDays,"Due soon","OK")))</f>
        <v>Due soon</v>
      </c>
      <c r="AB19" s="38">
        <f>IF(tblItems[[#This Row],[Item]]="","",IFERROR(RANK(tblItems[[#This Row],[Cover above ROP (days)]],tblItems[Cover above ROP (days)],1)+COUNTIFS(tblItems[Cover above ROP (days)],tblItems[[#This Row],[Cover above ROP (days)]],tblItems[Item],"&lt;"&amp;tblItems[[#This Row],[Item]]),""))</f>
        <v>8</v>
      </c>
      <c r="AC19" s="42" t="str">
        <f>IF(tblItems[[#This Row],[Item]]="","",IF(tblItems[[#This Row],[Class]]="","Missing class",IF(tblItems[[#This Row],[Annual demand (units)]]="","Missing annual demand",IF(tblItems[[#This Row],[Demand std dev (units/day)]]="","Missing demand std dev",IF(tblItems[[#This Row],[Lead time (days)]]="","Missing lead time",IF(tblItems[[#This Row],[Lead time std dev (days)]]="","Missing lead time std dev",IF(tblItems[[#This Row],[Unit cost]]="","Missing unit cost",IF(tblItems[[#This Row],[Order cost]]="","Missing order cost",IF(COUNTIF(tblItems[Item],tblItems[[#This Row],[Item]])&gt;1,"Item listed twice",IF(tblItems[[#This Row],[Unit cost]]=0,"Unit cost is 0",IF(tblItems[[#This Row],[Current order qty (units)]]=0,"Current order qty is 0","OK")))))))))))</f>
        <v>OK</v>
      </c>
      <c r="AD19" s="28" t="s">
        <v>111</v>
      </c>
    </row>
    <row r="20" spans="2:30" x14ac:dyDescent="0.25">
      <c r="B20" s="28" t="s">
        <v>138</v>
      </c>
      <c r="C20" s="28" t="s">
        <v>139</v>
      </c>
      <c r="D20" s="28" t="s">
        <v>137</v>
      </c>
      <c r="E20" s="30">
        <v>5900</v>
      </c>
      <c r="F20" s="34">
        <v>10</v>
      </c>
      <c r="G20" s="34">
        <v>10</v>
      </c>
      <c r="H20" s="34">
        <v>2</v>
      </c>
      <c r="I20" s="35">
        <v>64</v>
      </c>
      <c r="J20" s="30">
        <v>450</v>
      </c>
      <c r="K20" s="30">
        <v>450</v>
      </c>
      <c r="L20" s="30">
        <v>828</v>
      </c>
      <c r="M20" s="30">
        <v>0</v>
      </c>
      <c r="N20" s="36">
        <f>IF(tblItems[[#This Row],[Item]]="","",tblItems[[#This Row],[Annual demand (units)]]/WorkDays)</f>
        <v>23.6</v>
      </c>
      <c r="O20" s="37">
        <f>IF(tblItems[[#This Row],[Item]]="","",_xlfn.NORM.S.INV(IF(tblItems[[#This Row],[Class]]="A",SLA,IF(tblItems[[#This Row],[Class]]="B",SLB,SLC))))</f>
        <v>1.2815515655446</v>
      </c>
      <c r="P20" s="38">
        <f>IF(tblItems[[#This Row],[Item]]="","",tblItems[[#This Row],[Service factor z]]*SQRT(tblItems[[#This Row],[Lead time (days)]]*tblItems[[#This Row],[Demand std dev (units/day)]]^2+tblItems[[#This Row],[Daily demand (units/day)]]^2*tblItems[[#This Row],[Lead time std dev (days)]]^2))</f>
        <v>72.8101767076361</v>
      </c>
      <c r="Q20" s="38">
        <f>IF(tblItems[[#This Row],[Item]]="","",tblItems[[#This Row],[Daily demand (units/day)]]*tblItems[[#This Row],[Lead time (days)]]+tblItems[[#This Row],[Safety stock (units)]])</f>
        <v>308.810176707636</v>
      </c>
      <c r="R20" s="39">
        <f>IF(tblItems[[#This Row],[Item]]="","",tblItems[[#This Row],[Unit cost]]*CarryRate)</f>
        <v>15.36</v>
      </c>
      <c r="S20" s="38">
        <f>IF(tblItems[[#This Row],[Item]]="","",IF(tblItems[[#This Row],[Holding cost]]&gt;0,SQRT(2*tblItems[[#This Row],[Annual demand (units)]]*tblItems[[#This Row],[Order cost]]/tblItems[[#This Row],[Holding cost]]),""))</f>
        <v>587.965241319587</v>
      </c>
      <c r="T20" s="36">
        <f>IF(tblItems[[#This Row],[Item]]="","",IF(AND(ISNUMBER(tblItems[[#This Row],[EOQ (units)]]),tblItems[[#This Row],[EOQ (units)]]&gt;0),tblItems[[#This Row],[Annual demand (units)]]/tblItems[[#This Row],[EOQ (units)]],""))</f>
        <v>10.0346067851876</v>
      </c>
      <c r="U20" s="38">
        <f>IF(tblItems[[#This Row],[Item]]="","",IF(AND(ISNUMBER(tblItems[[#This Row],[EOQ (units)]]),tblItems[[#This Row],[EOQ (units)]]&gt;0),tblItems[[#This Row],[Annual demand (units)]]*tblItems[[#This Row],[Order cost]]/tblItems[[#This Row],[EOQ (units)]]+tblItems[[#This Row],[Holding cost]]*tblItems[[#This Row],[EOQ (units)]]/2,""))</f>
        <v>9031.14610666885</v>
      </c>
      <c r="V20" s="38">
        <f>IF(tblItems[[#This Row],[Item]]="","",IF(tblItems[[#This Row],[Current order qty (units)]]&gt;0,tblItems[[#This Row],[Annual demand (units)]]*tblItems[[#This Row],[Order cost]]/tblItems[[#This Row],[Current order qty (units)]]+tblItems[[#This Row],[Holding cost]]*tblItems[[#This Row],[Current order qty (units)]]/2,""))</f>
        <v>9356</v>
      </c>
      <c r="W20" s="38">
        <f>IF(tblItems[[#This Row],[Item]]="","",IF(AND(ISNUMBER(tblItems[[#This Row],[Annual cost at current qty]]),ISNUMBER(tblItems[[#This Row],[Annual cost at EOQ]])),tblItems[[#This Row],[Annual cost at current qty]]-tblItems[[#This Row],[Annual cost at EOQ]],""))</f>
        <v>324.853893331147</v>
      </c>
      <c r="X20" s="38">
        <f>IF(tblItems[[#This Row],[Item]]="","",tblItems[[#This Row],[Safety stock (units)]]*tblItems[[#This Row],[Unit cost]])</f>
        <v>4659.85130928871</v>
      </c>
      <c r="Y20" s="38">
        <f>IF(tblItems[[#This Row],[Item]]="","",tblItems[[#This Row],[On hand (units)]]+tblItems[[#This Row],[On order (units)]])</f>
        <v>828</v>
      </c>
      <c r="Z20" s="40">
        <f>IF(tblItems[[#This Row],[Item]]="","",IF((tblItems[[#This Row],[Daily demand (units/day)]])=0,"",(tblItems[[#This Row],[Inventory position (units)]]-tblItems[[#This Row],[Reorder point (units)]])/(tblItems[[#This Row],[Daily demand (units/day)]])))</f>
        <v>21.9995687835747</v>
      </c>
      <c r="AA20" s="41" t="str">
        <f>IF(tblItems[[#This Row],[Item]]="","",IF(tblItems[[#This Row],[Inventory position (units)]]&lt;=tblItems[[#This Row],[Reorder point (units)]],"Overdue",IF(tblItems[[#This Row],[Cover above ROP (days)]]&lt;=ReviewDays,"Due soon","OK")))</f>
        <v>OK</v>
      </c>
      <c r="AB20" s="38">
        <f>IF(tblItems[[#This Row],[Item]]="","",IFERROR(RANK(tblItems[[#This Row],[Cover above ROP (days)]],tblItems[Cover above ROP (days)],1)+COUNTIFS(tblItems[Cover above ROP (days)],tblItems[[#This Row],[Cover above ROP (days)]],tblItems[Item],"&lt;"&amp;tblItems[[#This Row],[Item]]),""))</f>
        <v>16</v>
      </c>
      <c r="AC20" s="42" t="str">
        <f>IF(tblItems[[#This Row],[Item]]="","",IF(tblItems[[#This Row],[Class]]="","Missing class",IF(tblItems[[#This Row],[Annual demand (units)]]="","Missing annual demand",IF(tblItems[[#This Row],[Demand std dev (units/day)]]="","Missing demand std dev",IF(tblItems[[#This Row],[Lead time (days)]]="","Missing lead time",IF(tblItems[[#This Row],[Lead time std dev (days)]]="","Missing lead time std dev",IF(tblItems[[#This Row],[Unit cost]]="","Missing unit cost",IF(tblItems[[#This Row],[Order cost]]="","Missing order cost",IF(COUNTIF(tblItems[Item],tblItems[[#This Row],[Item]])&gt;1,"Item listed twice",IF(tblItems[[#This Row],[Unit cost]]=0,"Unit cost is 0",IF(tblItems[[#This Row],[Current order qty (units)]]=0,"Current order qty is 0","OK")))))))))))</f>
        <v>OK</v>
      </c>
      <c r="AD20" s="28" t="s">
        <v>111</v>
      </c>
    </row>
    <row r="21" spans="2:30" x14ac:dyDescent="0.25">
      <c r="B21" s="28" t="s">
        <v>140</v>
      </c>
      <c r="C21" s="28" t="s">
        <v>141</v>
      </c>
      <c r="D21" s="28" t="s">
        <v>137</v>
      </c>
      <c r="E21" s="30">
        <v>980</v>
      </c>
      <c r="F21" s="34">
        <v>2.2</v>
      </c>
      <c r="G21" s="34">
        <v>15</v>
      </c>
      <c r="H21" s="34">
        <v>4</v>
      </c>
      <c r="I21" s="35">
        <v>410</v>
      </c>
      <c r="J21" s="30">
        <v>450</v>
      </c>
      <c r="K21" s="30">
        <v>170</v>
      </c>
      <c r="L21" s="30">
        <v>86</v>
      </c>
      <c r="M21" s="30">
        <v>0</v>
      </c>
      <c r="N21" s="36">
        <f>IF(tblItems[[#This Row],[Item]]="","",tblItems[[#This Row],[Annual demand (units)]]/WorkDays)</f>
        <v>3.92</v>
      </c>
      <c r="O21" s="37">
        <f>IF(tblItems[[#This Row],[Item]]="","",_xlfn.NORM.S.INV(IF(tblItems[[#This Row],[Class]]="A",SLA,IF(tblItems[[#This Row],[Class]]="B",SLB,SLC))))</f>
        <v>1.2815515655446</v>
      </c>
      <c r="P21" s="38">
        <f>IF(tblItems[[#This Row],[Item]]="","",tblItems[[#This Row],[Service factor z]]*SQRT(tblItems[[#This Row],[Lead time (days)]]*tblItems[[#This Row],[Demand std dev (units/day)]]^2+tblItems[[#This Row],[Daily demand (units/day)]]^2*tblItems[[#This Row],[Lead time std dev (days)]]^2))</f>
        <v>22.8699474845748</v>
      </c>
      <c r="Q21" s="38">
        <f>IF(tblItems[[#This Row],[Item]]="","",tblItems[[#This Row],[Daily demand (units/day)]]*tblItems[[#This Row],[Lead time (days)]]+tblItems[[#This Row],[Safety stock (units)]])</f>
        <v>81.6699474845748</v>
      </c>
      <c r="R21" s="39">
        <f>IF(tblItems[[#This Row],[Item]]="","",tblItems[[#This Row],[Unit cost]]*CarryRate)</f>
        <v>98.4</v>
      </c>
      <c r="S21" s="38">
        <f>IF(tblItems[[#This Row],[Item]]="","",IF(tblItems[[#This Row],[Holding cost]]&gt;0,SQRT(2*tblItems[[#This Row],[Annual demand (units)]]*tblItems[[#This Row],[Order cost]]/tblItems[[#This Row],[Holding cost]]),""))</f>
        <v>94.6753116400804</v>
      </c>
      <c r="T21" s="36">
        <f>IF(tblItems[[#This Row],[Item]]="","",IF(AND(ISNUMBER(tblItems[[#This Row],[EOQ (units)]]),tblItems[[#This Row],[EOQ (units)]]&gt;0),tblItems[[#This Row],[Annual demand (units)]]/tblItems[[#This Row],[EOQ (units)]],""))</f>
        <v>10.3511674059821</v>
      </c>
      <c r="U21" s="38">
        <f>IF(tblItems[[#This Row],[Item]]="","",IF(AND(ISNUMBER(tblItems[[#This Row],[EOQ (units)]]),tblItems[[#This Row],[EOQ (units)]]&gt;0),tblItems[[#This Row],[Annual demand (units)]]*tblItems[[#This Row],[Order cost]]/tblItems[[#This Row],[EOQ (units)]]+tblItems[[#This Row],[Holding cost]]*tblItems[[#This Row],[EOQ (units)]]/2,""))</f>
        <v>9316.05066538391</v>
      </c>
      <c r="V21" s="38">
        <f>IF(tblItems[[#This Row],[Item]]="","",IF(tblItems[[#This Row],[Current order qty (units)]]&gt;0,tblItems[[#This Row],[Annual demand (units)]]*tblItems[[#This Row],[Order cost]]/tblItems[[#This Row],[Current order qty (units)]]+tblItems[[#This Row],[Holding cost]]*tblItems[[#This Row],[Current order qty (units)]]/2,""))</f>
        <v>10958.1176470588</v>
      </c>
      <c r="W21" s="38">
        <f>IF(tblItems[[#This Row],[Item]]="","",IF(AND(ISNUMBER(tblItems[[#This Row],[Annual cost at current qty]]),ISNUMBER(tblItems[[#This Row],[Annual cost at EOQ]])),tblItems[[#This Row],[Annual cost at current qty]]-tblItems[[#This Row],[Annual cost at EOQ]],""))</f>
        <v>1642.06698167491</v>
      </c>
      <c r="X21" s="38">
        <f>IF(tblItems[[#This Row],[Item]]="","",tblItems[[#This Row],[Safety stock (units)]]*tblItems[[#This Row],[Unit cost]])</f>
        <v>9376.67846867565</v>
      </c>
      <c r="Y21" s="38">
        <f>IF(tblItems[[#This Row],[Item]]="","",tblItems[[#This Row],[On hand (units)]]+tblItems[[#This Row],[On order (units)]])</f>
        <v>86</v>
      </c>
      <c r="Z21" s="40">
        <f>IF(tblItems[[#This Row],[Item]]="","",IF((tblItems[[#This Row],[Daily demand (units/day)]])=0,"",(tblItems[[#This Row],[Inventory position (units)]]-tblItems[[#This Row],[Reorder point (units)]])/(tblItems[[#This Row],[Daily demand (units/day)]])))</f>
        <v>1.10460523352685</v>
      </c>
      <c r="AA21" s="41" t="str">
        <f>IF(tblItems[[#This Row],[Item]]="","",IF(tblItems[[#This Row],[Inventory position (units)]]&lt;=tblItems[[#This Row],[Reorder point (units)]],"Overdue",IF(tblItems[[#This Row],[Cover above ROP (days)]]&lt;=ReviewDays,"Due soon","OK")))</f>
        <v>Due soon</v>
      </c>
      <c r="AB21" s="38">
        <f>IF(tblItems[[#This Row],[Item]]="","",IFERROR(RANK(tblItems[[#This Row],[Cover above ROP (days)]],tblItems[Cover above ROP (days)],1)+COUNTIFS(tblItems[Cover above ROP (days)],tblItems[[#This Row],[Cover above ROP (days)]],tblItems[Item],"&lt;"&amp;tblItems[[#This Row],[Item]]),""))</f>
        <v>5</v>
      </c>
      <c r="AC21" s="42" t="str">
        <f>IF(tblItems[[#This Row],[Item]]="","",IF(tblItems[[#This Row],[Class]]="","Missing class",IF(tblItems[[#This Row],[Annual demand (units)]]="","Missing annual demand",IF(tblItems[[#This Row],[Demand std dev (units/day)]]="","Missing demand std dev",IF(tblItems[[#This Row],[Lead time (days)]]="","Missing lead time",IF(tblItems[[#This Row],[Lead time std dev (days)]]="","Missing lead time std dev",IF(tblItems[[#This Row],[Unit cost]]="","Missing unit cost",IF(tblItems[[#This Row],[Order cost]]="","Missing order cost",IF(COUNTIF(tblItems[Item],tblItems[[#This Row],[Item]])&gt;1,"Item listed twice",IF(tblItems[[#This Row],[Unit cost]]=0,"Unit cost is 0",IF(tblItems[[#This Row],[Current order qty (units)]]=0,"Current order qty is 0","OK")))))))))))</f>
        <v>OK</v>
      </c>
      <c r="AD21" s="28" t="s">
        <v>111</v>
      </c>
    </row>
    <row r="22" spans="2:30" x14ac:dyDescent="0.25">
      <c r="B22" s="28" t="s">
        <v>142</v>
      </c>
      <c r="C22" s="28" t="s">
        <v>143</v>
      </c>
      <c r="D22" s="28" t="s">
        <v>137</v>
      </c>
      <c r="E22" s="30">
        <v>22000</v>
      </c>
      <c r="F22" s="34">
        <v>33.9</v>
      </c>
      <c r="G22" s="34">
        <v>8</v>
      </c>
      <c r="H22" s="34">
        <v>1</v>
      </c>
      <c r="I22" s="35">
        <v>11.5</v>
      </c>
      <c r="J22" s="30">
        <v>450</v>
      </c>
      <c r="K22" s="30">
        <v>8000</v>
      </c>
      <c r="L22" s="30">
        <v>607</v>
      </c>
      <c r="M22" s="30">
        <v>0</v>
      </c>
      <c r="N22" s="36">
        <f>IF(tblItems[[#This Row],[Item]]="","",tblItems[[#This Row],[Annual demand (units)]]/WorkDays)</f>
        <v>88</v>
      </c>
      <c r="O22" s="37">
        <f>IF(tblItems[[#This Row],[Item]]="","",_xlfn.NORM.S.INV(IF(tblItems[[#This Row],[Class]]="A",SLA,IF(tblItems[[#This Row],[Class]]="B",SLB,SLC))))</f>
        <v>1.2815515655446</v>
      </c>
      <c r="P22" s="38">
        <f>IF(tblItems[[#This Row],[Item]]="","",tblItems[[#This Row],[Service factor z]]*SQRT(tblItems[[#This Row],[Lead time (days)]]*tblItems[[#This Row],[Demand std dev (units/day)]]^2+tblItems[[#This Row],[Daily demand (units/day)]]^2*tblItems[[#This Row],[Lead time std dev (days)]]^2))</f>
        <v>166.787326508925</v>
      </c>
      <c r="Q22" s="38">
        <f>IF(tblItems[[#This Row],[Item]]="","",tblItems[[#This Row],[Daily demand (units/day)]]*tblItems[[#This Row],[Lead time (days)]]+tblItems[[#This Row],[Safety stock (units)]])</f>
        <v>870.787326508925</v>
      </c>
      <c r="R22" s="39">
        <f>IF(tblItems[[#This Row],[Item]]="","",tblItems[[#This Row],[Unit cost]]*CarryRate)</f>
        <v>2.76</v>
      </c>
      <c r="S22" s="38">
        <f>IF(tblItems[[#This Row],[Item]]="","",IF(tblItems[[#This Row],[Holding cost]]&gt;0,SQRT(2*tblItems[[#This Row],[Annual demand (units)]]*tblItems[[#This Row],[Order cost]]/tblItems[[#This Row],[Holding cost]]),""))</f>
        <v>2678.41614456721</v>
      </c>
      <c r="T22" s="36">
        <f>IF(tblItems[[#This Row],[Item]]="","",IF(AND(ISNUMBER(tblItems[[#This Row],[EOQ (units)]]),tblItems[[#This Row],[EOQ (units)]]&gt;0),tblItems[[#This Row],[Annual demand (units)]]/tblItems[[#This Row],[EOQ (units)]],""))</f>
        <v>8.2138095100061</v>
      </c>
      <c r="U22" s="38">
        <f>IF(tblItems[[#This Row],[Item]]="","",IF(AND(ISNUMBER(tblItems[[#This Row],[EOQ (units)]]),tblItems[[#This Row],[EOQ (units)]]&gt;0),tblItems[[#This Row],[Annual demand (units)]]*tblItems[[#This Row],[Order cost]]/tblItems[[#This Row],[EOQ (units)]]+tblItems[[#This Row],[Holding cost]]*tblItems[[#This Row],[EOQ (units)]]/2,""))</f>
        <v>7392.42855900549</v>
      </c>
      <c r="V22" s="38">
        <f>IF(tblItems[[#This Row],[Item]]="","",IF(tblItems[[#This Row],[Current order qty (units)]]&gt;0,tblItems[[#This Row],[Annual demand (units)]]*tblItems[[#This Row],[Order cost]]/tblItems[[#This Row],[Current order qty (units)]]+tblItems[[#This Row],[Holding cost]]*tblItems[[#This Row],[Current order qty (units)]]/2,""))</f>
        <v>12277.5</v>
      </c>
      <c r="W22" s="38">
        <f>IF(tblItems[[#This Row],[Item]]="","",IF(AND(ISNUMBER(tblItems[[#This Row],[Annual cost at current qty]]),ISNUMBER(tblItems[[#This Row],[Annual cost at EOQ]])),tblItems[[#This Row],[Annual cost at current qty]]-tblItems[[#This Row],[Annual cost at EOQ]],""))</f>
        <v>4885.07144099451</v>
      </c>
      <c r="X22" s="38">
        <f>IF(tblItems[[#This Row],[Item]]="","",tblItems[[#This Row],[Safety stock (units)]]*tblItems[[#This Row],[Unit cost]])</f>
        <v>1918.05425485264</v>
      </c>
      <c r="Y22" s="38">
        <f>IF(tblItems[[#This Row],[Item]]="","",tblItems[[#This Row],[On hand (units)]]+tblItems[[#This Row],[On order (units)]])</f>
        <v>607</v>
      </c>
      <c r="Z22" s="40">
        <f>IF(tblItems[[#This Row],[Item]]="","",IF((tblItems[[#This Row],[Daily demand (units/day)]])=0,"",(tblItems[[#This Row],[Inventory position (units)]]-tblItems[[#This Row],[Reorder point (units)]])/(tblItems[[#This Row],[Daily demand (units/day)]])))</f>
        <v>-2.99758325578324</v>
      </c>
      <c r="AA22" s="41" t="str">
        <f>IF(tblItems[[#This Row],[Item]]="","",IF(tblItems[[#This Row],[Inventory position (units)]]&lt;=tblItems[[#This Row],[Reorder point (units)]],"Overdue",IF(tblItems[[#This Row],[Cover above ROP (days)]]&lt;=ReviewDays,"Due soon","OK")))</f>
        <v>Overdue</v>
      </c>
      <c r="AB22" s="38">
        <f>IF(tblItems[[#This Row],[Item]]="","",IFERROR(RANK(tblItems[[#This Row],[Cover above ROP (days)]],tblItems[Cover above ROP (days)],1)+COUNTIFS(tblItems[Cover above ROP (days)],tblItems[[#This Row],[Cover above ROP (days)]],tblItems[Item],"&lt;"&amp;tblItems[[#This Row],[Item]]),""))</f>
        <v>2</v>
      </c>
      <c r="AC22" s="42" t="str">
        <f>IF(tblItems[[#This Row],[Item]]="","",IF(tblItems[[#This Row],[Class]]="","Missing class",IF(tblItems[[#This Row],[Annual demand (units)]]="","Missing annual demand",IF(tblItems[[#This Row],[Demand std dev (units/day)]]="","Missing demand std dev",IF(tblItems[[#This Row],[Lead time (days)]]="","Missing lead time",IF(tblItems[[#This Row],[Lead time std dev (days)]]="","Missing lead time std dev",IF(tblItems[[#This Row],[Unit cost]]="","Missing unit cost",IF(tblItems[[#This Row],[Order cost]]="","Missing order cost",IF(COUNTIF(tblItems[Item],tblItems[[#This Row],[Item]])&gt;1,"Item listed twice",IF(tblItems[[#This Row],[Unit cost]]=0,"Unit cost is 0",IF(tblItems[[#This Row],[Current order qty (units)]]=0,"Current order qty is 0","OK")))))))))))</f>
        <v>OK</v>
      </c>
      <c r="AD22" s="28" t="s">
        <v>111</v>
      </c>
    </row>
    <row r="23" spans="2:30" x14ac:dyDescent="0.25">
      <c r="B23" s="28" t="s">
        <v>144</v>
      </c>
      <c r="C23" s="28" t="s">
        <v>145</v>
      </c>
      <c r="D23" s="28" t="s">
        <v>137</v>
      </c>
      <c r="E23" s="30">
        <v>620</v>
      </c>
      <c r="F23" s="34">
        <v>1.3</v>
      </c>
      <c r="G23" s="34">
        <v>8</v>
      </c>
      <c r="H23" s="34">
        <v>2</v>
      </c>
      <c r="I23" s="35">
        <v>245</v>
      </c>
      <c r="J23" s="30">
        <v>450</v>
      </c>
      <c r="K23" s="30">
        <v>290</v>
      </c>
      <c r="L23" s="30">
        <v>23</v>
      </c>
      <c r="M23" s="30">
        <v>0</v>
      </c>
      <c r="N23" s="36">
        <f>IF(tblItems[[#This Row],[Item]]="","",tblItems[[#This Row],[Annual demand (units)]]/WorkDays)</f>
        <v>2.48</v>
      </c>
      <c r="O23" s="37">
        <f>IF(tblItems[[#This Row],[Item]]="","",_xlfn.NORM.S.INV(IF(tblItems[[#This Row],[Class]]="A",SLA,IF(tblItems[[#This Row],[Class]]="B",SLB,SLC))))</f>
        <v>1.2815515655446</v>
      </c>
      <c r="P23" s="38">
        <f>IF(tblItems[[#This Row],[Item]]="","",tblItems[[#This Row],[Service factor z]]*SQRT(tblItems[[#This Row],[Lead time (days)]]*tblItems[[#This Row],[Demand std dev (units/day)]]^2+tblItems[[#This Row],[Daily demand (units/day)]]^2*tblItems[[#This Row],[Lead time std dev (days)]]^2))</f>
        <v>7.91264434336431</v>
      </c>
      <c r="Q23" s="38">
        <f>IF(tblItems[[#This Row],[Item]]="","",tblItems[[#This Row],[Daily demand (units/day)]]*tblItems[[#This Row],[Lead time (days)]]+tblItems[[#This Row],[Safety stock (units)]])</f>
        <v>27.7526443433643</v>
      </c>
      <c r="R23" s="39">
        <f>IF(tblItems[[#This Row],[Item]]="","",tblItems[[#This Row],[Unit cost]]*CarryRate)</f>
        <v>58.8</v>
      </c>
      <c r="S23" s="38">
        <f>IF(tblItems[[#This Row],[Item]]="","",IF(tblItems[[#This Row],[Holding cost]]&gt;0,SQRT(2*tblItems[[#This Row],[Annual demand (units)]]*tblItems[[#This Row],[Order cost]]/tblItems[[#This Row],[Holding cost]]),""))</f>
        <v>97.415583549899</v>
      </c>
      <c r="T23" s="36">
        <f>IF(tblItems[[#This Row],[Item]]="","",IF(AND(ISNUMBER(tblItems[[#This Row],[EOQ (units)]]),tblItems[[#This Row],[EOQ (units)]]&gt;0),tblItems[[#This Row],[Annual demand (units)]]/tblItems[[#This Row],[EOQ (units)]],""))</f>
        <v>6.36448479192673</v>
      </c>
      <c r="U23" s="38">
        <f>IF(tblItems[[#This Row],[Item]]="","",IF(AND(ISNUMBER(tblItems[[#This Row],[EOQ (units)]]),tblItems[[#This Row],[EOQ (units)]]&gt;0),tblItems[[#This Row],[Annual demand (units)]]*tblItems[[#This Row],[Order cost]]/tblItems[[#This Row],[EOQ (units)]]+tblItems[[#This Row],[Holding cost]]*tblItems[[#This Row],[EOQ (units)]]/2,""))</f>
        <v>5728.03631273406</v>
      </c>
      <c r="V23" s="38">
        <f>IF(tblItems[[#This Row],[Item]]="","",IF(tblItems[[#This Row],[Current order qty (units)]]&gt;0,tblItems[[#This Row],[Annual demand (units)]]*tblItems[[#This Row],[Order cost]]/tblItems[[#This Row],[Current order qty (units)]]+tblItems[[#This Row],[Holding cost]]*tblItems[[#This Row],[Current order qty (units)]]/2,""))</f>
        <v>9488.06896551724</v>
      </c>
      <c r="W23" s="38">
        <f>IF(tblItems[[#This Row],[Item]]="","",IF(AND(ISNUMBER(tblItems[[#This Row],[Annual cost at current qty]]),ISNUMBER(tblItems[[#This Row],[Annual cost at EOQ]])),tblItems[[#This Row],[Annual cost at current qty]]-tblItems[[#This Row],[Annual cost at EOQ]],""))</f>
        <v>3760.03265278318</v>
      </c>
      <c r="X23" s="38">
        <f>IF(tblItems[[#This Row],[Item]]="","",tblItems[[#This Row],[Safety stock (units)]]*tblItems[[#This Row],[Unit cost]])</f>
        <v>1938.59786412426</v>
      </c>
      <c r="Y23" s="38">
        <f>IF(tblItems[[#This Row],[Item]]="","",tblItems[[#This Row],[On hand (units)]]+tblItems[[#This Row],[On order (units)]])</f>
        <v>23</v>
      </c>
      <c r="Z23" s="40">
        <f>IF(tblItems[[#This Row],[Item]]="","",IF((tblItems[[#This Row],[Daily demand (units/day)]])=0,"",(tblItems[[#This Row],[Inventory position (units)]]-tblItems[[#This Row],[Reorder point (units)]])/(tblItems[[#This Row],[Daily demand (units/day)]])))</f>
        <v>-1.91638884813077</v>
      </c>
      <c r="AA23" s="41" t="str">
        <f>IF(tblItems[[#This Row],[Item]]="","",IF(tblItems[[#This Row],[Inventory position (units)]]&lt;=tblItems[[#This Row],[Reorder point (units)]],"Overdue",IF(tblItems[[#This Row],[Cover above ROP (days)]]&lt;=ReviewDays,"Due soon","OK")))</f>
        <v>Overdue</v>
      </c>
      <c r="AB23" s="38">
        <f>IF(tblItems[[#This Row],[Item]]="","",IFERROR(RANK(tblItems[[#This Row],[Cover above ROP (days)]],tblItems[Cover above ROP (days)],1)+COUNTIFS(tblItems[Cover above ROP (days)],tblItems[[#This Row],[Cover above ROP (days)]],tblItems[Item],"&lt;"&amp;tblItems[[#This Row],[Item]]),""))</f>
        <v>3</v>
      </c>
      <c r="AC23" s="42" t="str">
        <f>IF(tblItems[[#This Row],[Item]]="","",IF(tblItems[[#This Row],[Class]]="","Missing class",IF(tblItems[[#This Row],[Annual demand (units)]]="","Missing annual demand",IF(tblItems[[#This Row],[Demand std dev (units/day)]]="","Missing demand std dev",IF(tblItems[[#This Row],[Lead time (days)]]="","Missing lead time",IF(tblItems[[#This Row],[Lead time std dev (days)]]="","Missing lead time std dev",IF(tblItems[[#This Row],[Unit cost]]="","Missing unit cost",IF(tblItems[[#This Row],[Order cost]]="","Missing order cost",IF(COUNTIF(tblItems[Item],tblItems[[#This Row],[Item]])&gt;1,"Item listed twice",IF(tblItems[[#This Row],[Unit cost]]=0,"Unit cost is 0",IF(tblItems[[#This Row],[Current order qty (units)]]=0,"Current order qty is 0","OK")))))))))))</f>
        <v>OK</v>
      </c>
      <c r="AD23" s="28" t="s">
        <v>111</v>
      </c>
    </row>
    <row r="24" spans="2:30" x14ac:dyDescent="0.25">
      <c r="B24" s="28" t="s">
        <v>146</v>
      </c>
      <c r="C24" s="28" t="s">
        <v>147</v>
      </c>
      <c r="D24" s="28" t="s">
        <v>137</v>
      </c>
      <c r="E24" s="30">
        <v>2100</v>
      </c>
      <c r="F24" s="34">
        <v>3.5</v>
      </c>
      <c r="G24" s="34">
        <v>8</v>
      </c>
      <c r="H24" s="34">
        <v>1</v>
      </c>
      <c r="I24" s="35">
        <v>96</v>
      </c>
      <c r="J24" s="30">
        <v>450</v>
      </c>
      <c r="K24" s="30">
        <v>700</v>
      </c>
      <c r="L24" s="30">
        <v>201</v>
      </c>
      <c r="M24" s="30">
        <v>0</v>
      </c>
      <c r="N24" s="36">
        <f>IF(tblItems[[#This Row],[Item]]="","",tblItems[[#This Row],[Annual demand (units)]]/WorkDays)</f>
        <v>8.4</v>
      </c>
      <c r="O24" s="37">
        <f>IF(tblItems[[#This Row],[Item]]="","",_xlfn.NORM.S.INV(IF(tblItems[[#This Row],[Class]]="A",SLA,IF(tblItems[[#This Row],[Class]]="B",SLB,SLC))))</f>
        <v>1.2815515655446</v>
      </c>
      <c r="P24" s="38">
        <f>IF(tblItems[[#This Row],[Item]]="","",tblItems[[#This Row],[Service factor z]]*SQRT(tblItems[[#This Row],[Lead time (days)]]*tblItems[[#This Row],[Demand std dev (units/day)]]^2+tblItems[[#This Row],[Daily demand (units/day)]]^2*tblItems[[#This Row],[Lead time std dev (days)]]^2))</f>
        <v>16.6384684216322</v>
      </c>
      <c r="Q24" s="38">
        <f>IF(tblItems[[#This Row],[Item]]="","",tblItems[[#This Row],[Daily demand (units/day)]]*tblItems[[#This Row],[Lead time (days)]]+tblItems[[#This Row],[Safety stock (units)]])</f>
        <v>83.8384684216322</v>
      </c>
      <c r="R24" s="39">
        <f>IF(tblItems[[#This Row],[Item]]="","",tblItems[[#This Row],[Unit cost]]*CarryRate)</f>
        <v>23.04</v>
      </c>
      <c r="S24" s="38">
        <f>IF(tblItems[[#This Row],[Item]]="","",IF(tblItems[[#This Row],[Holding cost]]&gt;0,SQRT(2*tblItems[[#This Row],[Annual demand (units)]]*tblItems[[#This Row],[Order cost]]/tblItems[[#This Row],[Holding cost]]),""))</f>
        <v>286.41098093474</v>
      </c>
      <c r="T24" s="36">
        <f>IF(tblItems[[#This Row],[Item]]="","",IF(AND(ISNUMBER(tblItems[[#This Row],[EOQ (units)]]),tblItems[[#This Row],[EOQ (units)]]&gt;0),tblItems[[#This Row],[Annual demand (units)]]/tblItems[[#This Row],[EOQ (units)]],""))</f>
        <v>7.33212111192934</v>
      </c>
      <c r="U24" s="38">
        <f>IF(tblItems[[#This Row],[Item]]="","",IF(AND(ISNUMBER(tblItems[[#This Row],[EOQ (units)]]),tblItems[[#This Row],[EOQ (units)]]&gt;0),tblItems[[#This Row],[Annual demand (units)]]*tblItems[[#This Row],[Order cost]]/tblItems[[#This Row],[EOQ (units)]]+tblItems[[#This Row],[Holding cost]]*tblItems[[#This Row],[EOQ (units)]]/2,""))</f>
        <v>6598.90900073641</v>
      </c>
      <c r="V24" s="38">
        <f>IF(tblItems[[#This Row],[Item]]="","",IF(tblItems[[#This Row],[Current order qty (units)]]&gt;0,tblItems[[#This Row],[Annual demand (units)]]*tblItems[[#This Row],[Order cost]]/tblItems[[#This Row],[Current order qty (units)]]+tblItems[[#This Row],[Holding cost]]*tblItems[[#This Row],[Current order qty (units)]]/2,""))</f>
        <v>9414</v>
      </c>
      <c r="W24" s="38">
        <f>IF(tblItems[[#This Row],[Item]]="","",IF(AND(ISNUMBER(tblItems[[#This Row],[Annual cost at current qty]]),ISNUMBER(tblItems[[#This Row],[Annual cost at EOQ]])),tblItems[[#This Row],[Annual cost at current qty]]-tblItems[[#This Row],[Annual cost at EOQ]],""))</f>
        <v>2815.09099926359</v>
      </c>
      <c r="X24" s="38">
        <f>IF(tblItems[[#This Row],[Item]]="","",tblItems[[#This Row],[Safety stock (units)]]*tblItems[[#This Row],[Unit cost]])</f>
        <v>1597.2929684767</v>
      </c>
      <c r="Y24" s="38">
        <f>IF(tblItems[[#This Row],[Item]]="","",tblItems[[#This Row],[On hand (units)]]+tblItems[[#This Row],[On order (units)]])</f>
        <v>201</v>
      </c>
      <c r="Z24" s="40">
        <f>IF(tblItems[[#This Row],[Item]]="","",IF((tblItems[[#This Row],[Daily demand (units/day)]])=0,"",(tblItems[[#This Row],[Inventory position (units)]]-tblItems[[#This Row],[Reorder point (units)]])/(tblItems[[#This Row],[Daily demand (units/day)]])))</f>
        <v>13.9478013783771</v>
      </c>
      <c r="AA24" s="41" t="str">
        <f>IF(tblItems[[#This Row],[Item]]="","",IF(tblItems[[#This Row],[Inventory position (units)]]&lt;=tblItems[[#This Row],[Reorder point (units)]],"Overdue",IF(tblItems[[#This Row],[Cover above ROP (days)]]&lt;=ReviewDays,"Due soon","OK")))</f>
        <v>OK</v>
      </c>
      <c r="AB24" s="38">
        <f>IF(tblItems[[#This Row],[Item]]="","",IFERROR(RANK(tblItems[[#This Row],[Cover above ROP (days)]],tblItems[Cover above ROP (days)],1)+COUNTIFS(tblItems[Cover above ROP (days)],tblItems[[#This Row],[Cover above ROP (days)]],tblItems[Item],"&lt;"&amp;tblItems[[#This Row],[Item]]),""))</f>
        <v>13</v>
      </c>
      <c r="AC24" s="42" t="str">
        <f>IF(tblItems[[#This Row],[Item]]="","",IF(tblItems[[#This Row],[Class]]="","Missing class",IF(tblItems[[#This Row],[Annual demand (units)]]="","Missing annual demand",IF(tblItems[[#This Row],[Demand std dev (units/day)]]="","Missing demand std dev",IF(tblItems[[#This Row],[Lead time (days)]]="","Missing lead time",IF(tblItems[[#This Row],[Lead time std dev (days)]]="","Missing lead time std dev",IF(tblItems[[#This Row],[Unit cost]]="","Missing unit cost",IF(tblItems[[#This Row],[Order cost]]="","Missing order cost",IF(COUNTIF(tblItems[Item],tblItems[[#This Row],[Item]])&gt;1,"Item listed twice",IF(tblItems[[#This Row],[Unit cost]]=0,"Unit cost is 0",IF(tblItems[[#This Row],[Current order qty (units)]]=0,"Current order qty is 0","OK")))))))))))</f>
        <v>OK</v>
      </c>
      <c r="AD24" s="28" t="s">
        <v>111</v>
      </c>
    </row>
    <row r="25" spans="2:30" x14ac:dyDescent="0.25">
      <c r="B25" s="28" t="s">
        <v>148</v>
      </c>
      <c r="C25" s="28" t="s">
        <v>149</v>
      </c>
      <c r="D25" s="28" t="s">
        <v>137</v>
      </c>
      <c r="E25" s="30">
        <v>540</v>
      </c>
      <c r="F25" s="34">
        <v>0.9</v>
      </c>
      <c r="G25" s="34">
        <v>8</v>
      </c>
      <c r="H25" s="34">
        <v>1</v>
      </c>
      <c r="I25" s="35">
        <v>182</v>
      </c>
      <c r="J25" s="30">
        <v>450</v>
      </c>
      <c r="K25" s="30">
        <v>80</v>
      </c>
      <c r="L25" s="30">
        <v>82</v>
      </c>
      <c r="M25" s="30">
        <v>0</v>
      </c>
      <c r="N25" s="36">
        <f>IF(tblItems[[#This Row],[Item]]="","",tblItems[[#This Row],[Annual demand (units)]]/WorkDays)</f>
        <v>2.16</v>
      </c>
      <c r="O25" s="37">
        <f>IF(tblItems[[#This Row],[Item]]="","",_xlfn.NORM.S.INV(IF(tblItems[[#This Row],[Class]]="A",SLA,IF(tblItems[[#This Row],[Class]]="B",SLB,SLC))))</f>
        <v>1.2815515655446</v>
      </c>
      <c r="P25" s="38">
        <f>IF(tblItems[[#This Row],[Item]]="","",tblItems[[#This Row],[Service factor z]]*SQRT(tblItems[[#This Row],[Lead time (days)]]*tblItems[[#This Row],[Demand std dev (units/day)]]^2+tblItems[[#This Row],[Daily demand (units/day)]]^2*tblItems[[#This Row],[Lead time std dev (days)]]^2))</f>
        <v>4.27846330841972</v>
      </c>
      <c r="Q25" s="38">
        <f>IF(tblItems[[#This Row],[Item]]="","",tblItems[[#This Row],[Daily demand (units/day)]]*tblItems[[#This Row],[Lead time (days)]]+tblItems[[#This Row],[Safety stock (units)]])</f>
        <v>21.5584633084197</v>
      </c>
      <c r="R25" s="39">
        <f>IF(tblItems[[#This Row],[Item]]="","",tblItems[[#This Row],[Unit cost]]*CarryRate)</f>
        <v>43.68</v>
      </c>
      <c r="S25" s="38">
        <f>IF(tblItems[[#This Row],[Item]]="","",IF(tblItems[[#This Row],[Holding cost]]&gt;0,SQRT(2*tblItems[[#This Row],[Annual demand (units)]]*tblItems[[#This Row],[Order cost]]/tblItems[[#This Row],[Holding cost]]),""))</f>
        <v>105.481626961161</v>
      </c>
      <c r="T25" s="36">
        <f>IF(tblItems[[#This Row],[Item]]="","",IF(AND(ISNUMBER(tblItems[[#This Row],[EOQ (units)]]),tblItems[[#This Row],[EOQ (units)]]&gt;0),tblItems[[#This Row],[Annual demand (units)]]/tblItems[[#This Row],[EOQ (units)]],""))</f>
        <v>5.11937496184837</v>
      </c>
      <c r="U25" s="38">
        <f>IF(tblItems[[#This Row],[Item]]="","",IF(AND(ISNUMBER(tblItems[[#This Row],[EOQ (units)]]),tblItems[[#This Row],[EOQ (units)]]&gt;0),tblItems[[#This Row],[Annual demand (units)]]*tblItems[[#This Row],[Order cost]]/tblItems[[#This Row],[EOQ (units)]]+tblItems[[#This Row],[Holding cost]]*tblItems[[#This Row],[EOQ (units)]]/2,""))</f>
        <v>4607.43746566353</v>
      </c>
      <c r="V25" s="38">
        <f>IF(tblItems[[#This Row],[Item]]="","",IF(tblItems[[#This Row],[Current order qty (units)]]&gt;0,tblItems[[#This Row],[Annual demand (units)]]*tblItems[[#This Row],[Order cost]]/tblItems[[#This Row],[Current order qty (units)]]+tblItems[[#This Row],[Holding cost]]*tblItems[[#This Row],[Current order qty (units)]]/2,""))</f>
        <v>4784.7</v>
      </c>
      <c r="W25" s="38">
        <f>IF(tblItems[[#This Row],[Item]]="","",IF(AND(ISNUMBER(tblItems[[#This Row],[Annual cost at current qty]]),ISNUMBER(tblItems[[#This Row],[Annual cost at EOQ]])),tblItems[[#This Row],[Annual cost at current qty]]-tblItems[[#This Row],[Annual cost at EOQ]],""))</f>
        <v>177.262534336467</v>
      </c>
      <c r="X25" s="38">
        <f>IF(tblItems[[#This Row],[Item]]="","",tblItems[[#This Row],[Safety stock (units)]]*tblItems[[#This Row],[Unit cost]])</f>
        <v>778.680322132389</v>
      </c>
      <c r="Y25" s="38">
        <f>IF(tblItems[[#This Row],[Item]]="","",tblItems[[#This Row],[On hand (units)]]+tblItems[[#This Row],[On order (units)]])</f>
        <v>82</v>
      </c>
      <c r="Z25" s="40">
        <f>IF(tblItems[[#This Row],[Item]]="","",IF((tblItems[[#This Row],[Daily demand (units/day)]])=0,"",(tblItems[[#This Row],[Inventory position (units)]]-tblItems[[#This Row],[Reorder point (units)]])/(tblItems[[#This Row],[Daily demand (units/day)]])))</f>
        <v>27.9821929127686</v>
      </c>
      <c r="AA25" s="41" t="str">
        <f>IF(tblItems[[#This Row],[Item]]="","",IF(tblItems[[#This Row],[Inventory position (units)]]&lt;=tblItems[[#This Row],[Reorder point (units)]],"Overdue",IF(tblItems[[#This Row],[Cover above ROP (days)]]&lt;=ReviewDays,"Due soon","OK")))</f>
        <v>OK</v>
      </c>
      <c r="AB25" s="38">
        <f>IF(tblItems[[#This Row],[Item]]="","",IFERROR(RANK(tblItems[[#This Row],[Cover above ROP (days)]],tblItems[Cover above ROP (days)],1)+COUNTIFS(tblItems[Cover above ROP (days)],tblItems[[#This Row],[Cover above ROP (days)]],tblItems[Item],"&lt;"&amp;tblItems[[#This Row],[Item]]),""))</f>
        <v>18</v>
      </c>
      <c r="AC25" s="42" t="str">
        <f>IF(tblItems[[#This Row],[Item]]="","",IF(tblItems[[#This Row],[Class]]="","Missing class",IF(tblItems[[#This Row],[Annual demand (units)]]="","Missing annual demand",IF(tblItems[[#This Row],[Demand std dev (units/day)]]="","Missing demand std dev",IF(tblItems[[#This Row],[Lead time (days)]]="","Missing lead time",IF(tblItems[[#This Row],[Lead time std dev (days)]]="","Missing lead time std dev",IF(tblItems[[#This Row],[Unit cost]]="","Missing unit cost",IF(tblItems[[#This Row],[Order cost]]="","Missing order cost",IF(COUNTIF(tblItems[Item],tblItems[[#This Row],[Item]])&gt;1,"Item listed twice",IF(tblItems[[#This Row],[Unit cost]]=0,"Unit cost is 0",IF(tblItems[[#This Row],[Current order qty (units)]]=0,"Current order qty is 0","OK")))))))))))</f>
        <v>OK</v>
      </c>
      <c r="AD25" s="28" t="s">
        <v>111</v>
      </c>
    </row>
    <row r="26" spans="2:30" x14ac:dyDescent="0.25">
      <c r="B26" s="28" t="s">
        <v>150</v>
      </c>
      <c r="C26" s="28" t="s">
        <v>151</v>
      </c>
      <c r="D26" s="28" t="s">
        <v>137</v>
      </c>
      <c r="E26" s="30">
        <v>960</v>
      </c>
      <c r="F26" s="34">
        <v>1.8</v>
      </c>
      <c r="G26" s="34">
        <v>8</v>
      </c>
      <c r="H26" s="34">
        <v>1</v>
      </c>
      <c r="I26" s="35">
        <v>128</v>
      </c>
      <c r="J26" s="30">
        <v>450</v>
      </c>
      <c r="K26" s="30">
        <v>500</v>
      </c>
      <c r="L26" s="30">
        <v>66</v>
      </c>
      <c r="M26" s="30">
        <v>0</v>
      </c>
      <c r="N26" s="36">
        <f>IF(tblItems[[#This Row],[Item]]="","",tblItems[[#This Row],[Annual demand (units)]]/WorkDays)</f>
        <v>3.84</v>
      </c>
      <c r="O26" s="37">
        <f>IF(tblItems[[#This Row],[Item]]="","",_xlfn.NORM.S.INV(IF(tblItems[[#This Row],[Class]]="A",SLA,IF(tblItems[[#This Row],[Class]]="B",SLB,SLC))))</f>
        <v>1.2815515655446</v>
      </c>
      <c r="P26" s="38">
        <f>IF(tblItems[[#This Row],[Item]]="","",tblItems[[#This Row],[Service factor z]]*SQRT(tblItems[[#This Row],[Lead time (days)]]*tblItems[[#This Row],[Demand std dev (units/day)]]^2+tblItems[[#This Row],[Daily demand (units/day)]]^2*tblItems[[#This Row],[Lead time std dev (days)]]^2))</f>
        <v>8.17240117815544</v>
      </c>
      <c r="Q26" s="38">
        <f>IF(tblItems[[#This Row],[Item]]="","",tblItems[[#This Row],[Daily demand (units/day)]]*tblItems[[#This Row],[Lead time (days)]]+tblItems[[#This Row],[Safety stock (units)]])</f>
        <v>38.8924011781554</v>
      </c>
      <c r="R26" s="39">
        <f>IF(tblItems[[#This Row],[Item]]="","",tblItems[[#This Row],[Unit cost]]*CarryRate)</f>
        <v>30.72</v>
      </c>
      <c r="S26" s="38">
        <f>IF(tblItems[[#This Row],[Item]]="","",IF(tblItems[[#This Row],[Holding cost]]&gt;0,SQRT(2*tblItems[[#This Row],[Annual demand (units)]]*tblItems[[#This Row],[Order cost]]/tblItems[[#This Row],[Holding cost]]),""))</f>
        <v>167.705098312484</v>
      </c>
      <c r="T26" s="36">
        <f>IF(tblItems[[#This Row],[Item]]="","",IF(AND(ISNUMBER(tblItems[[#This Row],[EOQ (units)]]),tblItems[[#This Row],[EOQ (units)]]&gt;0),tblItems[[#This Row],[Annual demand (units)]]/tblItems[[#This Row],[EOQ (units)]],""))</f>
        <v>5.72433402239946</v>
      </c>
      <c r="U26" s="38">
        <f>IF(tblItems[[#This Row],[Item]]="","",IF(AND(ISNUMBER(tblItems[[#This Row],[EOQ (units)]]),tblItems[[#This Row],[EOQ (units)]]&gt;0),tblItems[[#This Row],[Annual demand (units)]]*tblItems[[#This Row],[Order cost]]/tblItems[[#This Row],[EOQ (units)]]+tblItems[[#This Row],[Holding cost]]*tblItems[[#This Row],[EOQ (units)]]/2,""))</f>
        <v>5151.90062015952</v>
      </c>
      <c r="V26" s="38">
        <f>IF(tblItems[[#This Row],[Item]]="","",IF(tblItems[[#This Row],[Current order qty (units)]]&gt;0,tblItems[[#This Row],[Annual demand (units)]]*tblItems[[#This Row],[Order cost]]/tblItems[[#This Row],[Current order qty (units)]]+tblItems[[#This Row],[Holding cost]]*tblItems[[#This Row],[Current order qty (units)]]/2,""))</f>
        <v>8544</v>
      </c>
      <c r="W26" s="38">
        <f>IF(tblItems[[#This Row],[Item]]="","",IF(AND(ISNUMBER(tblItems[[#This Row],[Annual cost at current qty]]),ISNUMBER(tblItems[[#This Row],[Annual cost at EOQ]])),tblItems[[#This Row],[Annual cost at current qty]]-tblItems[[#This Row],[Annual cost at EOQ]],""))</f>
        <v>3392.09937984049</v>
      </c>
      <c r="X26" s="38">
        <f>IF(tblItems[[#This Row],[Item]]="","",tblItems[[#This Row],[Safety stock (units)]]*tblItems[[#This Row],[Unit cost]])</f>
        <v>1046.0673508039</v>
      </c>
      <c r="Y26" s="38">
        <f>IF(tblItems[[#This Row],[Item]]="","",tblItems[[#This Row],[On hand (units)]]+tblItems[[#This Row],[On order (units)]])</f>
        <v>66</v>
      </c>
      <c r="Z26" s="40">
        <f>IF(tblItems[[#This Row],[Item]]="","",IF((tblItems[[#This Row],[Daily demand (units/day)]])=0,"",(tblItems[[#This Row],[Inventory position (units)]]-tblItems[[#This Row],[Reorder point (units)]])/(tblItems[[#This Row],[Daily demand (units/day)]])))</f>
        <v>7.05927052652202</v>
      </c>
      <c r="AA26" s="41" t="str">
        <f>IF(tblItems[[#This Row],[Item]]="","",IF(tblItems[[#This Row],[Inventory position (units)]]&lt;=tblItems[[#This Row],[Reorder point (units)]],"Overdue",IF(tblItems[[#This Row],[Cover above ROP (days)]]&lt;=ReviewDays,"Due soon","OK")))</f>
        <v>OK</v>
      </c>
      <c r="AB26" s="38">
        <f>IF(tblItems[[#This Row],[Item]]="","",IFERROR(RANK(tblItems[[#This Row],[Cover above ROP (days)]],tblItems[Cover above ROP (days)],1)+COUNTIFS(tblItems[Cover above ROP (days)],tblItems[[#This Row],[Cover above ROP (days)]],tblItems[Item],"&lt;"&amp;tblItems[[#This Row],[Item]]),""))</f>
        <v>10</v>
      </c>
      <c r="AC26" s="42" t="str">
        <f>IF(tblItems[[#This Row],[Item]]="","",IF(tblItems[[#This Row],[Class]]="","Missing class",IF(tblItems[[#This Row],[Annual demand (units)]]="","Missing annual demand",IF(tblItems[[#This Row],[Demand std dev (units/day)]]="","Missing demand std dev",IF(tblItems[[#This Row],[Lead time (days)]]="","Missing lead time",IF(tblItems[[#This Row],[Lead time std dev (days)]]="","Missing lead time std dev",IF(tblItems[[#This Row],[Unit cost]]="","Missing unit cost",IF(tblItems[[#This Row],[Order cost]]="","Missing order cost",IF(COUNTIF(tblItems[Item],tblItems[[#This Row],[Item]])&gt;1,"Item listed twice",IF(tblItems[[#This Row],[Unit cost]]=0,"Unit cost is 0",IF(tblItems[[#This Row],[Current order qty (units)]]=0,"Current order qty is 0","OK")))))))))))</f>
        <v>OK</v>
      </c>
      <c r="AD26" s="28" t="s">
        <v>111</v>
      </c>
    </row>
  </sheetData>
  <mergeCells count="3">
    <mergeCell ref="A1:AD1"/>
    <mergeCell ref="B2:AC2"/>
    <mergeCell ref="B4:AD4"/>
  </mergeCells>
  <conditionalFormatting sqref="AA7:AA526">
    <cfRule type="cellIs" dxfId="0" priority="2" operator="equal">
      <formula>"On target"</formula>
    </cfRule>
    <cfRule type="cellIs" dxfId="0" priority="3" operator="equal">
      <formula>"PASS"</formula>
    </cfRule>
    <cfRule type="cellIs" dxfId="0" priority="4" operator="equal">
      <formula>"OK"</formula>
    </cfRule>
    <cfRule type="cellIs" dxfId="0" priority="5" operator="equal">
      <formula>"Within limits"</formula>
    </cfRule>
    <cfRule type="cellIs" dxfId="0" priority="6" operator="equal">
      <formula>"Under capacity"</formula>
    </cfRule>
    <cfRule type="cellIs" dxfId="0" priority="7" operator="equal">
      <formula>"Complete"</formula>
    </cfRule>
    <cfRule type="cellIs" dxfId="0" priority="8" operator="equal">
      <formula>"Yes"</formula>
    </cfRule>
    <cfRule type="cellIs" dxfId="1" priority="9" operator="equal">
      <formula>"Near target"</formula>
    </cfRule>
    <cfRule type="cellIs" dxfId="1" priority="10" operator="equal">
      <formula>"Check"</formula>
    </cfRule>
    <cfRule type="cellIs" dxfId="1" priority="11" operator="equal">
      <formula>"Due soon"</formula>
    </cfRule>
    <cfRule type="cellIs" dxfId="1" priority="12" operator="equal">
      <formula>"Near capacity"</formula>
    </cfRule>
    <cfRule type="cellIs" dxfId="1" priority="13" operator="equal">
      <formula>"In progress"</formula>
    </cfRule>
    <cfRule type="cellIs" dxfId="1" priority="14" operator="equal">
      <formula>"Partial"</formula>
    </cfRule>
    <cfRule type="cellIs" dxfId="2" priority="15" operator="equal">
      <formula>"Below target"</formula>
    </cfRule>
    <cfRule type="cellIs" dxfId="2" priority="16" operator="equal">
      <formula>"Above target"</formula>
    </cfRule>
    <cfRule type="cellIs" dxfId="2" priority="17" operator="equal">
      <formula>"FAIL"</formula>
    </cfRule>
    <cfRule type="cellIs" dxfId="2" priority="18" operator="equal">
      <formula>"Over capacity"</formula>
    </cfRule>
    <cfRule type="cellIs" dxfId="2" priority="19" operator="equal">
      <formula>"Overdue"</formula>
    </cfRule>
    <cfRule type="cellIs" dxfId="2" priority="20" operator="equal">
      <formula>"Out of limits"</formula>
    </cfRule>
    <cfRule type="cellIs" dxfId="2" priority="21" operator="equal">
      <formula>"No"</formula>
    </cfRule>
  </conditionalFormatting>
  <conditionalFormatting sqref="AC7:AC526">
    <cfRule type="expression" dxfId="3" priority="22">
      <formula>$AC7="OK"</formula>
    </cfRule>
    <cfRule type="expression" dxfId="1" priority="23">
      <formula>AND($AC7&lt;&gt;"",$AC7&lt;&gt;"OK")</formula>
    </cfRule>
  </conditionalFormatting>
  <conditionalFormatting sqref="W7:W526">
    <cfRule type="dataBar" priority="1">
      <dataBar>
        <cfvo type="num" val="0"/>
        <cfvo type="max"/>
        <color rgb="FFA8BDF0"/>
      </dataBar>
      <extLst>
        <ext xmlns:x14="http://schemas.microsoft.com/office/spreadsheetml/2009/9/main" uri="{B025F937-C7B1-47D3-B67F-A62EFF666E3E}">
          <x14:id>{DA7ABA51-AAAA-BBBB-0003-000000000001}</x14:id>
        </ext>
      </extLst>
    </cfRule>
  </conditionalFormatting>
  <dataValidations count="13">
    <dataValidation type="textLength" allowBlank="1" showInputMessage="1" showErrorMessage="1" errorTitle="Check this entry" error="Text up to 40 characters." promptTitle="Item" prompt="Text up to 40 characters." sqref="B7:B526">
      <formula1>0</formula1>
      <formula2>40</formula2>
    </dataValidation>
    <dataValidation type="textLength" allowBlank="1" showInputMessage="1" showErrorMessage="1" errorTitle="Check this entry" error="Text up to 80 characters." promptTitle="Description" prompt="Text up to 80 characters." sqref="C7:C526">
      <formula1>0</formula1>
      <formula2>80</formula2>
    </dataValidation>
    <dataValidation type="list" allowBlank="1" showInputMessage="1" showErrorMessage="1" errorTitle="Check this entry" error="Pick one of: A, B, C." promptTitle="Class" prompt="ABC class: picks the service level from Setup. Pick one of: A, B, C." sqref="D7:D526">
      <formula1>"A,B,C"</formula1>
    </dataValidation>
    <dataValidation type="decimal" allowBlank="1" showInputMessage="1" showErrorMessage="1" errorTitle="Check this entry" error="Enter a number of at least 0." promptTitle="Annual demand (units)" prompt="Units used or sold in a year (last 12 months or forecast). Enter a number of at least 0." sqref="E7:E526">
      <formula1>0</formula1>
      <formula2>1000000000000.0</formula2>
    </dataValidation>
    <dataValidation type="decimal" allowBlank="1" showInputMessage="1" showErrorMessage="1" errorTitle="Check this entry" error="Enter a number of at least 0." promptTitle="Demand std dev (units/day)" prompt="Standard deviation of daily demand, from daily (or weekly / sqrt 5) usage history. Enter a number of at least 0." sqref="F7:F526">
      <formula1>0</formula1>
      <formula2>10000000000.0</formula2>
    </dataValidation>
    <dataValidation type="decimal" allowBlank="1" showInputMessage="1" showErrorMessage="1" errorTitle="Check this entry" error="Enter a number from 0 to 3,650." promptTitle="Lead time (days)" prompt="Average working days from placing an order to stock being available. Enter a number from 0 to 3,650." sqref="G7:G526">
      <formula1>0</formula1>
      <formula2>3650</formula2>
    </dataValidation>
    <dataValidation type="decimal" allowBlank="1" showInputMessage="1" showErrorMessage="1" errorTitle="Check this entry" error="Enter a number from 0 to 3,650." promptTitle="Lead time std dev (days)" prompt="Standard deviation of lead time in working days; 0 if it never varies. Enter a number from 0 to 3,650." sqref="H7:H526">
      <formula1>0</formula1>
      <formula2>3650</formula2>
    </dataValidation>
    <dataValidation type="decimal" allowBlank="1" showInputMessage="1" showErrorMessage="1" errorTitle="Check this entry" error="Enter a number of at least 0." promptTitle="Unit cost" prompt="Enter a number of at least 0." sqref="I7:I526">
      <formula1>0</formula1>
      <formula2>1000000000.0</formula2>
    </dataValidation>
    <dataValidation type="decimal" allowBlank="1" showInputMessage="1" showErrorMessage="1" errorTitle="Check this entry" error="Enter a number of at least 0." promptTitle="Order cost" prompt="Cost of placing and receiving one order (purchasing, receiving, inspection, invoice), or one setup for a made item. Enter a number of at least 0." sqref="J7:J526">
      <formula1>0</formula1>
      <formula2>1000000000.0</formula2>
    </dataValidation>
    <dataValidation type="decimal" allowBlank="1" showInputMessage="1" showErrorMessage="1" errorTitle="Check this entry" error="Enter a number of at least 1." promptTitle="Current order qty (units)" prompt="The lot you order today. Enter a number of at least 1." sqref="K7:K526">
      <formula1>1</formula1>
      <formula2>1000000000000.0</formula2>
    </dataValidation>
    <dataValidation type="decimal" allowBlank="1" showInputMessage="1" showErrorMessage="1" errorTitle="Check this entry" error="Enter a number of at least 0." promptTitle="On hand (units)" prompt="Enter a number of at least 0." sqref="L7:L526">
      <formula1>0</formula1>
      <formula2>1000000000000.0</formula2>
    </dataValidation>
    <dataValidation type="decimal" allowBlank="1" showInputMessage="1" showErrorMessage="1" errorTitle="Check this entry" error="Enter a number of at least 0." promptTitle="On order (units)" prompt="Ordered but not yet received. Enter a number of at least 0." sqref="M7:M526">
      <formula1>0</formula1>
      <formula2>1000000000000.0</formula2>
    </dataValidation>
    <dataValidation type="textLength" allowBlank="1" showInputMessage="1" showErrorMessage="1" errorTitle="Check this entry" error="Text up to 255 characters." promptTitle="Notes" prompt="Text up to 255 characters." sqref="AD7:AD526">
      <formula1>0</formula1>
      <formula2>255</formula2>
    </dataValidation>
  </dataValidations>
  <hyperlinks>
    <hyperlink ref="AD2" r:id="rId1" tooltip="Free manufacturing calculators and templates"/>
  </hyperlinks>
  <pageMargins left="0.4" right="0.4" top="0.7" bottom="0.65" header="0.3" footer="0.3"/>
  <pageSetup fitToHeight="0" orientation="landscape"/>
  <headerFooter>
    <oddHeader>&amp;L&amp;8MFG Calcs - Reorder Point and EOQ Planner&amp;R&amp;8&amp;A</oddHeader>
    <oddFooter>&amp;L&amp;8mfgcalcs.com - free manufacturing templates&amp;R&amp;8Page &amp;P of &amp;N</oddFooter>
  </headerFooter>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DA7ABA51-AAAA-BBBB-0003-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W7:W526</xm:sqref>
        </x14:conditionalFormatting>
      </x14:conditionalFormattings>
    </ext>
  </extLst>
</worksheet>
</file>

<file path=xl/worksheets/sheet4.xml><?xml version="1.0" encoding="utf-8"?>
<worksheet xmlns="http://schemas.openxmlformats.org/spreadsheetml/2006/main" xmlns:r="http://schemas.openxmlformats.org/officeDocument/2006/relationships">
  <sheetPr>
    <tabColor rgb="FF1BA37A"/>
    <pageSetUpPr fitToPage="1"/>
  </sheetPr>
  <dimension ref="A1:L65"/>
  <sheetViews>
    <sheetView showGridLines="0" zoomScale="90" zoomScaleNormal="90" workbookViewId="0"/>
  </sheetViews>
  <sheetFormatPr defaultRowHeight="15"/>
  <cols>
    <col min="1" max="1" width="2.7109375" customWidth="1"/>
    <col min="2" max="2" width="20.7109375" customWidth="1"/>
    <col min="3" max="12" width="10.7109375" customWidth="1"/>
  </cols>
  <sheetData>
    <row r="1" spans="1:12" ht="30" customHeight="1">
      <c r="A1" s="1" t="s">
        <v>0</v>
      </c>
      <c r="B1" s="1"/>
      <c r="C1" s="1"/>
      <c r="D1" s="1"/>
      <c r="E1" s="1"/>
      <c r="F1" s="1"/>
      <c r="G1" s="1"/>
      <c r="H1" s="1"/>
      <c r="I1" s="1"/>
      <c r="J1" s="1"/>
      <c r="K1" s="1"/>
      <c r="L1" s="1"/>
    </row>
    <row r="2" spans="1:12" ht="21" customHeight="1">
      <c r="B2" s="2" t="s">
        <v>22</v>
      </c>
      <c r="C2" s="2"/>
      <c r="D2" s="2"/>
      <c r="E2" s="2"/>
      <c r="F2" s="2"/>
      <c r="G2" s="2"/>
      <c r="H2" s="2"/>
      <c r="I2" s="2"/>
      <c r="J2" s="2"/>
      <c r="K2" s="3" t="s">
        <v>2</v>
      </c>
      <c r="L2" s="3"/>
    </row>
    <row r="3" spans="1:12" ht="6" customHeight="1"/>
    <row r="4" spans="1:12">
      <c r="B4" s="27" t="s">
        <v>152</v>
      </c>
      <c r="C4" s="28"/>
      <c r="D4" s="28"/>
    </row>
    <row r="5" spans="1:12">
      <c r="B5" s="43" t="str">
        <f>"Planning "&amp;COUNTA(tblItems[Item])&amp;" items for "&amp;CompanyName&amp;". Cost curve: "&amp;SelItem&amp;IF(DashItem="",", the item with the largest saving (pick another above).","")</f>
        <v>Planning 20 items for Moreno Control Systems (example). Cost curve: HMI-7, the item with the largest saving (pick another above).</v>
      </c>
      <c r="C5" s="43"/>
      <c r="D5" s="43"/>
      <c r="E5" s="43"/>
      <c r="F5" s="43"/>
      <c r="G5" s="43"/>
      <c r="H5" s="43"/>
      <c r="I5" s="43"/>
      <c r="J5" s="43"/>
      <c r="K5" s="43"/>
      <c r="L5" s="43"/>
    </row>
    <row r="7" spans="1:12" ht="18" customHeight="1">
      <c r="B7" s="44" t="s">
        <v>153</v>
      </c>
      <c r="C7" s="44"/>
      <c r="D7" s="44" t="s">
        <v>154</v>
      </c>
      <c r="E7" s="44"/>
      <c r="F7" s="44"/>
      <c r="G7" s="44" t="str">
        <f>"SAVING AT EOQ ("&amp;Currency&amp;" PER YEAR)"</f>
        <v>SAVING AT EOQ (MXN PER YEAR)</v>
      </c>
      <c r="H7" s="44"/>
      <c r="I7" s="44"/>
      <c r="J7" s="44" t="str">
        <f>"SAFETY STOCK VALUE ("&amp;Currency&amp;")"</f>
        <v>SAFETY STOCK VALUE (MXN)</v>
      </c>
      <c r="K7" s="44"/>
      <c r="L7" s="44"/>
    </row>
    <row r="8" spans="1:12" ht="21" customHeight="1">
      <c r="B8" s="45">
        <f>COUNTIF(tblItems[Reorder status],"Overdue")</f>
        <v>4</v>
      </c>
      <c r="C8" s="45"/>
      <c r="D8" s="45">
        <f>COUNTIF(tblItems[Reorder status],"Due soon")</f>
        <v>4</v>
      </c>
      <c r="E8" s="45"/>
      <c r="F8" s="45"/>
      <c r="G8" s="45">
        <f>SUM(tblItems[Saving at EOQ])</f>
        <v>108683.389932527</v>
      </c>
      <c r="H8" s="45"/>
      <c r="I8" s="45"/>
      <c r="J8" s="45">
        <f>SUM(tblItems[Safety stock value])</f>
        <v>790840.731165013</v>
      </c>
      <c r="K8" s="45"/>
      <c r="L8" s="45"/>
    </row>
    <row r="9" spans="1:12" ht="21" customHeight="1">
      <c r="B9" s="45"/>
      <c r="C9" s="45"/>
      <c r="D9" s="45"/>
      <c r="E9" s="45"/>
      <c r="F9" s="45"/>
      <c r="G9" s="45"/>
      <c r="H9" s="45"/>
      <c r="I9" s="45"/>
      <c r="J9" s="45"/>
      <c r="K9" s="45"/>
      <c r="L9" s="45"/>
    </row>
    <row r="10" spans="1:12">
      <c r="B10" s="46" t="s">
        <v>155</v>
      </c>
      <c r="C10" s="46"/>
      <c r="D10" s="46" t="s">
        <v>156</v>
      </c>
      <c r="E10" s="46"/>
      <c r="F10" s="46"/>
      <c r="G10" s="46" t="s">
        <v>157</v>
      </c>
      <c r="H10" s="46"/>
      <c r="I10" s="46"/>
      <c r="J10" s="46" t="s">
        <v>158</v>
      </c>
      <c r="K10" s="46"/>
      <c r="L10" s="46"/>
    </row>
    <row r="11" spans="1:12" ht="18" customHeight="1">
      <c r="B11" s="47"/>
      <c r="C11" s="47"/>
      <c r="D11" s="47"/>
      <c r="E11" s="47"/>
      <c r="F11" s="47"/>
      <c r="G11" s="47"/>
      <c r="H11" s="47"/>
      <c r="I11" s="47"/>
      <c r="J11" s="47"/>
      <c r="K11" s="47"/>
      <c r="L11" s="47"/>
    </row>
    <row r="30" spans="2:12">
      <c r="B30" s="48" t="s">
        <v>159</v>
      </c>
      <c r="C30" s="48"/>
      <c r="D30" s="48"/>
      <c r="E30" s="48"/>
      <c r="F30" s="48"/>
      <c r="G30" s="48"/>
      <c r="H30" s="48"/>
      <c r="I30" s="48"/>
      <c r="J30" s="48"/>
      <c r="K30" s="48"/>
      <c r="L30" s="48"/>
    </row>
    <row r="31" spans="2:12" ht="32" customHeight="1">
      <c r="B31" s="49" t="s">
        <v>160</v>
      </c>
      <c r="C31" s="33" t="s">
        <v>75</v>
      </c>
      <c r="D31" s="33" t="s">
        <v>76</v>
      </c>
      <c r="E31" s="33"/>
      <c r="F31" s="33"/>
      <c r="G31" s="33" t="s">
        <v>161</v>
      </c>
      <c r="H31" s="33" t="s">
        <v>162</v>
      </c>
      <c r="I31" s="33" t="s">
        <v>163</v>
      </c>
      <c r="J31" s="33" t="s">
        <v>100</v>
      </c>
      <c r="K31" s="33" t="s">
        <v>164</v>
      </c>
      <c r="L31" s="33" t="s">
        <v>165</v>
      </c>
    </row>
    <row r="32" spans="2:12" ht="14" customHeight="1">
      <c r="B32" s="32"/>
      <c r="C32" s="32"/>
      <c r="D32" s="32"/>
      <c r="E32" s="32"/>
      <c r="F32" s="32"/>
      <c r="G32" s="32" t="s">
        <v>166</v>
      </c>
      <c r="H32" s="32" t="s">
        <v>166</v>
      </c>
      <c r="I32" s="32" t="s">
        <v>70</v>
      </c>
      <c r="J32" s="32"/>
      <c r="K32" s="32" t="s">
        <v>166</v>
      </c>
      <c r="L32" s="32" t="s">
        <v>166</v>
      </c>
    </row>
    <row r="33" spans="2:12">
      <c r="B33" s="50" t="s">
        <v>167</v>
      </c>
      <c r="C33" s="51" t="str">
        <f>IFERROR(INDEX(tblItems[Item],MATCH(1,tblItems[Urgency rank],0)),"")</f>
        <v>DIN-35</v>
      </c>
      <c r="D33" s="51" t="str">
        <f>IFERROR(INDEX(tblItems[Description],MATCH(1,tblItems[Urgency rank],0)),"")</f>
        <v>DIN rail, 35 mm x 2 m</v>
      </c>
      <c r="E33" s="51"/>
      <c r="F33" s="51"/>
      <c r="G33" s="38">
        <f>IFERROR(INDEX(tblItems[Inventory position (units)],MATCH(1,tblItems[Urgency rank],0)),"")</f>
        <v>109</v>
      </c>
      <c r="H33" s="38">
        <f>IFERROR(INDEX(tblItems[Reorder point (units)],MATCH(1,tblItems[Urgency rank],0)),"")</f>
        <v>258.203946381805</v>
      </c>
      <c r="I33" s="40">
        <f>IFERROR(INDEX(tblItems[Cover above ROP (days)],MATCH(1,tblItems[Urgency rank],0)),"")</f>
        <v>-6.01628816055665</v>
      </c>
      <c r="J33" s="41" t="str">
        <f>IFERROR(INDEX(tblItems[Reorder status],MATCH(1,tblItems[Urgency rank],0)),"")</f>
        <v>Overdue</v>
      </c>
      <c r="K33" s="38">
        <f>IFERROR(INDEX(tblItems[EOQ (units)],MATCH(1,tblItems[Urgency rank],0)),"")</f>
        <v>443.885005722298</v>
      </c>
      <c r="L33" s="38">
        <f>IFERROR(INDEX(tblItems[Current order qty (units)],MATCH(1,tblItems[Urgency rank],0)),"")</f>
        <v>800</v>
      </c>
    </row>
    <row r="34" spans="2:12">
      <c r="B34" s="50" t="s">
        <v>168</v>
      </c>
      <c r="C34" s="51" t="str">
        <f>IFERROR(INDEX(tblItems[Item],MATCH(2,tblItems[Urgency rank],0)),"")</f>
        <v>GLD-M20</v>
      </c>
      <c r="D34" s="51" t="str">
        <f>IFERROR(INDEX(tblItems[Description],MATCH(2,tblItems[Urgency rank],0)),"")</f>
        <v>Cable gland, M20</v>
      </c>
      <c r="E34" s="51"/>
      <c r="F34" s="51"/>
      <c r="G34" s="38">
        <f>IFERROR(INDEX(tblItems[Inventory position (units)],MATCH(2,tblItems[Urgency rank],0)),"")</f>
        <v>607</v>
      </c>
      <c r="H34" s="38">
        <f>IFERROR(INDEX(tblItems[Reorder point (units)],MATCH(2,tblItems[Urgency rank],0)),"")</f>
        <v>870.787326508925</v>
      </c>
      <c r="I34" s="40">
        <f>IFERROR(INDEX(tblItems[Cover above ROP (days)],MATCH(2,tblItems[Urgency rank],0)),"")</f>
        <v>-2.99758325578324</v>
      </c>
      <c r="J34" s="41" t="str">
        <f>IFERROR(INDEX(tblItems[Reorder status],MATCH(2,tblItems[Urgency rank],0)),"")</f>
        <v>Overdue</v>
      </c>
      <c r="K34" s="38">
        <f>IFERROR(INDEX(tblItems[EOQ (units)],MATCH(2,tblItems[Urgency rank],0)),"")</f>
        <v>2678.41614456721</v>
      </c>
      <c r="L34" s="38">
        <f>IFERROR(INDEX(tblItems[Current order qty (units)],MATCH(2,tblItems[Urgency rank],0)),"")</f>
        <v>8000</v>
      </c>
    </row>
    <row r="35" spans="2:12">
      <c r="B35" s="50" t="s">
        <v>169</v>
      </c>
      <c r="C35" s="51" t="str">
        <f>IFERROR(INDEX(tblItems[Item],MATCH(3,tblItems[Urgency rank],0)),"")</f>
        <v>LBL-R</v>
      </c>
      <c r="D35" s="51" t="str">
        <f>IFERROR(INDEX(tblItems[Description],MATCH(3,tblItems[Urgency rank],0)),"")</f>
        <v>Label roll, 500</v>
      </c>
      <c r="E35" s="51"/>
      <c r="F35" s="51"/>
      <c r="G35" s="38">
        <f>IFERROR(INDEX(tblItems[Inventory position (units)],MATCH(3,tblItems[Urgency rank],0)),"")</f>
        <v>23</v>
      </c>
      <c r="H35" s="38">
        <f>IFERROR(INDEX(tblItems[Reorder point (units)],MATCH(3,tblItems[Urgency rank],0)),"")</f>
        <v>27.7526443433643</v>
      </c>
      <c r="I35" s="40">
        <f>IFERROR(INDEX(tblItems[Cover above ROP (days)],MATCH(3,tblItems[Urgency rank],0)),"")</f>
        <v>-1.91638884813077</v>
      </c>
      <c r="J35" s="41" t="str">
        <f>IFERROR(INDEX(tblItems[Reorder status],MATCH(3,tblItems[Urgency rank],0)),"")</f>
        <v>Overdue</v>
      </c>
      <c r="K35" s="38">
        <f>IFERROR(INDEX(tblItems[EOQ (units)],MATCH(3,tblItems[Urgency rank],0)),"")</f>
        <v>97.415583549899</v>
      </c>
      <c r="L35" s="38">
        <f>IFERROR(INDEX(tblItems[Current order qty (units)],MATCH(3,tblItems[Urgency rank],0)),"")</f>
        <v>290</v>
      </c>
    </row>
    <row r="36" spans="2:12">
      <c r="B36" s="50" t="s">
        <v>170</v>
      </c>
      <c r="C36" s="51" t="str">
        <f>IFERROR(INDEX(tblItems[Item],MATCH(4,tblItems[Urgency rank],0)),"")</f>
        <v>BRK-3P</v>
      </c>
      <c r="D36" s="51" t="str">
        <f>IFERROR(INDEX(tblItems[Description],MATCH(4,tblItems[Urgency rank],0)),"")</f>
        <v>Circuit breaker, 3-pole 20 A</v>
      </c>
      <c r="E36" s="51"/>
      <c r="F36" s="51"/>
      <c r="G36" s="38">
        <f>IFERROR(INDEX(tblItems[Inventory position (units)],MATCH(4,tblItems[Urgency rank],0)),"")</f>
        <v>267</v>
      </c>
      <c r="H36" s="38">
        <f>IFERROR(INDEX(tblItems[Reorder point (units)],MATCH(4,tblItems[Urgency rank],0)),"")</f>
        <v>284.27404439747</v>
      </c>
      <c r="I36" s="40">
        <f>IFERROR(INDEX(tblItems[Cover above ROP (days)],MATCH(4,tblItems[Urgency rank],0)),"")</f>
        <v>-1.02821692842084</v>
      </c>
      <c r="J36" s="41" t="str">
        <f>IFERROR(INDEX(tblItems[Reorder status],MATCH(4,tblItems[Urgency rank],0)),"")</f>
        <v>Overdue</v>
      </c>
      <c r="K36" s="38">
        <f>IFERROR(INDEX(tblItems[EOQ (units)],MATCH(4,tblItems[Urgency rank],0)),"")</f>
        <v>156.873754975139</v>
      </c>
      <c r="L36" s="38">
        <f>IFERROR(INDEX(tblItems[Current order qty (units)],MATCH(4,tblItems[Urgency rank],0)),"")</f>
        <v>280</v>
      </c>
    </row>
    <row r="37" spans="2:12">
      <c r="B37" s="50" t="s">
        <v>171</v>
      </c>
      <c r="C37" s="51" t="str">
        <f>IFERROR(INDEX(tblItems[Item],MATCH(5,tblItems[Urgency rank],0)),"")</f>
        <v>FAN-120</v>
      </c>
      <c r="D37" s="51" t="str">
        <f>IFERROR(INDEX(tblItems[Description],MATCH(5,tblItems[Urgency rank],0)),"")</f>
        <v>Filter fan, 120 mm</v>
      </c>
      <c r="E37" s="51"/>
      <c r="F37" s="51"/>
      <c r="G37" s="38">
        <f>IFERROR(INDEX(tblItems[Inventory position (units)],MATCH(5,tblItems[Urgency rank],0)),"")</f>
        <v>86</v>
      </c>
      <c r="H37" s="38">
        <f>IFERROR(INDEX(tblItems[Reorder point (units)],MATCH(5,tblItems[Urgency rank],0)),"")</f>
        <v>81.6699474845748</v>
      </c>
      <c r="I37" s="40">
        <f>IFERROR(INDEX(tblItems[Cover above ROP (days)],MATCH(5,tblItems[Urgency rank],0)),"")</f>
        <v>1.10460523352685</v>
      </c>
      <c r="J37" s="41" t="str">
        <f>IFERROR(INDEX(tblItems[Reorder status],MATCH(5,tblItems[Urgency rank],0)),"")</f>
        <v>Due soon</v>
      </c>
      <c r="K37" s="38">
        <f>IFERROR(INDEX(tblItems[EOQ (units)],MATCH(5,tblItems[Urgency rank],0)),"")</f>
        <v>94.6753116400804</v>
      </c>
      <c r="L37" s="38">
        <f>IFERROR(INDEX(tblItems[Current order qty (units)],MATCH(5,tblItems[Urgency rank],0)),"")</f>
        <v>170</v>
      </c>
    </row>
    <row r="38" spans="2:12">
      <c r="B38" s="50" t="s">
        <v>172</v>
      </c>
      <c r="C38" s="51" t="str">
        <f>IFERROR(INDEX(tblItems[Item],MATCH(6,tblItems[Urgency rank],0)),"")</f>
        <v>ENC-60</v>
      </c>
      <c r="D38" s="51" t="str">
        <f>IFERROR(INDEX(tblItems[Description],MATCH(6,tblItems[Urgency rank],0)),"")</f>
        <v>Steel enclosure, 600 x 400</v>
      </c>
      <c r="E38" s="51"/>
      <c r="F38" s="51"/>
      <c r="G38" s="38">
        <f>IFERROR(INDEX(tblItems[Inventory position (units)],MATCH(6,tblItems[Urgency rank],0)),"")</f>
        <v>110</v>
      </c>
      <c r="H38" s="38">
        <f>IFERROR(INDEX(tblItems[Reorder point (units)],MATCH(6,tblItems[Urgency rank],0)),"")</f>
        <v>101.119346060586</v>
      </c>
      <c r="I38" s="40">
        <f>IFERROR(INDEX(tblItems[Cover above ROP (days)],MATCH(6,tblItems[Urgency rank],0)),"")</f>
        <v>1.93057694335083</v>
      </c>
      <c r="J38" s="41" t="str">
        <f>IFERROR(INDEX(tblItems[Reorder status],MATCH(6,tblItems[Urgency rank],0)),"")</f>
        <v>Due soon</v>
      </c>
      <c r="K38" s="38">
        <f>IFERROR(INDEX(tblItems[EOQ (units)],MATCH(6,tblItems[Urgency rank],0)),"")</f>
        <v>58.0268654772694</v>
      </c>
      <c r="L38" s="38">
        <f>IFERROR(INDEX(tblItems[Current order qty (units)],MATCH(6,tblItems[Urgency rank],0)),"")</f>
        <v>70</v>
      </c>
    </row>
    <row r="39" spans="2:12">
      <c r="B39" s="50" t="s">
        <v>173</v>
      </c>
      <c r="C39" s="51" t="str">
        <f>IFERROR(INDEX(tblItems[Item],MATCH(7,tblItems[Urgency rank],0)),"")</f>
        <v>PSU-24</v>
      </c>
      <c r="D39" s="51" t="str">
        <f>IFERROR(INDEX(tblItems[Description],MATCH(7,tblItems[Urgency rank],0)),"")</f>
        <v>Power supply, 24 V 5 A</v>
      </c>
      <c r="E39" s="51"/>
      <c r="F39" s="51"/>
      <c r="G39" s="38">
        <f>IFERROR(INDEX(tblItems[Inventory position (units)],MATCH(7,tblItems[Urgency rank],0)),"")</f>
        <v>159</v>
      </c>
      <c r="H39" s="38">
        <f>IFERROR(INDEX(tblItems[Reorder point (units)],MATCH(7,tblItems[Urgency rank],0)),"")</f>
        <v>143.56001207769</v>
      </c>
      <c r="I39" s="40">
        <f>IFERROR(INDEX(tblItems[Cover above ROP (days)],MATCH(7,tblItems[Urgency rank],0)),"")</f>
        <v>2.96922844659815</v>
      </c>
      <c r="J39" s="41" t="str">
        <f>IFERROR(INDEX(tblItems[Reorder status],MATCH(7,tblItems[Urgency rank],0)),"")</f>
        <v>Due soon</v>
      </c>
      <c r="K39" s="38">
        <f>IFERROR(INDEX(tblItems[EOQ (units)],MATCH(7,tblItems[Urgency rank],0)),"")</f>
        <v>71.2609640686961</v>
      </c>
      <c r="L39" s="38">
        <f>IFERROR(INDEX(tblItems[Current order qty (units)],MATCH(7,tblItems[Urgency rank],0)),"")</f>
        <v>210</v>
      </c>
    </row>
    <row r="40" spans="2:12">
      <c r="B40" s="50" t="s">
        <v>174</v>
      </c>
      <c r="C40" s="51" t="str">
        <f>IFERROR(INDEX(tblItems[Item],MATCH(8,tblItems[Urgency rank],0)),"")</f>
        <v>PB-22</v>
      </c>
      <c r="D40" s="51" t="str">
        <f>IFERROR(INDEX(tblItems[Description],MATCH(8,tblItems[Urgency rank],0)),"")</f>
        <v>Pushbutton, 22 mm</v>
      </c>
      <c r="E40" s="51"/>
      <c r="F40" s="51"/>
      <c r="G40" s="38">
        <f>IFERROR(INDEX(tblItems[Inventory position (units)],MATCH(8,tblItems[Urgency rank],0)),"")</f>
        <v>464</v>
      </c>
      <c r="H40" s="38">
        <f>IFERROR(INDEX(tblItems[Reorder point (units)],MATCH(8,tblItems[Urgency rank],0)),"")</f>
        <v>355.634962420907</v>
      </c>
      <c r="I40" s="40">
        <f>IFERROR(INDEX(tblItems[Cover above ROP (days)],MATCH(8,tblItems[Urgency rank],0)),"")</f>
        <v>3.98400873452549</v>
      </c>
      <c r="J40" s="41" t="str">
        <f>IFERROR(INDEX(tblItems[Reorder status],MATCH(8,tblItems[Urgency rank],0)),"")</f>
        <v>Due soon</v>
      </c>
      <c r="K40" s="38">
        <f>IFERROR(INDEX(tblItems[EOQ (units)],MATCH(8,tblItems[Urgency rank],0)),"")</f>
        <v>663.064983552738</v>
      </c>
      <c r="L40" s="38">
        <f>IFERROR(INDEX(tblItems[Current order qty (units)],MATCH(8,tblItems[Urgency rank],0)),"")</f>
        <v>550</v>
      </c>
    </row>
    <row r="41" spans="2:12">
      <c r="B41" s="50" t="s">
        <v>175</v>
      </c>
      <c r="C41" s="51" t="str">
        <f>IFERROR(INDEX(tblItems[Item],MATCH(9,tblItems[Urgency rank],0)),"")</f>
        <v>PLC-24</v>
      </c>
      <c r="D41" s="51" t="str">
        <f>IFERROR(INDEX(tblItems[Description],MATCH(9,tblItems[Urgency rank],0)),"")</f>
        <v>PLC controller, 24 I/O</v>
      </c>
      <c r="E41" s="51"/>
      <c r="F41" s="51"/>
      <c r="G41" s="38">
        <f>IFERROR(INDEX(tblItems[Inventory position (units)],MATCH(9,tblItems[Urgency rank],0)),"")</f>
        <v>140</v>
      </c>
      <c r="H41" s="38">
        <f>IFERROR(INDEX(tblItems[Reorder point (units)],MATCH(9,tblItems[Urgency rank],0)),"")</f>
        <v>124.879054650742</v>
      </c>
      <c r="I41" s="40">
        <f>IFERROR(INDEX(tblItems[Cover above ROP (days)],MATCH(9,tblItems[Urgency rank],0)),"")</f>
        <v>5.90661927705407</v>
      </c>
      <c r="J41" s="41" t="str">
        <f>IFERROR(INDEX(tblItems[Reorder status],MATCH(9,tblItems[Urgency rank],0)),"")</f>
        <v>OK</v>
      </c>
      <c r="K41" s="38">
        <f>IFERROR(INDEX(tblItems[EOQ (units)],MATCH(9,tblItems[Urgency rank],0)),"")</f>
        <v>26.4713038403343</v>
      </c>
      <c r="L41" s="38">
        <f>IFERROR(INDEX(tblItems[Current order qty (units)],MATCH(9,tblItems[Urgency rank],0)),"")</f>
        <v>50</v>
      </c>
    </row>
    <row r="42" spans="2:12">
      <c r="B42" s="50" t="s">
        <v>176</v>
      </c>
      <c r="C42" s="51" t="str">
        <f>IFERROR(INDEX(tblItems[Item],MATCH(10,tblItems[Urgency rank],0)),"")</f>
        <v>TIE-200</v>
      </c>
      <c r="D42" s="51" t="str">
        <f>IFERROR(INDEX(tblItems[Description],MATCH(10,tblItems[Urgency rank],0)),"")</f>
        <v>Cable tie, 200 mm (1,000)</v>
      </c>
      <c r="E42" s="51"/>
      <c r="F42" s="51"/>
      <c r="G42" s="38">
        <f>IFERROR(INDEX(tblItems[Inventory position (units)],MATCH(10,tblItems[Urgency rank],0)),"")</f>
        <v>66</v>
      </c>
      <c r="H42" s="38">
        <f>IFERROR(INDEX(tblItems[Reorder point (units)],MATCH(10,tblItems[Urgency rank],0)),"")</f>
        <v>38.8924011781554</v>
      </c>
      <c r="I42" s="40">
        <f>IFERROR(INDEX(tblItems[Cover above ROP (days)],MATCH(10,tblItems[Urgency rank],0)),"")</f>
        <v>7.05927052652202</v>
      </c>
      <c r="J42" s="41" t="str">
        <f>IFERROR(INDEX(tblItems[Reorder status],MATCH(10,tblItems[Urgency rank],0)),"")</f>
        <v>OK</v>
      </c>
      <c r="K42" s="38">
        <f>IFERROR(INDEX(tblItems[EOQ (units)],MATCH(10,tblItems[Urgency rank],0)),"")</f>
        <v>167.705098312484</v>
      </c>
      <c r="L42" s="38">
        <f>IFERROR(INDEX(tblItems[Current order qty (units)],MATCH(10,tblItems[Urgency rank],0)),"")</f>
        <v>500</v>
      </c>
    </row>
    <row r="43" spans="2:12">
      <c r="B43" s="50" t="s">
        <v>177</v>
      </c>
      <c r="C43" s="51" t="str">
        <f>IFERROR(INDEX(tblItems[Item],MATCH(11,tblItems[Urgency rank],0)),"")</f>
        <v>TB-4</v>
      </c>
      <c r="D43" s="51" t="str">
        <f>IFERROR(INDEX(tblItems[Description],MATCH(11,tblItems[Urgency rank],0)),"")</f>
        <v>Terminal block, 4 mm</v>
      </c>
      <c r="E43" s="51"/>
      <c r="F43" s="51"/>
      <c r="G43" s="38">
        <f>IFERROR(INDEX(tblItems[Inventory position (units)],MATCH(11,tblItems[Urgency rank],0)),"")</f>
        <v>7338</v>
      </c>
      <c r="H43" s="38">
        <f>IFERROR(INDEX(tblItems[Reorder point (units)],MATCH(11,tblItems[Urgency rank],0)),"")</f>
        <v>3882.00315418642</v>
      </c>
      <c r="I43" s="40">
        <f>IFERROR(INDEX(tblItems[Cover above ROP (days)],MATCH(11,tblItems[Urgency rank],0)),"")</f>
        <v>8.99999178597286</v>
      </c>
      <c r="J43" s="41" t="str">
        <f>IFERROR(INDEX(tblItems[Reorder status],MATCH(11,tblItems[Urgency rank],0)),"")</f>
        <v>OK</v>
      </c>
      <c r="K43" s="38">
        <f>IFERROR(INDEX(tblItems[EOQ (units)],MATCH(11,tblItems[Urgency rank],0)),"")</f>
        <v>4931.96961916072</v>
      </c>
      <c r="L43" s="38">
        <f>IFERROR(INDEX(tblItems[Current order qty (units)],MATCH(11,tblItems[Urgency rank],0)),"")</f>
        <v>2000</v>
      </c>
    </row>
    <row r="44" spans="2:12">
      <c r="B44" s="50" t="s">
        <v>178</v>
      </c>
      <c r="C44" s="51" t="str">
        <f>IFERROR(INDEX(tblItems[Item],MATCH(12,tblItems[Urgency rank],0)),"")</f>
        <v>HMI-7</v>
      </c>
      <c r="D44" s="51" t="str">
        <f>IFERROR(INDEX(tblItems[Description],MATCH(12,tblItems[Urgency rank],0)),"")</f>
        <v>Touch panel, 7 in</v>
      </c>
      <c r="E44" s="51"/>
      <c r="F44" s="51"/>
      <c r="G44" s="38">
        <f>IFERROR(INDEX(tblItems[Inventory position (units)],MATCH(12,tblItems[Urgency rank],0)),"")</f>
        <v>127</v>
      </c>
      <c r="H44" s="38">
        <f>IFERROR(INDEX(tblItems[Reorder point (units)],MATCH(12,tblItems[Urgency rank],0)),"")</f>
        <v>102.287600698494</v>
      </c>
      <c r="I44" s="40">
        <f>IFERROR(INDEX(tblItems[Cover above ROP (days)],MATCH(12,tblItems[Urgency rank],0)),"")</f>
        <v>11.8809612026471</v>
      </c>
      <c r="J44" s="41" t="str">
        <f>IFERROR(INDEX(tblItems[Reorder status],MATCH(12,tblItems[Urgency rank],0)),"")</f>
        <v>OK</v>
      </c>
      <c r="K44" s="38">
        <f>IFERROR(INDEX(tblItems[EOQ (units)],MATCH(12,tblItems[Urgency rank],0)),"")</f>
        <v>28.1546253185737</v>
      </c>
      <c r="L44" s="38">
        <f>IFERROR(INDEX(tblItems[Current order qty (units)],MATCH(12,tblItems[Urgency rank],0)),"")</f>
        <v>10</v>
      </c>
    </row>
    <row r="46" spans="2:12">
      <c r="B46" s="48" t="s">
        <v>179</v>
      </c>
      <c r="C46" s="48"/>
      <c r="D46" s="48"/>
      <c r="E46" s="48"/>
      <c r="F46" s="48"/>
      <c r="G46" s="48"/>
      <c r="H46" s="48"/>
      <c r="I46" s="48"/>
      <c r="J46" s="48"/>
    </row>
    <row r="47" spans="2:12" ht="32" customHeight="1">
      <c r="B47" s="49" t="s">
        <v>77</v>
      </c>
      <c r="C47" s="33" t="s">
        <v>180</v>
      </c>
      <c r="D47" s="33" t="s">
        <v>181</v>
      </c>
      <c r="E47" s="33" t="s">
        <v>182</v>
      </c>
      <c r="F47" s="33" t="s">
        <v>183</v>
      </c>
      <c r="G47" s="33" t="s">
        <v>97</v>
      </c>
      <c r="H47" s="33" t="s">
        <v>184</v>
      </c>
      <c r="I47" s="33" t="s">
        <v>185</v>
      </c>
      <c r="J47" s="33" t="s">
        <v>186</v>
      </c>
    </row>
    <row r="48" spans="2:12" ht="14" customHeight="1">
      <c r="B48" s="32"/>
      <c r="C48" s="32"/>
      <c r="D48" s="32"/>
      <c r="E48" s="32"/>
      <c r="F48" s="32"/>
      <c r="G48" s="32" t="str">
        <f>Currency</f>
        <v>MXN</v>
      </c>
      <c r="H48" s="32" t="str">
        <f>Currency&amp;"/year"</f>
        <v>MXN/year</v>
      </c>
      <c r="I48" s="32" t="str">
        <f>Currency&amp;"/year"</f>
        <v>MXN/year</v>
      </c>
      <c r="J48" s="32" t="str">
        <f>Currency&amp;"/year"</f>
        <v>MXN/year</v>
      </c>
    </row>
    <row r="49" spans="2:10">
      <c r="B49" s="50" t="s">
        <v>107</v>
      </c>
      <c r="C49" s="38">
        <f>COUNTIFS(tblItems[Class],$B$49)</f>
        <v>5</v>
      </c>
      <c r="D49" s="52">
        <f>IF($B$49="A",SLA,IF($B$49="B",SLB,SLC))</f>
        <v>0.98</v>
      </c>
      <c r="E49" s="38">
        <f>COUNTIFS(tblItems[Class],$B$49,tblItems[Reorder status],"Overdue")</f>
        <v>1</v>
      </c>
      <c r="F49" s="38">
        <f>COUNTIFS(tblItems[Class],$B$49,tblItems[Reorder status],"Due soon")</f>
        <v>1</v>
      </c>
      <c r="G49" s="38">
        <f>SUMIFS(tblItems[Safety stock value],tblItems[Class],$B$49)</f>
        <v>628357.971769885</v>
      </c>
      <c r="H49" s="38">
        <f>SUMIFS(tblItems[Annual cost at current qty],tblItems[Class],$B$49)</f>
        <v>207772.571428571</v>
      </c>
      <c r="I49" s="38">
        <f>SUMIFS(tblItems[Annual cost at EOQ],tblItems[Class],$B$49)</f>
        <v>159623.323943231</v>
      </c>
      <c r="J49" s="38">
        <f>SUMIFS(tblItems[Saving at EOQ],tblItems[Class],$B$49)</f>
        <v>48149.2474853405</v>
      </c>
    </row>
    <row r="50" spans="2:10">
      <c r="B50" s="50" t="s">
        <v>121</v>
      </c>
      <c r="C50" s="38">
        <f>COUNTIFS(tblItems[Class],$B$50)</f>
        <v>7</v>
      </c>
      <c r="D50" s="52">
        <f>IF($B$50="A",SLA,IF($B$50="B",SLB,SLC))</f>
        <v>0.95</v>
      </c>
      <c r="E50" s="38">
        <f>COUNTIFS(tblItems[Class],$B$50,tblItems[Reorder status],"Overdue")</f>
        <v>1</v>
      </c>
      <c r="F50" s="38">
        <f>COUNTIFS(tblItems[Class],$B$50,tblItems[Reorder status],"Due soon")</f>
        <v>1</v>
      </c>
      <c r="G50" s="38">
        <f>SUMIFS(tblItems[Safety stock value],tblItems[Class],$B$50)</f>
        <v>136316.709036361</v>
      </c>
      <c r="H50" s="38">
        <f>SUMIFS(tblItems[Annual cost at current qty],tblItems[Class],$B$50)</f>
        <v>155866.862058994</v>
      </c>
      <c r="I50" s="38">
        <f>SUMIFS(tblItems[Annual cost at EOQ],tblItems[Class],$B$50)</f>
        <v>112490.969286614</v>
      </c>
      <c r="J50" s="38">
        <f>SUMIFS(tblItems[Saving at EOQ],tblItems[Class],$B$50)</f>
        <v>43375.8927723796</v>
      </c>
    </row>
    <row r="51" spans="2:10">
      <c r="B51" s="50" t="s">
        <v>137</v>
      </c>
      <c r="C51" s="38">
        <f>COUNTIFS(tblItems[Class],$B$51)</f>
        <v>8</v>
      </c>
      <c r="D51" s="52">
        <f>IF($B$51="A",SLA,IF($B$51="B",SLB,SLC))</f>
        <v>0.9</v>
      </c>
      <c r="E51" s="38">
        <f>COUNTIFS(tblItems[Class],$B$51,tblItems[Reorder status],"Overdue")</f>
        <v>2</v>
      </c>
      <c r="F51" s="38">
        <f>COUNTIFS(tblItems[Class],$B$51,tblItems[Reorder status],"Due soon")</f>
        <v>2</v>
      </c>
      <c r="G51" s="38">
        <f>SUMIFS(tblItems[Safety stock value],tblItems[Class],$B$51)</f>
        <v>26166.0503587668</v>
      </c>
      <c r="H51" s="38">
        <f>SUMIFS(tblItems[Annual cost at current qty],tblItems[Class],$B$51)</f>
        <v>74214.0229762124</v>
      </c>
      <c r="I51" s="38">
        <f>SUMIFS(tblItems[Annual cost at EOQ],tblItems[Class],$B$51)</f>
        <v>57055.7733014059</v>
      </c>
      <c r="J51" s="38">
        <f>SUMIFS(tblItems[Saving at EOQ],tblItems[Class],$B$51)</f>
        <v>17158.2496748065</v>
      </c>
    </row>
    <row r="52" spans="2:10">
      <c r="B52" s="53" t="s">
        <v>187</v>
      </c>
      <c r="C52" s="54">
        <f>SUM($C$49:$C$51)</f>
        <v>20</v>
      </c>
      <c r="E52" s="54">
        <f>SUM($E$49:$E$51)</f>
        <v>4</v>
      </c>
      <c r="F52" s="54">
        <f>SUM($F$49:$F$51)</f>
        <v>4</v>
      </c>
      <c r="G52" s="54">
        <f>SUM($G$49:$G$51)</f>
        <v>790840.731165013</v>
      </c>
      <c r="H52" s="54">
        <f>SUM($H$49:$H$51)</f>
        <v>437853.456463777</v>
      </c>
      <c r="I52" s="54">
        <f>SUM($I$49:$I$51)</f>
        <v>329170.066531251</v>
      </c>
      <c r="J52" s="54">
        <f>SUM($J$49:$J$51)</f>
        <v>108683.389932527</v>
      </c>
    </row>
    <row r="54" spans="2:10">
      <c r="B54" s="48" t="s">
        <v>152</v>
      </c>
      <c r="C54" s="48"/>
      <c r="D54" s="48"/>
      <c r="F54" s="48" t="s">
        <v>188</v>
      </c>
      <c r="G54" s="48"/>
      <c r="H54" s="48"/>
      <c r="I54" s="48"/>
      <c r="J54" s="48"/>
    </row>
    <row r="55" spans="2:10" ht="32" customHeight="1">
      <c r="B55" s="27" t="s">
        <v>189</v>
      </c>
      <c r="C55" s="38">
        <f>IFERROR(INDEX(tblItems[Annual demand (units)],MATCH(SelItem,tblItems[Item],0)),"")</f>
        <v>520</v>
      </c>
      <c r="D55" s="7" t="s">
        <v>190</v>
      </c>
      <c r="F55" s="49" t="s">
        <v>191</v>
      </c>
      <c r="G55" s="33" t="s">
        <v>192</v>
      </c>
      <c r="H55" s="33" t="s">
        <v>193</v>
      </c>
      <c r="I55" s="33" t="s">
        <v>91</v>
      </c>
      <c r="J55" s="33" t="s">
        <v>194</v>
      </c>
    </row>
    <row r="56" spans="2:10" ht="14" customHeight="1">
      <c r="B56" s="27" t="s">
        <v>83</v>
      </c>
      <c r="C56" s="38">
        <f>IFERROR(INDEX(tblItems[Order cost],MATCH(SelItem,tblItems[Item],0)),"")</f>
        <v>900</v>
      </c>
      <c r="D56" s="7" t="str">
        <f>Currency&amp;"/order"</f>
        <v>MXN/order</v>
      </c>
      <c r="F56" s="32"/>
      <c r="G56" s="32" t="s">
        <v>166</v>
      </c>
      <c r="H56" s="32" t="str">
        <f>Currency&amp;"/year"</f>
        <v>MXN/year</v>
      </c>
      <c r="I56" s="32" t="str">
        <f>Currency&amp;"/year"</f>
        <v>MXN/year</v>
      </c>
      <c r="J56" s="32" t="str">
        <f>Currency&amp;"/year"</f>
        <v>MXN/year</v>
      </c>
    </row>
    <row r="57" spans="2:10">
      <c r="B57" s="27" t="s">
        <v>91</v>
      </c>
      <c r="C57" s="39">
        <f>IFERROR(INDEX(tblItems[Holding cost],MATCH(SelItem,tblItems[Item],0)),"")</f>
        <v>1180.8</v>
      </c>
      <c r="D57" s="7" t="str">
        <f>Currency&amp;"/unit/year"</f>
        <v>MXN/unit/year</v>
      </c>
      <c r="F57" s="55">
        <v>0.25</v>
      </c>
      <c r="G57" s="38">
        <f>IF(ISNUMBER(SelEOQ),$F$57*SelEOQ,"")</f>
        <v>7.03865632964341</v>
      </c>
      <c r="H57" s="38">
        <f>IF(($G$57)=0,"",(SelD*SelS)/($G$57))</f>
        <v>66489.9631523435</v>
      </c>
      <c r="I57" s="38">
        <f>IF(ISNUMBER($G$57),SelH*$G$57/2,"")</f>
        <v>4155.62269702147</v>
      </c>
      <c r="J57" s="38">
        <f>IF(ISNUMBER($G$57),$H$57+$I$57,"")</f>
        <v>70645.585849365</v>
      </c>
    </row>
    <row r="58" spans="2:10">
      <c r="B58" s="27" t="s">
        <v>164</v>
      </c>
      <c r="C58" s="38">
        <f>IFERROR(INDEX(tblItems[EOQ (units)],MATCH(SelItem,tblItems[Item],0)),"")</f>
        <v>28.1546253185737</v>
      </c>
      <c r="D58" s="7" t="s">
        <v>166</v>
      </c>
      <c r="F58" s="55">
        <v>0.5</v>
      </c>
      <c r="G58" s="38">
        <f>IF(ISNUMBER(SelEOQ),$F$58*SelEOQ,"")</f>
        <v>14.0773126592868</v>
      </c>
      <c r="H58" s="38">
        <f>IF(($G$58)=0,"",(SelD*SelS)/($G$58))</f>
        <v>33244.9815761718</v>
      </c>
      <c r="I58" s="38">
        <f>IF(ISNUMBER($G$58),SelH*$G$58/2,"")</f>
        <v>8311.24539404294</v>
      </c>
      <c r="J58" s="38">
        <f>IF(ISNUMBER($G$58),$H$58+$I$58,"")</f>
        <v>41556.2269702147</v>
      </c>
    </row>
    <row r="59" spans="2:10">
      <c r="B59" s="27" t="s">
        <v>195</v>
      </c>
      <c r="C59" s="38">
        <f>IFERROR(INDEX(tblItems[Current order qty (units)],MATCH(SelItem,tblItems[Item],0)),"")</f>
        <v>10</v>
      </c>
      <c r="D59" s="7" t="s">
        <v>166</v>
      </c>
      <c r="F59" s="55">
        <v>0.75</v>
      </c>
      <c r="G59" s="38">
        <f>IF(ISNUMBER(SelEOQ),$F$59*SelEOQ,"")</f>
        <v>21.1159689889302</v>
      </c>
      <c r="H59" s="38">
        <f>IF(($G$59)=0,"",(SelD*SelS)/($G$59))</f>
        <v>22163.3210507812</v>
      </c>
      <c r="I59" s="38">
        <f>IF(ISNUMBER($G$59),SelH*$G$59/2,"")</f>
        <v>12466.8680910644</v>
      </c>
      <c r="J59" s="38">
        <f>IF(ISNUMBER($G$59),$H$59+$I$59,"")</f>
        <v>34630.1891418456</v>
      </c>
    </row>
    <row r="60" spans="2:10">
      <c r="B60" s="17" t="s">
        <v>96</v>
      </c>
      <c r="C60" s="56">
        <f>IFERROR(INDEX(tblItems[Saving at EOQ],MATCH(SelItem,tblItems[Item],0)),"")</f>
        <v>19459.0184238282</v>
      </c>
      <c r="D60" s="7" t="str">
        <f>Currency&amp;"/year"</f>
        <v>MXN/year</v>
      </c>
      <c r="F60" s="55">
        <v>1</v>
      </c>
      <c r="G60" s="38">
        <f>IF(ISNUMBER(SelEOQ),$F$60*SelEOQ,"")</f>
        <v>28.1546253185737</v>
      </c>
      <c r="H60" s="38">
        <f>IF(($G$60)=0,"",(SelD*SelS)/($G$60))</f>
        <v>16622.4907880859</v>
      </c>
      <c r="I60" s="38">
        <f>IF(ISNUMBER($G$60),SelH*$G$60/2,"")</f>
        <v>16622.4907880859</v>
      </c>
      <c r="J60" s="38">
        <f>IF(ISNUMBER($G$60),$H$60+$I$60,"")</f>
        <v>33244.9815761718</v>
      </c>
    </row>
    <row r="61" spans="2:10">
      <c r="F61" s="55">
        <v>1.25</v>
      </c>
      <c r="G61" s="38">
        <f>IF(ISNUMBER(SelEOQ),$F$61*SelEOQ,"")</f>
        <v>35.1932816482171</v>
      </c>
      <c r="H61" s="38">
        <f>IF(($G$61)=0,"",(SelD*SelS)/($G$61))</f>
        <v>13297.9926304687</v>
      </c>
      <c r="I61" s="38">
        <f>IF(ISNUMBER($G$61),SelH*$G$61/2,"")</f>
        <v>20778.1134851074</v>
      </c>
      <c r="J61" s="38">
        <f>IF(ISNUMBER($G$61),$H$61+$I$61,"")</f>
        <v>34076.1061155761</v>
      </c>
    </row>
    <row r="62" spans="2:10">
      <c r="F62" s="55">
        <v>1.5</v>
      </c>
      <c r="G62" s="38">
        <f>IF(ISNUMBER(SelEOQ),$F$62*SelEOQ,"")</f>
        <v>42.2319379778605</v>
      </c>
      <c r="H62" s="38">
        <f>IF(($G$62)=0,"",(SelD*SelS)/($G$62))</f>
        <v>11081.6605253906</v>
      </c>
      <c r="I62" s="38">
        <f>IF(ISNUMBER($G$62),SelH*$G$62/2,"")</f>
        <v>24933.7361821288</v>
      </c>
      <c r="J62" s="38">
        <f>IF(ISNUMBER($G$62),$H$62+$I$62,"")</f>
        <v>36015.3967075194</v>
      </c>
    </row>
    <row r="63" spans="2:10">
      <c r="F63" s="55">
        <v>2</v>
      </c>
      <c r="G63" s="38">
        <f>IF(ISNUMBER(SelEOQ),$F$63*SelEOQ,"")</f>
        <v>56.3092506371473</v>
      </c>
      <c r="H63" s="38">
        <f>IF(($G$63)=0,"",(SelD*SelS)/($G$63))</f>
        <v>8311.24539404294</v>
      </c>
      <c r="I63" s="38">
        <f>IF(ISNUMBER($G$63),SelH*$G$63/2,"")</f>
        <v>33244.9815761718</v>
      </c>
      <c r="J63" s="38">
        <f>IF(ISNUMBER($G$63),$H$63+$I$63,"")</f>
        <v>41556.2269702147</v>
      </c>
    </row>
    <row r="64" spans="2:10">
      <c r="F64" s="55">
        <v>2.5</v>
      </c>
      <c r="G64" s="38">
        <f>IF(ISNUMBER(SelEOQ),$F$64*SelEOQ,"")</f>
        <v>70.3865632964341</v>
      </c>
      <c r="H64" s="38">
        <f>IF(($G$64)=0,"",(SelD*SelS)/($G$64))</f>
        <v>6648.99631523435</v>
      </c>
      <c r="I64" s="38">
        <f>IF(ISNUMBER($G$64),SelH*$G$64/2,"")</f>
        <v>41556.2269702147</v>
      </c>
      <c r="J64" s="38">
        <f>IF(ISNUMBER($G$64),$H$64+$I$64,"")</f>
        <v>48205.2232854491</v>
      </c>
    </row>
    <row r="65" spans="6:10">
      <c r="F65" s="55">
        <v>3</v>
      </c>
      <c r="G65" s="38">
        <f>IF(ISNUMBER(SelEOQ),$F$65*SelEOQ,"")</f>
        <v>84.463875955721</v>
      </c>
      <c r="H65" s="38">
        <f>IF(($G$65)=0,"",(SelD*SelS)/($G$65))</f>
        <v>5540.83026269529</v>
      </c>
      <c r="I65" s="38">
        <f>IF(ISNUMBER($G$65),SelH*$G$65/2,"")</f>
        <v>49867.4723642577</v>
      </c>
      <c r="J65" s="38">
        <f>IF(ISNUMBER($G$65),$H$65+$I$65,"")</f>
        <v>55408.3026269529</v>
      </c>
    </row>
  </sheetData>
  <sheetProtection sheet="1" formatColumns="0" formatRows="0"/>
  <mergeCells count="39">
    <mergeCell ref="A1:L1"/>
    <mergeCell ref="B2:J2"/>
    <mergeCell ref="K2:L2"/>
    <mergeCell ref="C4:D4"/>
    <mergeCell ref="B5:L5"/>
    <mergeCell ref="B7:C7"/>
    <mergeCell ref="B8:C9"/>
    <mergeCell ref="B10:C10"/>
    <mergeCell ref="B11:C11"/>
    <mergeCell ref="D7:F7"/>
    <mergeCell ref="D8:F9"/>
    <mergeCell ref="D10:F10"/>
    <mergeCell ref="D11:F11"/>
    <mergeCell ref="G7:I7"/>
    <mergeCell ref="G8:I9"/>
    <mergeCell ref="G10:I10"/>
    <mergeCell ref="G11:I11"/>
    <mergeCell ref="J7:L7"/>
    <mergeCell ref="J8:L9"/>
    <mergeCell ref="J10:L10"/>
    <mergeCell ref="J11:L11"/>
    <mergeCell ref="B30:L30"/>
    <mergeCell ref="D31:F31"/>
    <mergeCell ref="D32:F32"/>
    <mergeCell ref="D33:F33"/>
    <mergeCell ref="D34:F34"/>
    <mergeCell ref="D35:F35"/>
    <mergeCell ref="D36:F36"/>
    <mergeCell ref="D37:F37"/>
    <mergeCell ref="D38:F38"/>
    <mergeCell ref="D39:F39"/>
    <mergeCell ref="D40:F40"/>
    <mergeCell ref="D41:F41"/>
    <mergeCell ref="D42:F42"/>
    <mergeCell ref="D43:F43"/>
    <mergeCell ref="D44:F44"/>
    <mergeCell ref="B46:J46"/>
    <mergeCell ref="B54:D54"/>
    <mergeCell ref="F54:J54"/>
  </mergeCells>
  <conditionalFormatting sqref="J33:J44">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dataValidations count="1">
    <dataValidation type="list" allowBlank="1" showInputMessage="1" showErrorMessage="1" errorTitle="Check this entry" error="Pick from the list (edit the list on Setup: ItemCodes)." promptTitle="Cost curve item" prompt="Pick an item for the EOQ cost curve. Leave blank for the item with the largest saving. Pick from the list (edit the list on Setup: ItemCodes)." sqref="C4">
      <formula1>ItemCodes</formula1>
    </dataValidation>
  </dataValidations>
  <hyperlinks>
    <hyperlink ref="K2" r:id="rId1" tooltip="Free manufacturing calculators and templates"/>
  </hyperlinks>
  <pageMargins left="0.4" right="0.4" top="0.7" bottom="0.65" header="0.3" footer="0.3"/>
  <pageSetup fitToHeight="0" orientation="landscape"/>
  <headerFooter>
    <oddHeader>&amp;L&amp;8MFG Calcs - Reorder Point and EOQ Planner&amp;R&amp;8&amp;A</oddHeader>
    <oddFooter>&amp;L&amp;8mfgcalcs.com - free manufacturing templates&amp;R&amp;8Page &amp;P of &amp;N</oddFooter>
  </headerFooter>
  <rowBreaks count="2" manualBreakCount="2">
    <brk id="29" max="16383" man="1"/>
    <brk id="53" max="16383" man="1"/>
  </rowBreaks>
  <drawing r:id="rId2"/>
</worksheet>
</file>

<file path=xl/worksheets/sheet5.xml><?xml version="1.0" encoding="utf-8"?>
<worksheet xmlns="http://schemas.openxmlformats.org/spreadsheetml/2006/main" xmlns:r="http://schemas.openxmlformats.org/officeDocument/2006/relationships">
  <sheetPr>
    <tabColor rgb="FF6B7280"/>
    <pageSetUpPr fitToPage="1"/>
  </sheetPr>
  <dimension ref="A1:D62"/>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24</v>
      </c>
      <c r="C2" s="2"/>
      <c r="D2" s="3" t="s">
        <v>2</v>
      </c>
    </row>
    <row r="3" spans="1:4" ht="6" customHeight="1"/>
    <row r="4" spans="1:4" ht="21" customHeight="1">
      <c r="B4" s="8" t="s">
        <v>196</v>
      </c>
      <c r="C4" s="8"/>
      <c r="D4" s="8"/>
    </row>
    <row r="5" spans="1:4" ht="5" customHeight="1"/>
    <row r="6" spans="1:4" ht="55.8" customHeight="1">
      <c r="B6" s="10" t="s">
        <v>197</v>
      </c>
      <c r="C6" s="10"/>
      <c r="D6" s="10"/>
    </row>
    <row r="8" spans="1:4" ht="21" customHeight="1">
      <c r="B8" s="8" t="s">
        <v>198</v>
      </c>
      <c r="C8" s="8"/>
      <c r="D8" s="8"/>
    </row>
    <row r="9" spans="1:4" ht="5" customHeight="1"/>
    <row r="10" spans="1:4" ht="20" customHeight="1">
      <c r="B10" s="49" t="s">
        <v>199</v>
      </c>
      <c r="C10" s="49" t="s">
        <v>200</v>
      </c>
      <c r="D10" s="33" t="s">
        <v>201</v>
      </c>
    </row>
    <row r="11" spans="1:4" ht="17.2" customHeight="1">
      <c r="B11" s="57" t="s">
        <v>202</v>
      </c>
      <c r="C11" s="58" t="s">
        <v>203</v>
      </c>
      <c r="D11" s="59" t="s">
        <v>204</v>
      </c>
    </row>
    <row r="12" spans="1:4" ht="17.2" customHeight="1">
      <c r="B12" s="57" t="s">
        <v>88</v>
      </c>
      <c r="C12" s="58" t="s">
        <v>205</v>
      </c>
      <c r="D12" s="59" t="s">
        <v>206</v>
      </c>
    </row>
    <row r="13" spans="1:4" ht="30.4" customHeight="1">
      <c r="B13" s="57" t="s">
        <v>207</v>
      </c>
      <c r="C13" s="58" t="s">
        <v>208</v>
      </c>
      <c r="D13" s="59" t="s">
        <v>166</v>
      </c>
    </row>
    <row r="14" spans="1:4" ht="17.2" customHeight="1">
      <c r="B14" s="57" t="s">
        <v>162</v>
      </c>
      <c r="C14" s="58" t="s">
        <v>209</v>
      </c>
      <c r="D14" s="59" t="s">
        <v>166</v>
      </c>
    </row>
    <row r="15" spans="1:4" ht="17.2" customHeight="1">
      <c r="B15" s="57" t="s">
        <v>210</v>
      </c>
      <c r="C15" s="58" t="s">
        <v>211</v>
      </c>
      <c r="D15" s="59" t="s">
        <v>212</v>
      </c>
    </row>
    <row r="16" spans="1:4" ht="17.2" customHeight="1">
      <c r="B16" s="57" t="s">
        <v>164</v>
      </c>
      <c r="C16" s="58" t="s">
        <v>213</v>
      </c>
      <c r="D16" s="59" t="s">
        <v>166</v>
      </c>
    </row>
    <row r="17" spans="2:4" ht="17.2" customHeight="1">
      <c r="B17" s="57" t="s">
        <v>93</v>
      </c>
      <c r="C17" s="58" t="s">
        <v>214</v>
      </c>
      <c r="D17" s="59" t="s">
        <v>215</v>
      </c>
    </row>
    <row r="18" spans="2:4" ht="30.4" customHeight="1">
      <c r="B18" s="57" t="s">
        <v>216</v>
      </c>
      <c r="C18" s="58" t="s">
        <v>217</v>
      </c>
      <c r="D18" s="59" t="s">
        <v>218</v>
      </c>
    </row>
    <row r="19" spans="2:4" ht="17.2" customHeight="1">
      <c r="B19" s="57" t="s">
        <v>97</v>
      </c>
      <c r="C19" s="58" t="s">
        <v>219</v>
      </c>
      <c r="D19" s="59" t="s">
        <v>220</v>
      </c>
    </row>
    <row r="20" spans="2:4" ht="17.2" customHeight="1">
      <c r="B20" s="57" t="s">
        <v>161</v>
      </c>
      <c r="C20" s="58" t="s">
        <v>221</v>
      </c>
      <c r="D20" s="59" t="s">
        <v>166</v>
      </c>
    </row>
    <row r="21" spans="2:4" ht="17.2" customHeight="1">
      <c r="B21" s="57" t="s">
        <v>163</v>
      </c>
      <c r="C21" s="58" t="s">
        <v>222</v>
      </c>
      <c r="D21" s="59" t="s">
        <v>70</v>
      </c>
    </row>
    <row r="22" spans="2:4" ht="30.4" customHeight="1">
      <c r="B22" s="57" t="s">
        <v>100</v>
      </c>
      <c r="C22" s="58" t="s">
        <v>223</v>
      </c>
      <c r="D22" s="59" t="s">
        <v>206</v>
      </c>
    </row>
    <row r="23" spans="2:4" ht="30.4" customHeight="1">
      <c r="B23" s="57" t="s">
        <v>224</v>
      </c>
      <c r="C23" s="58" t="s">
        <v>225</v>
      </c>
      <c r="D23" s="59" t="s">
        <v>206</v>
      </c>
    </row>
    <row r="24" spans="2:4" ht="30.4" customHeight="1">
      <c r="B24" s="57" t="s">
        <v>226</v>
      </c>
      <c r="C24" s="58" t="s">
        <v>227</v>
      </c>
      <c r="D24" s="59" t="s">
        <v>218</v>
      </c>
    </row>
    <row r="26" spans="2:4" ht="21" customHeight="1">
      <c r="B26" s="8" t="s">
        <v>228</v>
      </c>
      <c r="C26" s="8"/>
      <c r="D26" s="8"/>
    </row>
    <row r="27" spans="2:4" ht="5" customHeight="1"/>
    <row r="28" spans="2:4" ht="29.4" customHeight="1">
      <c r="B28" s="26" t="s">
        <v>53</v>
      </c>
      <c r="C28" s="10" t="s">
        <v>229</v>
      </c>
      <c r="D28" s="10"/>
    </row>
    <row r="29" spans="2:4" ht="16.2" customHeight="1">
      <c r="B29" s="26" t="s">
        <v>53</v>
      </c>
      <c r="C29" s="10" t="s">
        <v>230</v>
      </c>
      <c r="D29" s="10"/>
    </row>
    <row r="30" spans="2:4" ht="29.4" customHeight="1">
      <c r="B30" s="26" t="s">
        <v>53</v>
      </c>
      <c r="C30" s="10" t="s">
        <v>231</v>
      </c>
      <c r="D30" s="10"/>
    </row>
    <row r="31" spans="2:4" ht="29.4" customHeight="1">
      <c r="B31" s="26" t="s">
        <v>53</v>
      </c>
      <c r="C31" s="10" t="s">
        <v>232</v>
      </c>
      <c r="D31" s="10"/>
    </row>
    <row r="32" spans="2:4" ht="16.2" customHeight="1">
      <c r="B32" s="26" t="s">
        <v>53</v>
      </c>
      <c r="C32" s="10" t="s">
        <v>233</v>
      </c>
      <c r="D32" s="10"/>
    </row>
    <row r="34" spans="2:4" ht="21" customHeight="1">
      <c r="B34" s="8" t="s">
        <v>234</v>
      </c>
      <c r="C34" s="8"/>
      <c r="D34" s="8"/>
    </row>
    <row r="35" spans="2:4" ht="5" customHeight="1"/>
    <row r="36" spans="2:4" ht="29.4" customHeight="1">
      <c r="B36" s="26" t="s">
        <v>53</v>
      </c>
      <c r="C36" s="10" t="s">
        <v>235</v>
      </c>
      <c r="D36" s="10"/>
    </row>
    <row r="37" spans="2:4" ht="29.4" customHeight="1">
      <c r="B37" s="26" t="s">
        <v>53</v>
      </c>
      <c r="C37" s="10" t="s">
        <v>236</v>
      </c>
      <c r="D37" s="10"/>
    </row>
    <row r="38" spans="2:4" ht="29.4" customHeight="1">
      <c r="B38" s="26" t="s">
        <v>53</v>
      </c>
      <c r="C38" s="10" t="s">
        <v>237</v>
      </c>
      <c r="D38" s="10"/>
    </row>
    <row r="39" spans="2:4" ht="16.2" customHeight="1">
      <c r="B39" s="26" t="s">
        <v>53</v>
      </c>
      <c r="C39" s="10" t="s">
        <v>238</v>
      </c>
      <c r="D39" s="10"/>
    </row>
    <row r="41" spans="2:4" ht="21" customHeight="1">
      <c r="B41" s="8" t="s">
        <v>239</v>
      </c>
      <c r="C41" s="8"/>
      <c r="D41" s="8"/>
    </row>
    <row r="42" spans="2:4" ht="5" customHeight="1"/>
    <row r="43" spans="2:4" ht="69" customHeight="1">
      <c r="B43" s="10" t="s">
        <v>240</v>
      </c>
      <c r="C43" s="10"/>
      <c r="D43" s="10"/>
    </row>
    <row r="44" spans="2:4">
      <c r="B44" s="24" t="s">
        <v>241</v>
      </c>
      <c r="C44" s="24"/>
      <c r="D44" s="24"/>
    </row>
    <row r="46" spans="2:4" ht="21" customHeight="1">
      <c r="B46" s="8" t="s">
        <v>40</v>
      </c>
      <c r="C46" s="8"/>
      <c r="D46" s="8"/>
    </row>
    <row r="47" spans="2:4" ht="5" customHeight="1"/>
    <row r="48" spans="2:4" ht="42.6" customHeight="1">
      <c r="B48" s="10" t="s">
        <v>242</v>
      </c>
      <c r="C48" s="10"/>
      <c r="D48" s="10"/>
    </row>
    <row r="50" spans="2:4" ht="21" customHeight="1">
      <c r="B50" s="8" t="s">
        <v>243</v>
      </c>
      <c r="C50" s="8"/>
      <c r="D50" s="8"/>
    </row>
    <row r="51" spans="2:4" ht="5" customHeight="1"/>
    <row r="52" spans="2:4" ht="29.4" customHeight="1">
      <c r="B52" s="26" t="s">
        <v>53</v>
      </c>
      <c r="C52" s="10" t="s">
        <v>244</v>
      </c>
      <c r="D52" s="10"/>
    </row>
    <row r="53" spans="2:4" ht="29.4" customHeight="1">
      <c r="B53" s="26" t="s">
        <v>53</v>
      </c>
      <c r="C53" s="10" t="s">
        <v>245</v>
      </c>
      <c r="D53" s="10"/>
    </row>
    <row r="54" spans="2:4" ht="29.4" customHeight="1">
      <c r="B54" s="26" t="s">
        <v>53</v>
      </c>
      <c r="C54" s="10" t="s">
        <v>246</v>
      </c>
      <c r="D54" s="10"/>
    </row>
    <row r="55" spans="2:4">
      <c r="B55" s="21" t="s">
        <v>247</v>
      </c>
      <c r="C55" s="21"/>
      <c r="D55" s="21"/>
    </row>
    <row r="57" spans="2:4" ht="21" customHeight="1">
      <c r="B57" s="8" t="s">
        <v>248</v>
      </c>
      <c r="C57" s="8"/>
      <c r="D57" s="8"/>
    </row>
    <row r="58" spans="2:4" ht="5" customHeight="1"/>
    <row r="59" spans="2:4">
      <c r="B59" s="49" t="s">
        <v>48</v>
      </c>
      <c r="C59" s="49" t="s">
        <v>249</v>
      </c>
      <c r="D59" s="33" t="s">
        <v>250</v>
      </c>
    </row>
    <row r="60" spans="2:4" ht="16.2" customHeight="1">
      <c r="B60" s="60" t="s">
        <v>251</v>
      </c>
      <c r="C60" s="61" t="s">
        <v>252</v>
      </c>
      <c r="D60" s="62" t="s">
        <v>253</v>
      </c>
    </row>
    <row r="62" spans="2:4">
      <c r="B62" s="21" t="s">
        <v>59</v>
      </c>
      <c r="C62" s="21"/>
      <c r="D62" s="21"/>
    </row>
  </sheetData>
  <sheetProtection sheet="1" formatColumns="0" formatRows="0"/>
  <mergeCells count="28">
    <mergeCell ref="A1:D1"/>
    <mergeCell ref="B2:C2"/>
    <mergeCell ref="B4:D4"/>
    <mergeCell ref="B6:D6"/>
    <mergeCell ref="B8:D8"/>
    <mergeCell ref="B26:D26"/>
    <mergeCell ref="C28:D28"/>
    <mergeCell ref="C29:D29"/>
    <mergeCell ref="C30:D30"/>
    <mergeCell ref="C31:D31"/>
    <mergeCell ref="C32:D32"/>
    <mergeCell ref="B34:D34"/>
    <mergeCell ref="C36:D36"/>
    <mergeCell ref="C37:D37"/>
    <mergeCell ref="C38:D38"/>
    <mergeCell ref="C39:D39"/>
    <mergeCell ref="B41:D41"/>
    <mergeCell ref="B43:D43"/>
    <mergeCell ref="B44:D44"/>
    <mergeCell ref="B46:D46"/>
    <mergeCell ref="B48:D48"/>
    <mergeCell ref="B50:D50"/>
    <mergeCell ref="C52:D52"/>
    <mergeCell ref="C53:D53"/>
    <mergeCell ref="C54:D54"/>
    <mergeCell ref="B55:D55"/>
    <mergeCell ref="B57:D57"/>
    <mergeCell ref="B62:D62"/>
  </mergeCells>
  <hyperlinks>
    <hyperlink ref="D2" r:id="rId1" tooltip="Free manufacturing calculators and templates"/>
    <hyperlink ref="B44" r:id="rId2"/>
  </hyperlinks>
  <printOptions horizontalCentered="1"/>
  <pageMargins left="0.4" right="0.4" top="0.7" bottom="0.65" header="0.3" footer="0.3"/>
  <pageSetup fitToHeight="0" orientation="portrait"/>
  <headerFooter>
    <oddHeader>&amp;L&amp;8MFG Calcs - Reorder Point and EOQ Planner&amp;R&amp;8&amp;A</oddHeader>
    <oddFooter>&amp;L&amp;8mfgcalcs.com - free manufacturing templates&amp;R&amp;8Page &amp;P of &amp;N</oddFooter>
  </headerFooter>
  <rowBreaks count="2" manualBreakCount="2">
    <brk id="25" max="16383" man="1"/>
    <brk id="55" max="16383" man="1"/>
  </rowBreaks>
</worksheet>
</file>

<file path=xl/worksheets/sheet6.xml><?xml version="1.0" encoding="utf-8"?>
<worksheet xmlns="http://schemas.openxmlformats.org/spreadsheetml/2006/main" xmlns:r="http://schemas.openxmlformats.org/officeDocument/2006/relationships">
  <sheetPr>
    <tabColor rgb="FF2C3440"/>
    <pageSetUpPr fitToPage="1"/>
  </sheetPr>
  <dimension ref="A1:AD69"/>
  <sheetViews>
    <sheetView showGridLines="0" workbookViewId="0"/>
  </sheetViews>
  <sheetFormatPr defaultRowHeight="15"/>
  <cols>
    <col min="1" max="1" width="2.7109375" customWidth="1"/>
    <col min="2" max="19" width="12.7109375" customWidth="1"/>
    <col min="20" max="20" width="8.28515625" customWidth="1"/>
    <col min="21" max="22" width="10.28515625" customWidth="1"/>
    <col min="23" max="25" width="9.7109375" customWidth="1"/>
    <col min="26" max="26" width="9.28515625" customWidth="1"/>
    <col min="27" max="27" width="10.28515625" customWidth="1"/>
    <col min="28" max="28" width="7.7109375" customWidth="1"/>
    <col min="29" max="29" width="14.7109375" customWidth="1"/>
    <col min="30" max="30" width="18.7109375" customWidth="1"/>
  </cols>
  <sheetData>
    <row r="1" spans="1:30" ht="30" customHeight="1">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row>
    <row r="2" spans="1:30" ht="21" customHeight="1">
      <c r="B2" s="2" t="s">
        <v>26</v>
      </c>
      <c r="C2" s="2"/>
      <c r="D2" s="2"/>
      <c r="E2" s="2"/>
      <c r="F2" s="2"/>
      <c r="G2" s="2"/>
      <c r="H2" s="2"/>
      <c r="I2" s="2"/>
      <c r="J2" s="2"/>
      <c r="K2" s="2"/>
      <c r="L2" s="2"/>
      <c r="M2" s="2"/>
      <c r="N2" s="2"/>
      <c r="O2" s="2"/>
      <c r="P2" s="2"/>
      <c r="Q2" s="2"/>
      <c r="R2" s="2"/>
      <c r="S2" s="2"/>
      <c r="T2" s="2"/>
      <c r="U2" s="2"/>
      <c r="V2" s="2"/>
      <c r="W2" s="2"/>
      <c r="X2" s="2"/>
      <c r="Y2" s="2"/>
      <c r="Z2" s="2"/>
      <c r="AA2" s="2"/>
      <c r="AB2" s="2"/>
      <c r="AC2" s="2"/>
      <c r="AD2" s="3" t="s">
        <v>2</v>
      </c>
    </row>
    <row r="3" spans="1:30" ht="6" customHeight="1"/>
    <row r="4" spans="1:30" ht="30" customHeight="1">
      <c r="B4" s="63" t="s">
        <v>254</v>
      </c>
      <c r="C4" s="63"/>
      <c r="D4" s="22" t="str">
        <f>IF(COUNTIF($K$11:$K$28,"PASS")=18,"PASS","FAIL")</f>
        <v>PASS</v>
      </c>
      <c r="E4" s="22"/>
      <c r="F4" s="23" t="str">
        <f>COUNTIF($K$11:$K$28,"PASS")&amp;" of 18 checks pass"</f>
        <v>18 of 18 checks pass</v>
      </c>
      <c r="G4" s="23"/>
      <c r="H4" s="23"/>
      <c r="I4" s="23"/>
      <c r="J4" s="23"/>
    </row>
    <row r="6" spans="1:30" ht="29.4" customHeight="1">
      <c r="B6" s="10" t="s">
        <v>255</v>
      </c>
      <c r="C6" s="10"/>
      <c r="D6" s="10"/>
      <c r="E6" s="10"/>
      <c r="F6" s="10"/>
      <c r="G6" s="10"/>
      <c r="H6" s="10"/>
      <c r="I6" s="10"/>
      <c r="J6" s="10"/>
      <c r="K6" s="10"/>
      <c r="L6" s="10"/>
    </row>
    <row r="8" spans="1:30" ht="21" customHeight="1">
      <c r="B8" s="8" t="s">
        <v>256</v>
      </c>
      <c r="C8" s="8"/>
      <c r="D8" s="8"/>
      <c r="E8" s="8"/>
      <c r="F8" s="8"/>
      <c r="G8" s="8"/>
      <c r="H8" s="8"/>
      <c r="I8" s="8"/>
      <c r="J8" s="8"/>
      <c r="K8" s="8"/>
      <c r="L8" s="8"/>
    </row>
    <row r="9" spans="1:30" ht="5" customHeight="1"/>
    <row r="10" spans="1:30" ht="30" customHeight="1">
      <c r="B10" s="33" t="s">
        <v>257</v>
      </c>
      <c r="C10" s="49" t="s">
        <v>102</v>
      </c>
      <c r="D10" s="49"/>
      <c r="E10" s="49"/>
      <c r="F10" s="49"/>
      <c r="G10" s="33" t="s">
        <v>258</v>
      </c>
      <c r="H10" s="33" t="s">
        <v>259</v>
      </c>
      <c r="I10" s="33" t="s">
        <v>260</v>
      </c>
      <c r="J10" s="33" t="s">
        <v>261</v>
      </c>
      <c r="K10" s="33" t="s">
        <v>262</v>
      </c>
    </row>
    <row r="11" spans="1:30" ht="16.2" customHeight="1">
      <c r="B11" s="64">
        <v>1</v>
      </c>
      <c r="C11" s="61" t="s">
        <v>263</v>
      </c>
      <c r="D11" s="61"/>
      <c r="E11" s="61"/>
      <c r="F11" s="61"/>
      <c r="G11" s="65">
        <v>1095.445115010332</v>
      </c>
      <c r="H11" s="39">
        <f>$S$45</f>
        <v>1095.44511501033</v>
      </c>
      <c r="I11" s="66">
        <f>IF(AND(ISNUMBER($G$11),ISNUMBER($H$11)),ABS($H$11-$G$11),"")</f>
        <v>0</v>
      </c>
      <c r="J11" s="67">
        <v>1E-09</v>
      </c>
      <c r="K11" s="41" t="str">
        <f>IF(AND(ISNUMBER($G$11),ISNUMBER($H$11)),IF(ABS($H$11-$G$11)&lt;=$J$11,"PASS","FAIL"),"FAIL")</f>
        <v>PASS</v>
      </c>
    </row>
    <row r="12" spans="1:30" ht="16.2" customHeight="1">
      <c r="B12" s="64">
        <v>2</v>
      </c>
      <c r="C12" s="61" t="s">
        <v>264</v>
      </c>
      <c r="D12" s="61"/>
      <c r="E12" s="61"/>
      <c r="F12" s="61"/>
      <c r="G12" s="65">
        <v>3286.335345030997</v>
      </c>
      <c r="H12" s="39">
        <f>$U$45</f>
        <v>3286.335345031</v>
      </c>
      <c r="I12" s="66">
        <f>IF(AND(ISNUMBER($G$12),ISNUMBER($H$12)),ABS($H$12-$G$12),"")</f>
        <v>0</v>
      </c>
      <c r="J12" s="67">
        <v>1E-06</v>
      </c>
      <c r="K12" s="41" t="str">
        <f>IF(AND(ISNUMBER($G$12),ISNUMBER($H$12)),IF(ABS($H$12-$G$12)&lt;=$J$12,"PASS","FAIL"),"FAIL")</f>
        <v>PASS</v>
      </c>
    </row>
    <row r="13" spans="1:30" ht="16.2" customHeight="1">
      <c r="B13" s="64">
        <v>3</v>
      </c>
      <c r="C13" s="61" t="s">
        <v>265</v>
      </c>
      <c r="D13" s="61"/>
      <c r="E13" s="61"/>
      <c r="F13" s="61"/>
      <c r="G13" s="65">
        <v>5100</v>
      </c>
      <c r="H13" s="39">
        <f>$V$45</f>
        <v>5100</v>
      </c>
      <c r="I13" s="66">
        <f>IF(AND(ISNUMBER($G$13),ISNUMBER($H$13)),ABS($H$13-$G$13),"")</f>
        <v>0</v>
      </c>
      <c r="J13" s="67">
        <v>1E-06</v>
      </c>
      <c r="K13" s="41" t="str">
        <f>IF(AND(ISNUMBER($G$13),ISNUMBER($H$13)),IF(ABS($H$13-$G$13)&lt;=$J$13,"PASS","FAIL"),"FAIL")</f>
        <v>PASS</v>
      </c>
    </row>
    <row r="14" spans="1:30" ht="16.2" customHeight="1">
      <c r="B14" s="64">
        <v>4</v>
      </c>
      <c r="C14" s="61" t="s">
        <v>266</v>
      </c>
      <c r="D14" s="61"/>
      <c r="E14" s="61"/>
      <c r="F14" s="61"/>
      <c r="G14" s="65">
        <v>1813.664654969003</v>
      </c>
      <c r="H14" s="39">
        <f>$W$45</f>
        <v>1813.664654969</v>
      </c>
      <c r="I14" s="66">
        <f>IF(AND(ISNUMBER($G$14),ISNUMBER($H$14)),ABS($H$14-$G$14),"")</f>
        <v>0</v>
      </c>
      <c r="J14" s="67">
        <v>1E-06</v>
      </c>
      <c r="K14" s="41" t="str">
        <f>IF(AND(ISNUMBER($G$14),ISNUMBER($H$14)),IF(ABS($H$14-$G$14)&lt;=$J$14,"PASS","FAIL"),"FAIL")</f>
        <v>PASS</v>
      </c>
    </row>
    <row r="15" spans="1:30" ht="16.2" customHeight="1">
      <c r="B15" s="64">
        <v>5</v>
      </c>
      <c r="C15" s="61" t="s">
        <v>267</v>
      </c>
      <c r="D15" s="61"/>
      <c r="E15" s="61"/>
      <c r="F15" s="61"/>
      <c r="G15" s="65">
        <v>21.90890230020664</v>
      </c>
      <c r="H15" s="39">
        <f>$T$45</f>
        <v>21.9089023002066</v>
      </c>
      <c r="I15" s="66">
        <f>IF(AND(ISNUMBER($G$15),ISNUMBER($H$15)),ABS($H$15-$G$15),"")</f>
        <v>0</v>
      </c>
      <c r="J15" s="67">
        <v>1E-09</v>
      </c>
      <c r="K15" s="41" t="str">
        <f>IF(AND(ISNUMBER($G$15),ISNUMBER($H$15)),IF(ABS($H$15-$G$15)&lt;=$J$15,"PASS","FAIL"),"FAIL")</f>
        <v>PASS</v>
      </c>
    </row>
    <row r="16" spans="1:30" ht="16.2" customHeight="1">
      <c r="B16" s="64">
        <v>6</v>
      </c>
      <c r="C16" s="61" t="s">
        <v>268</v>
      </c>
      <c r="D16" s="61"/>
      <c r="E16" s="61"/>
      <c r="F16" s="61"/>
      <c r="G16" s="68">
        <v>1.644853626951472</v>
      </c>
      <c r="H16" s="37">
        <f>$O$46</f>
        <v>1.64485362695147</v>
      </c>
      <c r="I16" s="66">
        <f>IF(AND(ISNUMBER($G$16),ISNUMBER($H$16)),ABS($H$16-$G$16),"")</f>
        <v>0</v>
      </c>
      <c r="J16" s="67">
        <v>1E-06</v>
      </c>
      <c r="K16" s="41" t="str">
        <f>IF(AND(ISNUMBER($G$16),ISNUMBER($H$16)),IF(ABS($H$16-$G$16)&lt;=$J$16,"PASS","FAIL"),"FAIL")</f>
        <v>PASS</v>
      </c>
    </row>
    <row r="17" spans="2:12" ht="16.2" customHeight="1">
      <c r="B17" s="64">
        <v>7</v>
      </c>
      <c r="C17" s="61" t="s">
        <v>269</v>
      </c>
      <c r="D17" s="61"/>
      <c r="E17" s="61"/>
      <c r="F17" s="61"/>
      <c r="G17" s="65">
        <v>256.9343501362323</v>
      </c>
      <c r="H17" s="39">
        <f>$P$46</f>
        <v>256.934350136232</v>
      </c>
      <c r="I17" s="66">
        <f>IF(AND(ISNUMBER($G$17),ISNUMBER($H$17)),ABS($H$17-$G$17),"")</f>
        <v>0</v>
      </c>
      <c r="J17" s="67">
        <v>1E-05</v>
      </c>
      <c r="K17" s="41" t="str">
        <f>IF(AND(ISNUMBER($G$17),ISNUMBER($H$17)),IF(ABS($H$17-$G$17)&lt;=$J$17,"PASS","FAIL"),"FAIL")</f>
        <v>PASS</v>
      </c>
    </row>
    <row r="18" spans="2:12" ht="16.2" customHeight="1">
      <c r="B18" s="64">
        <v>8</v>
      </c>
      <c r="C18" s="61" t="s">
        <v>270</v>
      </c>
      <c r="D18" s="61"/>
      <c r="E18" s="61"/>
      <c r="F18" s="61"/>
      <c r="G18" s="65">
        <v>1156.934350136232</v>
      </c>
      <c r="H18" s="39">
        <f>$Q$46</f>
        <v>1156.93435013623</v>
      </c>
      <c r="I18" s="66">
        <f>IF(AND(ISNUMBER($G$18),ISNUMBER($H$18)),ABS($H$18-$G$18),"")</f>
        <v>0</v>
      </c>
      <c r="J18" s="67">
        <v>1E-05</v>
      </c>
      <c r="K18" s="41" t="str">
        <f>IF(AND(ISNUMBER($G$18),ISNUMBER($H$18)),IF(ABS($H$18-$G$18)&lt;=$J$18,"PASS","FAIL"),"FAIL")</f>
        <v>PASS</v>
      </c>
    </row>
    <row r="19" spans="2:12" ht="16.2" customHeight="1">
      <c r="B19" s="64">
        <v>9</v>
      </c>
      <c r="C19" s="61" t="s">
        <v>271</v>
      </c>
      <c r="D19" s="61"/>
      <c r="E19" s="61"/>
      <c r="F19" s="61"/>
      <c r="G19" s="60" t="s">
        <v>272</v>
      </c>
      <c r="H19" s="51" t="str">
        <f>$AA$46</f>
        <v>Overdue</v>
      </c>
      <c r="I19" s="51"/>
      <c r="J19" s="62" t="s">
        <v>273</v>
      </c>
      <c r="K19" s="41" t="str">
        <f>IF($H$19&amp;""=$G$19&amp;"","PASS","FAIL")</f>
        <v>PASS</v>
      </c>
    </row>
    <row r="20" spans="2:12" ht="16.2" customHeight="1">
      <c r="B20" s="64">
        <v>10</v>
      </c>
      <c r="C20" s="61" t="s">
        <v>274</v>
      </c>
      <c r="D20" s="61"/>
      <c r="E20" s="61"/>
      <c r="F20" s="61"/>
      <c r="G20" s="65">
        <v>0</v>
      </c>
      <c r="H20" s="39">
        <f>$P$47</f>
        <v>0</v>
      </c>
      <c r="I20" s="66">
        <f>IF(AND(ISNUMBER($G$20),ISNUMBER($H$20)),ABS($H$20-$G$20),"")</f>
        <v>0</v>
      </c>
      <c r="J20" s="67">
        <v>1E-09</v>
      </c>
      <c r="K20" s="41" t="str">
        <f>IF(AND(ISNUMBER($G$20),ISNUMBER($H$20)),IF(ABS($H$20-$G$20)&lt;=$J$20,"PASS","FAIL"),"FAIL")</f>
        <v>PASS</v>
      </c>
    </row>
    <row r="21" spans="2:12" ht="16.2" customHeight="1">
      <c r="B21" s="64">
        <v>11</v>
      </c>
      <c r="C21" s="61" t="s">
        <v>275</v>
      </c>
      <c r="D21" s="61"/>
      <c r="E21" s="61"/>
      <c r="F21" s="61"/>
      <c r="G21" s="65">
        <v>200</v>
      </c>
      <c r="H21" s="39">
        <f>$Q$47</f>
        <v>200</v>
      </c>
      <c r="I21" s="66">
        <f>IF(AND(ISNUMBER($G$21),ISNUMBER($H$21)),ABS($H$21-$G$21),"")</f>
        <v>0</v>
      </c>
      <c r="J21" s="67">
        <v>1E-09</v>
      </c>
      <c r="K21" s="41" t="str">
        <f>IF(AND(ISNUMBER($G$21),ISNUMBER($H$21)),IF(ABS($H$21-$G$21)&lt;=$J$21,"PASS","FAIL"),"FAIL")</f>
        <v>PASS</v>
      </c>
    </row>
    <row r="22" spans="2:12" ht="16.2" customHeight="1">
      <c r="B22" s="64">
        <v>12</v>
      </c>
      <c r="C22" s="61" t="s">
        <v>276</v>
      </c>
      <c r="D22" s="61"/>
      <c r="E22" s="61"/>
      <c r="F22" s="61"/>
      <c r="G22" s="65">
        <v>3</v>
      </c>
      <c r="H22" s="39">
        <f>$Z$47</f>
        <v>3</v>
      </c>
      <c r="I22" s="66">
        <f>IF(AND(ISNUMBER($G$22),ISNUMBER($H$22)),ABS($H$22-$G$22),"")</f>
        <v>0</v>
      </c>
      <c r="J22" s="67">
        <v>1E-09</v>
      </c>
      <c r="K22" s="41" t="str">
        <f>IF(AND(ISNUMBER($G$22),ISNUMBER($H$22)),IF(ABS($H$22-$G$22)&lt;=$J$22,"PASS","FAIL"),"FAIL")</f>
        <v>PASS</v>
      </c>
    </row>
    <row r="23" spans="2:12" ht="16.2" customHeight="1">
      <c r="B23" s="64">
        <v>13</v>
      </c>
      <c r="C23" s="61" t="s">
        <v>277</v>
      </c>
      <c r="D23" s="61"/>
      <c r="E23" s="61"/>
      <c r="F23" s="61"/>
      <c r="G23" s="60" t="s">
        <v>183</v>
      </c>
      <c r="H23" s="51" t="str">
        <f>$AA$47</f>
        <v>Due soon</v>
      </c>
      <c r="I23" s="51"/>
      <c r="J23" s="62" t="s">
        <v>273</v>
      </c>
      <c r="K23" s="41" t="str">
        <f>IF($H$23&amp;""=$G$23&amp;"","PASS","FAIL")</f>
        <v>PASS</v>
      </c>
    </row>
    <row r="24" spans="2:12" ht="16.2" customHeight="1">
      <c r="B24" s="64">
        <v>14</v>
      </c>
      <c r="C24" s="61" t="s">
        <v>278</v>
      </c>
      <c r="D24" s="61"/>
      <c r="E24" s="61"/>
      <c r="F24" s="61"/>
      <c r="G24" s="60" t="s">
        <v>279</v>
      </c>
      <c r="H24" s="51" t="str">
        <f>$AC$48</f>
        <v>Unit cost is 0</v>
      </c>
      <c r="I24" s="51"/>
      <c r="J24" s="62" t="s">
        <v>273</v>
      </c>
      <c r="K24" s="41" t="str">
        <f>IF($H$24&amp;""=$G$24&amp;"","PASS","FAIL")</f>
        <v>PASS</v>
      </c>
    </row>
    <row r="25" spans="2:12" ht="16.2" customHeight="1">
      <c r="B25" s="64">
        <v>15</v>
      </c>
      <c r="C25" s="61" t="s">
        <v>280</v>
      </c>
      <c r="D25" s="61"/>
      <c r="E25" s="61"/>
      <c r="F25" s="61"/>
      <c r="G25" s="69">
        <v>1</v>
      </c>
      <c r="H25" s="38">
        <f>$AB$46</f>
        <v>1</v>
      </c>
      <c r="I25" s="66">
        <f>IF(AND(ISNUMBER($G$25),ISNUMBER($H$25)),ABS($H$25-$G$25),"")</f>
        <v>0</v>
      </c>
      <c r="J25" s="67">
        <v>1E-09</v>
      </c>
      <c r="K25" s="41" t="str">
        <f>IF(AND(ISNUMBER($G$25),ISNUMBER($H$25)),IF(ABS($H$25-$G$25)&lt;=$J$25,"PASS","FAIL"),"FAIL")</f>
        <v>PASS</v>
      </c>
    </row>
    <row r="26" spans="2:12" ht="16.2" customHeight="1">
      <c r="B26" s="64">
        <v>16</v>
      </c>
      <c r="C26" s="61" t="s">
        <v>281</v>
      </c>
      <c r="D26" s="61"/>
      <c r="E26" s="61"/>
      <c r="F26" s="61"/>
      <c r="G26" s="65">
        <v>1095.445115010332</v>
      </c>
      <c r="H26" s="39">
        <f>$E$54</f>
        <v>1095.44511501033</v>
      </c>
      <c r="I26" s="66">
        <f>IF(AND(ISNUMBER($G$26),ISNUMBER($H$26)),ABS($H$26-$G$26),"")</f>
        <v>0</v>
      </c>
      <c r="J26" s="67">
        <v>1E-09</v>
      </c>
      <c r="K26" s="41" t="str">
        <f>IF(AND(ISNUMBER($G$26),ISNUMBER($H$26)),IF(ABS($H$26-$G$26)&lt;=$J$26,"PASS","FAIL"),"FAIL")</f>
        <v>PASS</v>
      </c>
    </row>
    <row r="27" spans="2:12" ht="16.2" customHeight="1">
      <c r="B27" s="64">
        <v>17</v>
      </c>
      <c r="C27" s="61" t="s">
        <v>282</v>
      </c>
      <c r="D27" s="61"/>
      <c r="E27" s="61"/>
      <c r="F27" s="61"/>
      <c r="G27" s="65">
        <v>4107.919181288746</v>
      </c>
      <c r="H27" s="39">
        <f>$F$67</f>
        <v>4107.91918128875</v>
      </c>
      <c r="I27" s="66">
        <f>IF(AND(ISNUMBER($G$27),ISNUMBER($H$27)),ABS($H$27-$G$27),"")</f>
        <v>0</v>
      </c>
      <c r="J27" s="67">
        <v>1E-06</v>
      </c>
      <c r="K27" s="41" t="str">
        <f>IF(AND(ISNUMBER($G$27),ISNUMBER($H$27)),IF(ABS($H$27-$G$27)&lt;=$J$27,"PASS","FAIL"),"FAIL")</f>
        <v>PASS</v>
      </c>
    </row>
    <row r="28" spans="2:12" ht="16.2" customHeight="1">
      <c r="B28" s="64">
        <v>18</v>
      </c>
      <c r="C28" s="61" t="s">
        <v>283</v>
      </c>
      <c r="D28" s="61"/>
      <c r="E28" s="61"/>
      <c r="F28" s="61"/>
      <c r="G28" s="65">
        <v>1643.167672515498</v>
      </c>
      <c r="H28" s="39">
        <f>$D$64</f>
        <v>1643.1676725155</v>
      </c>
      <c r="I28" s="66">
        <f>IF(AND(ISNUMBER($G$28),ISNUMBER($H$28)),ABS($H$28-$G$28),"")</f>
        <v>0</v>
      </c>
      <c r="J28" s="67">
        <v>1E-06</v>
      </c>
      <c r="K28" s="41" t="str">
        <f>IF(AND(ISNUMBER($G$28),ISNUMBER($H$28)),IF(ABS($H$28-$G$28)&lt;=$J$28,"PASS","FAIL"),"FAIL")</f>
        <v>PASS</v>
      </c>
    </row>
    <row r="30" spans="2:12" ht="21" customHeight="1">
      <c r="B30" s="8" t="s">
        <v>284</v>
      </c>
      <c r="C30" s="8"/>
      <c r="D30" s="8"/>
      <c r="E30" s="8"/>
      <c r="F30" s="8"/>
      <c r="G30" s="8"/>
      <c r="H30" s="8"/>
      <c r="I30" s="8"/>
      <c r="J30" s="8"/>
      <c r="K30" s="8"/>
      <c r="L30" s="8"/>
    </row>
    <row r="31" spans="2:12" ht="5" customHeight="1"/>
    <row r="32" spans="2:12">
      <c r="B32" s="21" t="s">
        <v>285</v>
      </c>
      <c r="C32" s="21"/>
      <c r="D32" s="21"/>
      <c r="E32" s="21"/>
      <c r="F32" s="21"/>
      <c r="G32" s="21"/>
      <c r="H32" s="21"/>
      <c r="I32" s="21"/>
      <c r="J32" s="21"/>
      <c r="K32" s="21"/>
      <c r="L32" s="21"/>
    </row>
    <row r="33" spans="2:30">
      <c r="B33" s="48" t="s">
        <v>286</v>
      </c>
      <c r="C33" s="48"/>
      <c r="D33" s="48"/>
      <c r="E33" s="48"/>
      <c r="F33" s="48"/>
    </row>
    <row r="34" spans="2:30">
      <c r="B34" s="27" t="s">
        <v>65</v>
      </c>
      <c r="C34" s="27"/>
      <c r="D34" s="27"/>
      <c r="E34" s="52">
        <v>0.25</v>
      </c>
      <c r="F34" s="7"/>
    </row>
    <row r="35" spans="2:30">
      <c r="B35" s="27" t="s">
        <v>67</v>
      </c>
      <c r="C35" s="27"/>
      <c r="D35" s="27"/>
      <c r="E35" s="69">
        <v>250</v>
      </c>
      <c r="F35" s="7"/>
    </row>
    <row r="36" spans="2:30">
      <c r="B36" s="27" t="s">
        <v>287</v>
      </c>
      <c r="C36" s="27"/>
      <c r="D36" s="27"/>
      <c r="E36" s="69">
        <v>5</v>
      </c>
      <c r="F36" s="7"/>
    </row>
    <row r="37" spans="2:30">
      <c r="B37" s="27" t="s">
        <v>288</v>
      </c>
      <c r="C37" s="27"/>
      <c r="D37" s="27"/>
      <c r="E37" s="52">
        <v>0.98</v>
      </c>
      <c r="F37" s="7"/>
    </row>
    <row r="38" spans="2:30">
      <c r="B38" s="27" t="s">
        <v>289</v>
      </c>
      <c r="C38" s="27"/>
      <c r="D38" s="27"/>
      <c r="E38" s="52">
        <v>0.95</v>
      </c>
      <c r="F38" s="7"/>
    </row>
    <row r="39" spans="2:30">
      <c r="B39" s="27" t="s">
        <v>290</v>
      </c>
      <c r="C39" s="27"/>
      <c r="D39" s="27"/>
      <c r="E39" s="52">
        <v>0.9</v>
      </c>
      <c r="F39" s="7"/>
    </row>
    <row r="40" spans="2:30">
      <c r="B40" s="27" t="s">
        <v>152</v>
      </c>
      <c r="C40" s="27"/>
      <c r="D40" s="27"/>
      <c r="E40" s="60" t="s">
        <v>291</v>
      </c>
      <c r="F40" s="60"/>
    </row>
    <row r="42" spans="2:30">
      <c r="B42" s="48" t="s">
        <v>292</v>
      </c>
      <c r="C42" s="48"/>
      <c r="D42" s="48"/>
      <c r="E42" s="48"/>
      <c r="F42" s="48"/>
      <c r="G42" s="48"/>
      <c r="H42" s="48"/>
      <c r="I42" s="48"/>
      <c r="J42" s="48"/>
      <c r="K42" s="48"/>
      <c r="L42" s="48"/>
    </row>
    <row r="43" spans="2:30" ht="14" customHeight="1">
      <c r="B43" s="32"/>
      <c r="C43" s="32"/>
      <c r="D43" s="32"/>
      <c r="E43" s="32"/>
      <c r="F43" s="32"/>
      <c r="G43" s="32"/>
      <c r="H43" s="32"/>
      <c r="I43" s="32" t="str">
        <f>Currency&amp;"/unit"</f>
        <v>MXN/unit</v>
      </c>
      <c r="J43" s="32" t="str">
        <f>Currency&amp;"/order"</f>
        <v>MXN/order</v>
      </c>
      <c r="K43" s="32"/>
      <c r="L43" s="32"/>
      <c r="M43" s="32"/>
      <c r="N43" s="32"/>
      <c r="O43" s="32"/>
      <c r="P43" s="32"/>
      <c r="Q43" s="32"/>
      <c r="R43" s="32" t="str">
        <f>Currency&amp;"/unit/year"</f>
        <v>MXN/unit/year</v>
      </c>
      <c r="S43" s="32"/>
      <c r="T43" s="32"/>
      <c r="U43" s="32" t="str">
        <f>Currency&amp;"/year"</f>
        <v>MXN/year</v>
      </c>
      <c r="V43" s="32" t="str">
        <f>Currency&amp;"/year"</f>
        <v>MXN/year</v>
      </c>
      <c r="W43" s="32" t="str">
        <f>Currency&amp;"/year"</f>
        <v>MXN/year</v>
      </c>
      <c r="X43" s="32" t="str">
        <f>Currency</f>
        <v>MXN</v>
      </c>
      <c r="Y43" s="32"/>
      <c r="Z43" s="32"/>
      <c r="AA43" s="32"/>
      <c r="AB43" s="32"/>
      <c r="AC43" s="32"/>
      <c r="AD43" s="32"/>
    </row>
    <row r="44" spans="2:30" ht="45.5" customHeight="1">
      <c r="B44" s="33" t="s">
        <v>75</v>
      </c>
      <c r="C44" s="33" t="s">
        <v>76</v>
      </c>
      <c r="D44" s="33" t="s">
        <v>77</v>
      </c>
      <c r="E44" s="33" t="s">
        <v>78</v>
      </c>
      <c r="F44" s="33" t="s">
        <v>79</v>
      </c>
      <c r="G44" s="33" t="s">
        <v>80</v>
      </c>
      <c r="H44" s="33" t="s">
        <v>81</v>
      </c>
      <c r="I44" s="33" t="s">
        <v>82</v>
      </c>
      <c r="J44" s="33" t="s">
        <v>83</v>
      </c>
      <c r="K44" s="33" t="s">
        <v>84</v>
      </c>
      <c r="L44" s="33" t="s">
        <v>85</v>
      </c>
      <c r="M44" s="33" t="s">
        <v>86</v>
      </c>
      <c r="N44" s="33" t="s">
        <v>87</v>
      </c>
      <c r="O44" s="33" t="s">
        <v>88</v>
      </c>
      <c r="P44" s="33" t="s">
        <v>89</v>
      </c>
      <c r="Q44" s="33" t="s">
        <v>90</v>
      </c>
      <c r="R44" s="33" t="s">
        <v>91</v>
      </c>
      <c r="S44" s="33" t="s">
        <v>92</v>
      </c>
      <c r="T44" s="33" t="s">
        <v>93</v>
      </c>
      <c r="U44" s="33" t="s">
        <v>94</v>
      </c>
      <c r="V44" s="33" t="s">
        <v>95</v>
      </c>
      <c r="W44" s="33" t="s">
        <v>96</v>
      </c>
      <c r="X44" s="33" t="s">
        <v>97</v>
      </c>
      <c r="Y44" s="33" t="s">
        <v>98</v>
      </c>
      <c r="Z44" s="33" t="s">
        <v>99</v>
      </c>
      <c r="AA44" s="33" t="s">
        <v>100</v>
      </c>
      <c r="AB44" s="33" t="s">
        <v>101</v>
      </c>
      <c r="AC44" s="33" t="s">
        <v>102</v>
      </c>
      <c r="AD44" s="33" t="s">
        <v>103</v>
      </c>
    </row>
    <row r="45" spans="2:30">
      <c r="B45" s="60" t="s">
        <v>291</v>
      </c>
      <c r="C45" s="60" t="s">
        <v>293</v>
      </c>
      <c r="D45" s="60" t="s">
        <v>121</v>
      </c>
      <c r="E45" s="69">
        <v>24000</v>
      </c>
      <c r="F45" s="70">
        <v>30</v>
      </c>
      <c r="G45" s="70">
        <v>9</v>
      </c>
      <c r="H45" s="70">
        <v>1</v>
      </c>
      <c r="I45" s="65">
        <v>12</v>
      </c>
      <c r="J45" s="69">
        <v>75</v>
      </c>
      <c r="K45" s="69">
        <v>3000</v>
      </c>
      <c r="L45" s="69">
        <v>1500</v>
      </c>
      <c r="M45" s="69">
        <v>0</v>
      </c>
      <c r="N45" s="36">
        <f>IF(tblVerifyItems[[#This Row],[Item]]="","",tblVerifyItems[[#This Row],[Annual demand (units)]]/$E$35)</f>
        <v>96</v>
      </c>
      <c r="O45" s="37">
        <f>IF(tblVerifyItems[[#This Row],[Item]]="","",_xlfn.NORM.S.INV(IF(tblVerifyItems[[#This Row],[Class]]="A",$E$37,IF(tblVerifyItems[[#This Row],[Class]]="B",$E$38,$E$39))))</f>
        <v>1.64485362695147</v>
      </c>
      <c r="P45" s="38">
        <f>IF(tblVerifyItems[[#This Row],[Item]]="","",tblVerifyItems[[#This Row],[Service factor z]]*SQRT(tblVerifyItems[[#This Row],[Lead time (days)]]*tblVerifyItems[[#This Row],[Demand std dev (units/day)]]^2+tblVerifyItems[[#This Row],[Daily demand (units/day)]]^2*tblVerifyItems[[#This Row],[Lead time std dev (days)]]^2))</f>
        <v>216.446738139239</v>
      </c>
      <c r="Q45" s="38">
        <f>IF(tblVerifyItems[[#This Row],[Item]]="","",tblVerifyItems[[#This Row],[Daily demand (units/day)]]*tblVerifyItems[[#This Row],[Lead time (days)]]+tblVerifyItems[[#This Row],[Safety stock (units)]])</f>
        <v>1080.44673813924</v>
      </c>
      <c r="R45" s="39">
        <f>IF(tblVerifyItems[[#This Row],[Item]]="","",tblVerifyItems[[#This Row],[Unit cost]]*$E$34)</f>
        <v>3</v>
      </c>
      <c r="S45" s="38">
        <f>IF(tblVerifyItems[[#This Row],[Item]]="","",IF(tblVerifyItems[[#This Row],[Holding cost]]&gt;0,SQRT(2*tblVerifyItems[[#This Row],[Annual demand (units)]]*tblVerifyItems[[#This Row],[Order cost]]/tblVerifyItems[[#This Row],[Holding cost]]),""))</f>
        <v>1095.44511501033</v>
      </c>
      <c r="T45" s="36">
        <f>IF(tblVerifyItems[[#This Row],[Item]]="","",IF(AND(ISNUMBER(tblVerifyItems[[#This Row],[EOQ (units)]]),tblVerifyItems[[#This Row],[EOQ (units)]]&gt;0),tblVerifyItems[[#This Row],[Annual demand (units)]]/tblVerifyItems[[#This Row],[EOQ (units)]],""))</f>
        <v>21.9089023002066</v>
      </c>
      <c r="U45" s="38">
        <f>IF(tblVerifyItems[[#This Row],[Item]]="","",IF(AND(ISNUMBER(tblVerifyItems[[#This Row],[EOQ (units)]]),tblVerifyItems[[#This Row],[EOQ (units)]]&gt;0),tblVerifyItems[[#This Row],[Annual demand (units)]]*tblVerifyItems[[#This Row],[Order cost]]/tblVerifyItems[[#This Row],[EOQ (units)]]+tblVerifyItems[[#This Row],[Holding cost]]*tblVerifyItems[[#This Row],[EOQ (units)]]/2,""))</f>
        <v>3286.335345031</v>
      </c>
      <c r="V45" s="38">
        <f>IF(tblVerifyItems[[#This Row],[Item]]="","",IF(tblVerifyItems[[#This Row],[Current order qty (units)]]&gt;0,tblVerifyItems[[#This Row],[Annual demand (units)]]*tblVerifyItems[[#This Row],[Order cost]]/tblVerifyItems[[#This Row],[Current order qty (units)]]+tblVerifyItems[[#This Row],[Holding cost]]*tblVerifyItems[[#This Row],[Current order qty (units)]]/2,""))</f>
        <v>5100</v>
      </c>
      <c r="W45" s="38">
        <f>IF(tblVerifyItems[[#This Row],[Item]]="","",IF(AND(ISNUMBER(tblVerifyItems[[#This Row],[Annual cost at current qty]]),ISNUMBER(tblVerifyItems[[#This Row],[Annual cost at EOQ]])),tblVerifyItems[[#This Row],[Annual cost at current qty]]-tblVerifyItems[[#This Row],[Annual cost at EOQ]],""))</f>
        <v>1813.664654969</v>
      </c>
      <c r="X45" s="38">
        <f>IF(tblVerifyItems[[#This Row],[Item]]="","",tblVerifyItems[[#This Row],[Safety stock (units)]]*tblVerifyItems[[#This Row],[Unit cost]])</f>
        <v>2597.36085767086</v>
      </c>
      <c r="Y45" s="38">
        <f>IF(tblVerifyItems[[#This Row],[Item]]="","",tblVerifyItems[[#This Row],[On hand (units)]]+tblVerifyItems[[#This Row],[On order (units)]])</f>
        <v>1500</v>
      </c>
      <c r="Z45" s="40">
        <f>IF(tblVerifyItems[[#This Row],[Item]]="","",IF((tblVerifyItems[[#This Row],[Daily demand (units/day)]])=0,"",(tblVerifyItems[[#This Row],[Inventory position (units)]]-tblVerifyItems[[#This Row],[Reorder point (units)]])/(tblVerifyItems[[#This Row],[Daily demand (units/day)]])))</f>
        <v>4.37034647771627</v>
      </c>
      <c r="AA45" s="41" t="str">
        <f>IF(tblVerifyItems[[#This Row],[Item]]="","",IF(tblVerifyItems[[#This Row],[Inventory position (units)]]&lt;=tblVerifyItems[[#This Row],[Reorder point (units)]],"Overdue",IF(tblVerifyItems[[#This Row],[Cover above ROP (days)]]&lt;=$E$36,"Due soon","OK")))</f>
        <v>Due soon</v>
      </c>
      <c r="AB45" s="38">
        <f>IF(tblVerifyItems[[#This Row],[Item]]="","",IFERROR(RANK(tblVerifyItems[[#This Row],[Cover above ROP (days)]],tblVerifyItems[Cover above ROP (days)],1)+COUNTIFS(tblVerifyItems[Cover above ROP (days)],tblVerifyItems[[#This Row],[Cover above ROP (days)]],tblVerifyItems[Item],"&lt;"&amp;tblVerifyItems[[#This Row],[Item]]),""))</f>
        <v>3</v>
      </c>
      <c r="AC45" s="42" t="str">
        <f>IF(tblVerifyItems[[#This Row],[Item]]="","",IF(tblVerifyItems[[#This Row],[Class]]="","Missing class",IF(tblVerifyItems[[#This Row],[Annual demand (units)]]="","Missing annual demand",IF(tblVerifyItems[[#This Row],[Demand std dev (units/day)]]="","Missing demand std dev",IF(tblVerifyItems[[#This Row],[Lead time (days)]]="","Missing lead time",IF(tblVerifyItems[[#This Row],[Lead time std dev (days)]]="","Missing lead time std dev",IF(tblVerifyItems[[#This Row],[Unit cost]]="","Missing unit cost",IF(tblVerifyItems[[#This Row],[Order cost]]="","Missing order cost",IF(COUNTIF(tblVerifyItems[Item],tblVerifyItems[[#This Row],[Item]])&gt;1,"Item listed twice",IF(tblVerifyItems[[#This Row],[Unit cost]]=0,"Unit cost is 0",IF(tblVerifyItems[[#This Row],[Current order qty (units)]]=0,"Current order qty is 0","OK")))))))))))</f>
        <v>OK</v>
      </c>
      <c r="AD45" s="60" t="s">
        <v>111</v>
      </c>
    </row>
    <row r="46" spans="2:30">
      <c r="B46" s="60" t="s">
        <v>294</v>
      </c>
      <c r="C46" s="60" t="s">
        <v>293</v>
      </c>
      <c r="D46" s="60" t="s">
        <v>121</v>
      </c>
      <c r="E46" s="69">
        <v>25000</v>
      </c>
      <c r="F46" s="70">
        <v>40</v>
      </c>
      <c r="G46" s="70">
        <v>9</v>
      </c>
      <c r="H46" s="70">
        <v>1</v>
      </c>
      <c r="I46" s="65">
        <v>4</v>
      </c>
      <c r="J46" s="69">
        <v>50</v>
      </c>
      <c r="K46" s="69">
        <v>1000</v>
      </c>
      <c r="L46" s="69">
        <v>700</v>
      </c>
      <c r="M46" s="69">
        <v>300</v>
      </c>
      <c r="N46" s="36">
        <f>IF(tblVerifyItems[[#This Row],[Item]]="","",tblVerifyItems[[#This Row],[Annual demand (units)]]/$E$35)</f>
        <v>100</v>
      </c>
      <c r="O46" s="37">
        <f>IF(tblVerifyItems[[#This Row],[Item]]="","",_xlfn.NORM.S.INV(IF(tblVerifyItems[[#This Row],[Class]]="A",$E$37,IF(tblVerifyItems[[#This Row],[Class]]="B",$E$38,$E$39))))</f>
        <v>1.64485362695147</v>
      </c>
      <c r="P46" s="38">
        <f>IF(tblVerifyItems[[#This Row],[Item]]="","",tblVerifyItems[[#This Row],[Service factor z]]*SQRT(tblVerifyItems[[#This Row],[Lead time (days)]]*tblVerifyItems[[#This Row],[Demand std dev (units/day)]]^2+tblVerifyItems[[#This Row],[Daily demand (units/day)]]^2*tblVerifyItems[[#This Row],[Lead time std dev (days)]]^2))</f>
        <v>256.934350136232</v>
      </c>
      <c r="Q46" s="38">
        <f>IF(tblVerifyItems[[#This Row],[Item]]="","",tblVerifyItems[[#This Row],[Daily demand (units/day)]]*tblVerifyItems[[#This Row],[Lead time (days)]]+tblVerifyItems[[#This Row],[Safety stock (units)]])</f>
        <v>1156.93435013623</v>
      </c>
      <c r="R46" s="39">
        <f>IF(tblVerifyItems[[#This Row],[Item]]="","",tblVerifyItems[[#This Row],[Unit cost]]*$E$34)</f>
        <v>1</v>
      </c>
      <c r="S46" s="38">
        <f>IF(tblVerifyItems[[#This Row],[Item]]="","",IF(tblVerifyItems[[#This Row],[Holding cost]]&gt;0,SQRT(2*tblVerifyItems[[#This Row],[Annual demand (units)]]*tblVerifyItems[[#This Row],[Order cost]]/tblVerifyItems[[#This Row],[Holding cost]]),""))</f>
        <v>1581.13883008419</v>
      </c>
      <c r="T46" s="36">
        <f>IF(tblVerifyItems[[#This Row],[Item]]="","",IF(AND(ISNUMBER(tblVerifyItems[[#This Row],[EOQ (units)]]),tblVerifyItems[[#This Row],[EOQ (units)]]&gt;0),tblVerifyItems[[#This Row],[Annual demand (units)]]/tblVerifyItems[[#This Row],[EOQ (units)]],""))</f>
        <v>15.8113883008419</v>
      </c>
      <c r="U46" s="38">
        <f>IF(tblVerifyItems[[#This Row],[Item]]="","",IF(AND(ISNUMBER(tblVerifyItems[[#This Row],[EOQ (units)]]),tblVerifyItems[[#This Row],[EOQ (units)]]&gt;0),tblVerifyItems[[#This Row],[Annual demand (units)]]*tblVerifyItems[[#This Row],[Order cost]]/tblVerifyItems[[#This Row],[EOQ (units)]]+tblVerifyItems[[#This Row],[Holding cost]]*tblVerifyItems[[#This Row],[EOQ (units)]]/2,""))</f>
        <v>1581.13883008419</v>
      </c>
      <c r="V46" s="38">
        <f>IF(tblVerifyItems[[#This Row],[Item]]="","",IF(tblVerifyItems[[#This Row],[Current order qty (units)]]&gt;0,tblVerifyItems[[#This Row],[Annual demand (units)]]*tblVerifyItems[[#This Row],[Order cost]]/tblVerifyItems[[#This Row],[Current order qty (units)]]+tblVerifyItems[[#This Row],[Holding cost]]*tblVerifyItems[[#This Row],[Current order qty (units)]]/2,""))</f>
        <v>1750</v>
      </c>
      <c r="W46" s="38">
        <f>IF(tblVerifyItems[[#This Row],[Item]]="","",IF(AND(ISNUMBER(tblVerifyItems[[#This Row],[Annual cost at current qty]]),ISNUMBER(tblVerifyItems[[#This Row],[Annual cost at EOQ]])),tblVerifyItems[[#This Row],[Annual cost at current qty]]-tblVerifyItems[[#This Row],[Annual cost at EOQ]],""))</f>
        <v>168.86116991581</v>
      </c>
      <c r="X46" s="38">
        <f>IF(tblVerifyItems[[#This Row],[Item]]="","",tblVerifyItems[[#This Row],[Safety stock (units)]]*tblVerifyItems[[#This Row],[Unit cost]])</f>
        <v>1027.73740054493</v>
      </c>
      <c r="Y46" s="38">
        <f>IF(tblVerifyItems[[#This Row],[Item]]="","",tblVerifyItems[[#This Row],[On hand (units)]]+tblVerifyItems[[#This Row],[On order (units)]])</f>
        <v>1000</v>
      </c>
      <c r="Z46" s="40">
        <f>IF(tblVerifyItems[[#This Row],[Item]]="","",IF((tblVerifyItems[[#This Row],[Daily demand (units/day)]])=0,"",(tblVerifyItems[[#This Row],[Inventory position (units)]]-tblVerifyItems[[#This Row],[Reorder point (units)]])/(tblVerifyItems[[#This Row],[Daily demand (units/day)]])))</f>
        <v>-1.56934350136232</v>
      </c>
      <c r="AA46" s="41" t="str">
        <f>IF(tblVerifyItems[[#This Row],[Item]]="","",IF(tblVerifyItems[[#This Row],[Inventory position (units)]]&lt;=tblVerifyItems[[#This Row],[Reorder point (units)]],"Overdue",IF(tblVerifyItems[[#This Row],[Cover above ROP (days)]]&lt;=$E$36,"Due soon","OK")))</f>
        <v>Overdue</v>
      </c>
      <c r="AB46" s="38">
        <f>IF(tblVerifyItems[[#This Row],[Item]]="","",IFERROR(RANK(tblVerifyItems[[#This Row],[Cover above ROP (days)]],tblVerifyItems[Cover above ROP (days)],1)+COUNTIFS(tblVerifyItems[Cover above ROP (days)],tblVerifyItems[[#This Row],[Cover above ROP (days)]],tblVerifyItems[Item],"&lt;"&amp;tblVerifyItems[[#This Row],[Item]]),""))</f>
        <v>1</v>
      </c>
      <c r="AC46" s="42" t="str">
        <f>IF(tblVerifyItems[[#This Row],[Item]]="","",IF(tblVerifyItems[[#This Row],[Class]]="","Missing class",IF(tblVerifyItems[[#This Row],[Annual demand (units)]]="","Missing annual demand",IF(tblVerifyItems[[#This Row],[Demand std dev (units/day)]]="","Missing demand std dev",IF(tblVerifyItems[[#This Row],[Lead time (days)]]="","Missing lead time",IF(tblVerifyItems[[#This Row],[Lead time std dev (days)]]="","Missing lead time std dev",IF(tblVerifyItems[[#This Row],[Unit cost]]="","Missing unit cost",IF(tblVerifyItems[[#This Row],[Order cost]]="","Missing order cost",IF(COUNTIF(tblVerifyItems[Item],tblVerifyItems[[#This Row],[Item]])&gt;1,"Item listed twice",IF(tblVerifyItems[[#This Row],[Unit cost]]=0,"Unit cost is 0",IF(tblVerifyItems[[#This Row],[Current order qty (units)]]=0,"Current order qty is 0","OK")))))))))))</f>
        <v>OK</v>
      </c>
      <c r="AD46" s="60" t="s">
        <v>111</v>
      </c>
    </row>
    <row r="47" spans="2:30">
      <c r="B47" s="60" t="s">
        <v>295</v>
      </c>
      <c r="C47" s="60" t="s">
        <v>293</v>
      </c>
      <c r="D47" s="60" t="s">
        <v>107</v>
      </c>
      <c r="E47" s="69">
        <v>5000</v>
      </c>
      <c r="F47" s="70">
        <v>0</v>
      </c>
      <c r="G47" s="70">
        <v>10</v>
      </c>
      <c r="H47" s="70">
        <v>0</v>
      </c>
      <c r="I47" s="65">
        <v>50</v>
      </c>
      <c r="J47" s="69">
        <v>120</v>
      </c>
      <c r="K47" s="69">
        <v>400</v>
      </c>
      <c r="L47" s="69">
        <v>260</v>
      </c>
      <c r="M47" s="69">
        <v>0</v>
      </c>
      <c r="N47" s="36">
        <f>IF(tblVerifyItems[[#This Row],[Item]]="","",tblVerifyItems[[#This Row],[Annual demand (units)]]/$E$35)</f>
        <v>20</v>
      </c>
      <c r="O47" s="37">
        <f>IF(tblVerifyItems[[#This Row],[Item]]="","",_xlfn.NORM.S.INV(IF(tblVerifyItems[[#This Row],[Class]]="A",$E$37,IF(tblVerifyItems[[#This Row],[Class]]="B",$E$38,$E$39))))</f>
        <v>2.05374891063182</v>
      </c>
      <c r="P47" s="38">
        <f>IF(tblVerifyItems[[#This Row],[Item]]="","",tblVerifyItems[[#This Row],[Service factor z]]*SQRT(tblVerifyItems[[#This Row],[Lead time (days)]]*tblVerifyItems[[#This Row],[Demand std dev (units/day)]]^2+tblVerifyItems[[#This Row],[Daily demand (units/day)]]^2*tblVerifyItems[[#This Row],[Lead time std dev (days)]]^2))</f>
        <v>0</v>
      </c>
      <c r="Q47" s="38">
        <f>IF(tblVerifyItems[[#This Row],[Item]]="","",tblVerifyItems[[#This Row],[Daily demand (units/day)]]*tblVerifyItems[[#This Row],[Lead time (days)]]+tblVerifyItems[[#This Row],[Safety stock (units)]])</f>
        <v>200</v>
      </c>
      <c r="R47" s="39">
        <f>IF(tblVerifyItems[[#This Row],[Item]]="","",tblVerifyItems[[#This Row],[Unit cost]]*$E$34)</f>
        <v>12.5</v>
      </c>
      <c r="S47" s="38">
        <f>IF(tblVerifyItems[[#This Row],[Item]]="","",IF(tblVerifyItems[[#This Row],[Holding cost]]&gt;0,SQRT(2*tblVerifyItems[[#This Row],[Annual demand (units)]]*tblVerifyItems[[#This Row],[Order cost]]/tblVerifyItems[[#This Row],[Holding cost]]),""))</f>
        <v>309.838667696593</v>
      </c>
      <c r="T47" s="36">
        <f>IF(tblVerifyItems[[#This Row],[Item]]="","",IF(AND(ISNUMBER(tblVerifyItems[[#This Row],[EOQ (units)]]),tblVerifyItems[[#This Row],[EOQ (units)]]&gt;0),tblVerifyItems[[#This Row],[Annual demand (units)]]/tblVerifyItems[[#This Row],[EOQ (units)]],""))</f>
        <v>16.1374306091976</v>
      </c>
      <c r="U47" s="38">
        <f>IF(tblVerifyItems[[#This Row],[Item]]="","",IF(AND(ISNUMBER(tblVerifyItems[[#This Row],[EOQ (units)]]),tblVerifyItems[[#This Row],[EOQ (units)]]&gt;0),tblVerifyItems[[#This Row],[Annual demand (units)]]*tblVerifyItems[[#This Row],[Order cost]]/tblVerifyItems[[#This Row],[EOQ (units)]]+tblVerifyItems[[#This Row],[Holding cost]]*tblVerifyItems[[#This Row],[EOQ (units)]]/2,""))</f>
        <v>3872.98334620742</v>
      </c>
      <c r="V47" s="38">
        <f>IF(tblVerifyItems[[#This Row],[Item]]="","",IF(tblVerifyItems[[#This Row],[Current order qty (units)]]&gt;0,tblVerifyItems[[#This Row],[Annual demand (units)]]*tblVerifyItems[[#This Row],[Order cost]]/tblVerifyItems[[#This Row],[Current order qty (units)]]+tblVerifyItems[[#This Row],[Holding cost]]*tblVerifyItems[[#This Row],[Current order qty (units)]]/2,""))</f>
        <v>4000</v>
      </c>
      <c r="W47" s="38">
        <f>IF(tblVerifyItems[[#This Row],[Item]]="","",IF(AND(ISNUMBER(tblVerifyItems[[#This Row],[Annual cost at current qty]]),ISNUMBER(tblVerifyItems[[#This Row],[Annual cost at EOQ]])),tblVerifyItems[[#This Row],[Annual cost at current qty]]-tblVerifyItems[[#This Row],[Annual cost at EOQ]],""))</f>
        <v>127.016653792583</v>
      </c>
      <c r="X47" s="38">
        <f>IF(tblVerifyItems[[#This Row],[Item]]="","",tblVerifyItems[[#This Row],[Safety stock (units)]]*tblVerifyItems[[#This Row],[Unit cost]])</f>
        <v>0</v>
      </c>
      <c r="Y47" s="38">
        <f>IF(tblVerifyItems[[#This Row],[Item]]="","",tblVerifyItems[[#This Row],[On hand (units)]]+tblVerifyItems[[#This Row],[On order (units)]])</f>
        <v>260</v>
      </c>
      <c r="Z47" s="40">
        <f>IF(tblVerifyItems[[#This Row],[Item]]="","",IF((tblVerifyItems[[#This Row],[Daily demand (units/day)]])=0,"",(tblVerifyItems[[#This Row],[Inventory position (units)]]-tblVerifyItems[[#This Row],[Reorder point (units)]])/(tblVerifyItems[[#This Row],[Daily demand (units/day)]])))</f>
        <v>3</v>
      </c>
      <c r="AA47" s="41" t="str">
        <f>IF(tblVerifyItems[[#This Row],[Item]]="","",IF(tblVerifyItems[[#This Row],[Inventory position (units)]]&lt;=tblVerifyItems[[#This Row],[Reorder point (units)]],"Overdue",IF(tblVerifyItems[[#This Row],[Cover above ROP (days)]]&lt;=$E$36,"Due soon","OK")))</f>
        <v>Due soon</v>
      </c>
      <c r="AB47" s="38">
        <f>IF(tblVerifyItems[[#This Row],[Item]]="","",IFERROR(RANK(tblVerifyItems[[#This Row],[Cover above ROP (days)]],tblVerifyItems[Cover above ROP (days)],1)+COUNTIFS(tblVerifyItems[Cover above ROP (days)],tblVerifyItems[[#This Row],[Cover above ROP (days)]],tblVerifyItems[Item],"&lt;"&amp;tblVerifyItems[[#This Row],[Item]]),""))</f>
        <v>2</v>
      </c>
      <c r="AC47" s="42" t="str">
        <f>IF(tblVerifyItems[[#This Row],[Item]]="","",IF(tblVerifyItems[[#This Row],[Class]]="","Missing class",IF(tblVerifyItems[[#This Row],[Annual demand (units)]]="","Missing annual demand",IF(tblVerifyItems[[#This Row],[Demand std dev (units/day)]]="","Missing demand std dev",IF(tblVerifyItems[[#This Row],[Lead time (days)]]="","Missing lead time",IF(tblVerifyItems[[#This Row],[Lead time std dev (days)]]="","Missing lead time std dev",IF(tblVerifyItems[[#This Row],[Unit cost]]="","Missing unit cost",IF(tblVerifyItems[[#This Row],[Order cost]]="","Missing order cost",IF(COUNTIF(tblVerifyItems[Item],tblVerifyItems[[#This Row],[Item]])&gt;1,"Item listed twice",IF(tblVerifyItems[[#This Row],[Unit cost]]=0,"Unit cost is 0",IF(tblVerifyItems[[#This Row],[Current order qty (units)]]=0,"Current order qty is 0","OK")))))))))))</f>
        <v>OK</v>
      </c>
      <c r="AD47" s="60" t="s">
        <v>111</v>
      </c>
    </row>
    <row r="48" spans="2:30">
      <c r="B48" s="60" t="s">
        <v>296</v>
      </c>
      <c r="C48" s="60" t="s">
        <v>293</v>
      </c>
      <c r="D48" s="60" t="s">
        <v>137</v>
      </c>
      <c r="E48" s="69">
        <v>1000</v>
      </c>
      <c r="F48" s="70">
        <v>2</v>
      </c>
      <c r="G48" s="70">
        <v>5</v>
      </c>
      <c r="H48" s="70">
        <v>1</v>
      </c>
      <c r="I48" s="65">
        <v>0</v>
      </c>
      <c r="J48" s="69">
        <v>50</v>
      </c>
      <c r="K48" s="69">
        <v>100</v>
      </c>
      <c r="L48" s="69">
        <v>50</v>
      </c>
      <c r="M48" s="69">
        <v>0</v>
      </c>
      <c r="N48" s="36">
        <f>IF(tblVerifyItems[[#This Row],[Item]]="","",tblVerifyItems[[#This Row],[Annual demand (units)]]/$E$35)</f>
        <v>4</v>
      </c>
      <c r="O48" s="37">
        <f>IF(tblVerifyItems[[#This Row],[Item]]="","",_xlfn.NORM.S.INV(IF(tblVerifyItems[[#This Row],[Class]]="A",$E$37,IF(tblVerifyItems[[#This Row],[Class]]="B",$E$38,$E$39))))</f>
        <v>1.2815515655446</v>
      </c>
      <c r="P48" s="38">
        <f>IF(tblVerifyItems[[#This Row],[Item]]="","",tblVerifyItems[[#This Row],[Service factor z]]*SQRT(tblVerifyItems[[#This Row],[Lead time (days)]]*tblVerifyItems[[#This Row],[Demand std dev (units/day)]]^2+tblVerifyItems[[#This Row],[Daily demand (units/day)]]^2*tblVerifyItems[[#This Row],[Lead time std dev (days)]]^2))</f>
        <v>7.68930939326761</v>
      </c>
      <c r="Q48" s="38">
        <f>IF(tblVerifyItems[[#This Row],[Item]]="","",tblVerifyItems[[#This Row],[Daily demand (units/day)]]*tblVerifyItems[[#This Row],[Lead time (days)]]+tblVerifyItems[[#This Row],[Safety stock (units)]])</f>
        <v>27.6893093932676</v>
      </c>
      <c r="R48" s="39">
        <f>IF(tblVerifyItems[[#This Row],[Item]]="","",tblVerifyItems[[#This Row],[Unit cost]]*$E$34)</f>
        <v>0</v>
      </c>
      <c r="S48" s="38">
        <f>IF(tblVerifyItems[[#This Row],[Item]]="","",IF(tblVerifyItems[[#This Row],[Holding cost]]&gt;0,SQRT(2*tblVerifyItems[[#This Row],[Annual demand (units)]]*tblVerifyItems[[#This Row],[Order cost]]/tblVerifyItems[[#This Row],[Holding cost]]),""))</f>
        <v/>
      </c>
      <c r="T48" s="36">
        <f>IF(tblVerifyItems[[#This Row],[Item]]="","",IF(AND(ISNUMBER(tblVerifyItems[[#This Row],[EOQ (units)]]),tblVerifyItems[[#This Row],[EOQ (units)]]&gt;0),tblVerifyItems[[#This Row],[Annual demand (units)]]/tblVerifyItems[[#This Row],[EOQ (units)]],""))</f>
        <v/>
      </c>
      <c r="U48" s="38">
        <f>IF(tblVerifyItems[[#This Row],[Item]]="","",IF(AND(ISNUMBER(tblVerifyItems[[#This Row],[EOQ (units)]]),tblVerifyItems[[#This Row],[EOQ (units)]]&gt;0),tblVerifyItems[[#This Row],[Annual demand (units)]]*tblVerifyItems[[#This Row],[Order cost]]/tblVerifyItems[[#This Row],[EOQ (units)]]+tblVerifyItems[[#This Row],[Holding cost]]*tblVerifyItems[[#This Row],[EOQ (units)]]/2,""))</f>
        <v/>
      </c>
      <c r="V48" s="38">
        <f>IF(tblVerifyItems[[#This Row],[Item]]="","",IF(tblVerifyItems[[#This Row],[Current order qty (units)]]&gt;0,tblVerifyItems[[#This Row],[Annual demand (units)]]*tblVerifyItems[[#This Row],[Order cost]]/tblVerifyItems[[#This Row],[Current order qty (units)]]+tblVerifyItems[[#This Row],[Holding cost]]*tblVerifyItems[[#This Row],[Current order qty (units)]]/2,""))</f>
        <v>500</v>
      </c>
      <c r="W48" s="38">
        <f>IF(tblVerifyItems[[#This Row],[Item]]="","",IF(AND(ISNUMBER(tblVerifyItems[[#This Row],[Annual cost at current qty]]),ISNUMBER(tblVerifyItems[[#This Row],[Annual cost at EOQ]])),tblVerifyItems[[#This Row],[Annual cost at current qty]]-tblVerifyItems[[#This Row],[Annual cost at EOQ]],""))</f>
        <v/>
      </c>
      <c r="X48" s="38">
        <f>IF(tblVerifyItems[[#This Row],[Item]]="","",tblVerifyItems[[#This Row],[Safety stock (units)]]*tblVerifyItems[[#This Row],[Unit cost]])</f>
        <v>0</v>
      </c>
      <c r="Y48" s="38">
        <f>IF(tblVerifyItems[[#This Row],[Item]]="","",tblVerifyItems[[#This Row],[On hand (units)]]+tblVerifyItems[[#This Row],[On order (units)]])</f>
        <v>50</v>
      </c>
      <c r="Z48" s="40">
        <f>IF(tblVerifyItems[[#This Row],[Item]]="","",IF((tblVerifyItems[[#This Row],[Daily demand (units/day)]])=0,"",(tblVerifyItems[[#This Row],[Inventory position (units)]]-tblVerifyItems[[#This Row],[Reorder point (units)]])/(tblVerifyItems[[#This Row],[Daily demand (units/day)]])))</f>
        <v>5.5776726516831</v>
      </c>
      <c r="AA48" s="41" t="str">
        <f>IF(tblVerifyItems[[#This Row],[Item]]="","",IF(tblVerifyItems[[#This Row],[Inventory position (units)]]&lt;=tblVerifyItems[[#This Row],[Reorder point (units)]],"Overdue",IF(tblVerifyItems[[#This Row],[Cover above ROP (days)]]&lt;=$E$36,"Due soon","OK")))</f>
        <v>OK</v>
      </c>
      <c r="AB48" s="38">
        <f>IF(tblVerifyItems[[#This Row],[Item]]="","",IFERROR(RANK(tblVerifyItems[[#This Row],[Cover above ROP (days)]],tblVerifyItems[Cover above ROP (days)],1)+COUNTIFS(tblVerifyItems[Cover above ROP (days)],tblVerifyItems[[#This Row],[Cover above ROP (days)]],tblVerifyItems[Item],"&lt;"&amp;tblVerifyItems[[#This Row],[Item]]),""))</f>
        <v>4</v>
      </c>
      <c r="AC48" s="42" t="str">
        <f>IF(tblVerifyItems[[#This Row],[Item]]="","",IF(tblVerifyItems[[#This Row],[Class]]="","Missing class",IF(tblVerifyItems[[#This Row],[Annual demand (units)]]="","Missing annual demand",IF(tblVerifyItems[[#This Row],[Demand std dev (units/day)]]="","Missing demand std dev",IF(tblVerifyItems[[#This Row],[Lead time (days)]]="","Missing lead time",IF(tblVerifyItems[[#This Row],[Lead time std dev (days)]]="","Missing lead time std dev",IF(tblVerifyItems[[#This Row],[Unit cost]]="","Missing unit cost",IF(tblVerifyItems[[#This Row],[Order cost]]="","Missing order cost",IF(COUNTIF(tblVerifyItems[Item],tblVerifyItems[[#This Row],[Item]])&gt;1,"Item listed twice",IF(tblVerifyItems[[#This Row],[Unit cost]]=0,"Unit cost is 0",IF(tblVerifyItems[[#This Row],[Current order qty (units)]]=0,"Current order qty is 0","OK")))))))))))</f>
        <v>Unit cost is 0</v>
      </c>
      <c r="AD48" s="60" t="s">
        <v>111</v>
      </c>
    </row>
    <row r="50" spans="2:12">
      <c r="B50" s="48" t="s">
        <v>297</v>
      </c>
      <c r="C50" s="48"/>
      <c r="D50" s="48"/>
      <c r="E50" s="48"/>
      <c r="F50" s="48"/>
      <c r="G50" s="48"/>
      <c r="H50" s="48"/>
      <c r="I50" s="48"/>
      <c r="J50" s="48"/>
      <c r="K50" s="48"/>
      <c r="L50" s="48"/>
    </row>
    <row r="51" spans="2:12">
      <c r="B51" s="27" t="s">
        <v>189</v>
      </c>
      <c r="C51" s="27"/>
      <c r="D51" s="27"/>
      <c r="E51" s="38">
        <f>IFERROR(INDEX(tblVerifyItems[Annual demand (units)],MATCH($E$40,tblVerifyItems[Item],0)),"")</f>
        <v>24000</v>
      </c>
      <c r="F51" s="7" t="s">
        <v>190</v>
      </c>
    </row>
    <row r="52" spans="2:12">
      <c r="B52" s="27" t="s">
        <v>83</v>
      </c>
      <c r="C52" s="27"/>
      <c r="D52" s="27"/>
      <c r="E52" s="38">
        <f>IFERROR(INDEX(tblVerifyItems[Order cost],MATCH($E$40,tblVerifyItems[Item],0)),"")</f>
        <v>75</v>
      </c>
      <c r="F52" s="7" t="str">
        <f>Currency&amp;"/order"</f>
        <v>MXN/order</v>
      </c>
    </row>
    <row r="53" spans="2:12">
      <c r="B53" s="27" t="s">
        <v>91</v>
      </c>
      <c r="C53" s="27"/>
      <c r="D53" s="27"/>
      <c r="E53" s="39">
        <f>IFERROR(INDEX(tblVerifyItems[Holding cost],MATCH($E$40,tblVerifyItems[Item],0)),"")</f>
        <v>3</v>
      </c>
      <c r="F53" s="7" t="str">
        <f>Currency&amp;"/unit/year"</f>
        <v>MXN/unit/year</v>
      </c>
    </row>
    <row r="54" spans="2:12">
      <c r="B54" s="27" t="s">
        <v>164</v>
      </c>
      <c r="C54" s="27"/>
      <c r="D54" s="27"/>
      <c r="E54" s="38">
        <f>IFERROR(INDEX(tblVerifyItems[EOQ (units)],MATCH($E$40,tblVerifyItems[Item],0)),"")</f>
        <v>1095.44511501033</v>
      </c>
      <c r="F54" s="7" t="s">
        <v>166</v>
      </c>
    </row>
    <row r="55" spans="2:12">
      <c r="B55" s="27" t="s">
        <v>195</v>
      </c>
      <c r="C55" s="27"/>
      <c r="D55" s="27"/>
      <c r="E55" s="38">
        <f>IFERROR(INDEX(tblVerifyItems[Current order qty (units)],MATCH($E$40,tblVerifyItems[Item],0)),"")</f>
        <v>3000</v>
      </c>
      <c r="F55" s="7" t="s">
        <v>166</v>
      </c>
    </row>
    <row r="56" spans="2:12">
      <c r="B56" s="17" t="s">
        <v>96</v>
      </c>
      <c r="C56" s="17"/>
      <c r="D56" s="17"/>
      <c r="E56" s="56">
        <f>IFERROR(INDEX(tblVerifyItems[Saving at EOQ],MATCH($E$40,tblVerifyItems[Item],0)),"")</f>
        <v>1813.664654969</v>
      </c>
      <c r="F56" s="7" t="str">
        <f>Currency&amp;"/year"</f>
        <v>MXN/year</v>
      </c>
    </row>
    <row r="58" spans="2:12">
      <c r="B58" s="48" t="s">
        <v>298</v>
      </c>
      <c r="C58" s="48"/>
      <c r="D58" s="48"/>
      <c r="E58" s="48"/>
      <c r="F58" s="48"/>
      <c r="G58" s="48"/>
      <c r="H58" s="48"/>
      <c r="I58" s="48"/>
      <c r="J58" s="48"/>
      <c r="K58" s="48"/>
      <c r="L58" s="48"/>
    </row>
    <row r="59" spans="2:12" ht="32" customHeight="1">
      <c r="B59" s="49" t="s">
        <v>191</v>
      </c>
      <c r="C59" s="33" t="s">
        <v>192</v>
      </c>
      <c r="D59" s="33" t="s">
        <v>193</v>
      </c>
      <c r="E59" s="33" t="s">
        <v>91</v>
      </c>
      <c r="F59" s="33" t="s">
        <v>194</v>
      </c>
    </row>
    <row r="60" spans="2:12" ht="14" customHeight="1">
      <c r="B60" s="32"/>
      <c r="C60" s="32" t="s">
        <v>166</v>
      </c>
      <c r="D60" s="32" t="str">
        <f>Currency&amp;"/year"</f>
        <v>MXN/year</v>
      </c>
      <c r="E60" s="32" t="str">
        <f>Currency&amp;"/year"</f>
        <v>MXN/year</v>
      </c>
      <c r="F60" s="32" t="str">
        <f>Currency&amp;"/year"</f>
        <v>MXN/year</v>
      </c>
    </row>
    <row r="61" spans="2:12">
      <c r="B61" s="55">
        <v>0.25</v>
      </c>
      <c r="C61" s="38">
        <f>IF(ISNUMBER($E$54),$B$61*$E$54,"")</f>
        <v>273.861278752583</v>
      </c>
      <c r="D61" s="38">
        <f>IF(($C$61)=0,"",($E$51*$E$52)/($C$61))</f>
        <v>6572.67069006199</v>
      </c>
      <c r="E61" s="38">
        <f>IF(ISNUMBER($C$61),$E$53*$C$61/2,"")</f>
        <v>410.791918128875</v>
      </c>
      <c r="F61" s="38">
        <f>IF(ISNUMBER($C$61),$D$61+$E$61,"")</f>
        <v>6983.46260819087</v>
      </c>
    </row>
    <row r="62" spans="2:12">
      <c r="B62" s="55">
        <v>0.5</v>
      </c>
      <c r="C62" s="38">
        <f>IF(ISNUMBER($E$54),$B$62*$E$54,"")</f>
        <v>547.722557505166</v>
      </c>
      <c r="D62" s="38">
        <f>IF(($C$62)=0,"",($E$51*$E$52)/($C$62))</f>
        <v>3286.335345031</v>
      </c>
      <c r="E62" s="38">
        <f>IF(ISNUMBER($C$62),$E$53*$C$62/2,"")</f>
        <v>821.583836257749</v>
      </c>
      <c r="F62" s="38">
        <f>IF(ISNUMBER($C$62),$D$62+$E$62,"")</f>
        <v>4107.91918128875</v>
      </c>
    </row>
    <row r="63" spans="2:12">
      <c r="B63" s="55">
        <v>0.75</v>
      </c>
      <c r="C63" s="38">
        <f>IF(ISNUMBER($E$54),$B$63*$E$54,"")</f>
        <v>821.583836257749</v>
      </c>
      <c r="D63" s="38">
        <f>IF(($C$63)=0,"",($E$51*$E$52)/($C$63))</f>
        <v>2190.89023002066</v>
      </c>
      <c r="E63" s="38">
        <f>IF(ISNUMBER($C$63),$E$53*$C$63/2,"")</f>
        <v>1232.37575438662</v>
      </c>
      <c r="F63" s="38">
        <f>IF(ISNUMBER($C$63),$D$63+$E$63,"")</f>
        <v>3423.26598440729</v>
      </c>
    </row>
    <row r="64" spans="2:12">
      <c r="B64" s="55">
        <v>1</v>
      </c>
      <c r="C64" s="38">
        <f>IF(ISNUMBER($E$54),$B$64*$E$54,"")</f>
        <v>1095.44511501033</v>
      </c>
      <c r="D64" s="38">
        <f>IF(($C$64)=0,"",($E$51*$E$52)/($C$64))</f>
        <v>1643.1676725155</v>
      </c>
      <c r="E64" s="38">
        <f>IF(ISNUMBER($C$64),$E$53*$C$64/2,"")</f>
        <v>1643.1676725155</v>
      </c>
      <c r="F64" s="38">
        <f>IF(ISNUMBER($C$64),$D$64+$E$64,"")</f>
        <v>3286.335345031</v>
      </c>
    </row>
    <row r="65" spans="2:6">
      <c r="B65" s="55">
        <v>1.25</v>
      </c>
      <c r="C65" s="38">
        <f>IF(ISNUMBER($E$54),$B$65*$E$54,"")</f>
        <v>1369.30639376292</v>
      </c>
      <c r="D65" s="38">
        <f>IF(($C$65)=0,"",($E$51*$E$52)/($C$65))</f>
        <v>1314.5341380124</v>
      </c>
      <c r="E65" s="38">
        <f>IF(ISNUMBER($C$65),$E$53*$C$65/2,"")</f>
        <v>2053.95959064437</v>
      </c>
      <c r="F65" s="38">
        <f>IF(ISNUMBER($C$65),$D$65+$E$65,"")</f>
        <v>3368.49372865677</v>
      </c>
    </row>
    <row r="66" spans="2:6">
      <c r="B66" s="55">
        <v>1.5</v>
      </c>
      <c r="C66" s="38">
        <f>IF(ISNUMBER($E$54),$B$66*$E$54,"")</f>
        <v>1643.1676725155</v>
      </c>
      <c r="D66" s="38">
        <f>IF(($C$66)=0,"",($E$51*$E$52)/($C$66))</f>
        <v>1095.44511501033</v>
      </c>
      <c r="E66" s="38">
        <f>IF(ISNUMBER($C$66),$E$53*$C$66/2,"")</f>
        <v>2464.75150877325</v>
      </c>
      <c r="F66" s="38">
        <f>IF(ISNUMBER($C$66),$D$66+$E$66,"")</f>
        <v>3560.19662378358</v>
      </c>
    </row>
    <row r="67" spans="2:6">
      <c r="B67" s="55">
        <v>2</v>
      </c>
      <c r="C67" s="38">
        <f>IF(ISNUMBER($E$54),$B$67*$E$54,"")</f>
        <v>2190.89023002066</v>
      </c>
      <c r="D67" s="38">
        <f>IF(($C$67)=0,"",($E$51*$E$52)/($C$67))</f>
        <v>821.583836257749</v>
      </c>
      <c r="E67" s="38">
        <f>IF(ISNUMBER($C$67),$E$53*$C$67/2,"")</f>
        <v>3286.335345031</v>
      </c>
      <c r="F67" s="38">
        <f>IF(ISNUMBER($C$67),$D$67+$E$67,"")</f>
        <v>4107.91918128875</v>
      </c>
    </row>
    <row r="68" spans="2:6">
      <c r="B68" s="55">
        <v>2.5</v>
      </c>
      <c r="C68" s="38">
        <f>IF(ISNUMBER($E$54),$B$68*$E$54,"")</f>
        <v>2738.61278752583</v>
      </c>
      <c r="D68" s="38">
        <f>IF(($C$68)=0,"",($E$51*$E$52)/($C$68))</f>
        <v>657.267069006199</v>
      </c>
      <c r="E68" s="38">
        <f>IF(ISNUMBER($C$68),$E$53*$C$68/2,"")</f>
        <v>4107.91918128875</v>
      </c>
      <c r="F68" s="38">
        <f>IF(ISNUMBER($C$68),$D$68+$E$68,"")</f>
        <v>4765.18625029495</v>
      </c>
    </row>
    <row r="69" spans="2:6">
      <c r="B69" s="55">
        <v>3</v>
      </c>
      <c r="C69" s="38">
        <f>IF(ISNUMBER($E$54),$B$69*$E$54,"")</f>
        <v>3286.335345031</v>
      </c>
      <c r="D69" s="38">
        <f>IF(($C$69)=0,"",($E$51*$E$52)/($C$69))</f>
        <v>547.722557505166</v>
      </c>
      <c r="E69" s="38">
        <f>IF(ISNUMBER($C$69),$E$53*$C$69/2,"")</f>
        <v>4929.5030175465</v>
      </c>
      <c r="F69" s="38">
        <f>IF(ISNUMBER($C$69),$D$69+$E$69,"")</f>
        <v>5477.22557505166</v>
      </c>
    </row>
  </sheetData>
  <sheetProtection sheet="1" formatColumns="0" formatRows="0"/>
  <mergeCells count="46">
    <mergeCell ref="A1:AD1"/>
    <mergeCell ref="B2:AC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B30:L30"/>
    <mergeCell ref="B32:L32"/>
    <mergeCell ref="B33:F33"/>
    <mergeCell ref="B34:D34"/>
    <mergeCell ref="B35:D35"/>
    <mergeCell ref="B36:D36"/>
    <mergeCell ref="B37:D37"/>
    <mergeCell ref="B38:D38"/>
    <mergeCell ref="B39:D39"/>
    <mergeCell ref="B40:D40"/>
    <mergeCell ref="E40:F40"/>
    <mergeCell ref="B42:L42"/>
    <mergeCell ref="B50:L50"/>
    <mergeCell ref="B51:D51"/>
    <mergeCell ref="B52:D52"/>
    <mergeCell ref="B53:D53"/>
    <mergeCell ref="B54:D54"/>
    <mergeCell ref="B55:D55"/>
    <mergeCell ref="B56:D56"/>
    <mergeCell ref="B58:L58"/>
  </mergeCells>
  <conditionalFormatting sqref="AC45:AC48">
    <cfRule type="expression" dxfId="3" priority="41">
      <formula>$AC45="OK"</formula>
    </cfRule>
    <cfRule type="expression" dxfId="1" priority="42">
      <formula>AND($AC45&lt;&gt;"",$AC45&lt;&gt;"OK")</formula>
    </cfRule>
  </conditionalFormatting>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K11:K28">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AD2" r:id="rId1" tooltip="Free manufacturing calculators and templates"/>
  </hyperlinks>
  <printOptions horizontalCentered="1"/>
  <pageMargins left="0.4" right="0.4" top="0.7" bottom="0.65" header="0.3" footer="0.3"/>
  <pageSetup fitToHeight="0" orientation="landscape"/>
  <headerFooter>
    <oddHeader>&amp;L&amp;8MFG Calcs - Reorder Point and EOQ Planner&amp;R&amp;8&amp;A</oddHeader>
    <oddFooter>&amp;L&amp;8mfgcalcs.com - free manufacturing templates&amp;R&amp;8Page &amp;P of &amp;N</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29</vt:i4>
      </vt:variant>
    </vt:vector>
  </HeadingPairs>
  <TitlesOfParts>
    <vt:vector size="35" baseType="lpstr">
      <vt:lpstr>Start Here</vt:lpstr>
      <vt:lpstr>Setup</vt:lpstr>
      <vt:lpstr>Item Plan</vt:lpstr>
      <vt:lpstr>Dashboard</vt:lpstr>
      <vt:lpstr>Method</vt:lpstr>
      <vt:lpstr>Verify</vt:lpstr>
      <vt:lpstr>CarryRate</vt:lpstr>
      <vt:lpstr>CompanyName</vt:lpstr>
      <vt:lpstr>Currency</vt:lpstr>
      <vt:lpstr>DashItem</vt:lpstr>
      <vt:lpstr>KpiDue</vt:lpstr>
      <vt:lpstr>KpiOverdue</vt:lpstr>
      <vt:lpstr>KpiSaving</vt:lpstr>
      <vt:lpstr>KpiSS</vt:lpstr>
      <vt:lpstr>Dashboard!Print_Area</vt:lpstr>
      <vt:lpstr>'Item Plan'!Print_Area</vt:lpstr>
      <vt:lpstr>Method!Print_Area</vt:lpstr>
      <vt:lpstr>Setup!Print_Area</vt:lpstr>
      <vt:lpstr>'Start Here'!Print_Area</vt:lpstr>
      <vt:lpstr>Verify!Print_Area</vt:lpstr>
      <vt:lpstr>'Item Plan'!Print_Titles</vt:lpstr>
      <vt:lpstr>Method!Print_Titles</vt:lpstr>
      <vt:lpstr>ReviewDays</vt:lpstr>
      <vt:lpstr>SelD</vt:lpstr>
      <vt:lpstr>SelEOQ</vt:lpstr>
      <vt:lpstr>SelfCheck</vt:lpstr>
      <vt:lpstr>SelfCheckSummary</vt:lpstr>
      <vt:lpstr>SelH</vt:lpstr>
      <vt:lpstr>SelQ</vt:lpstr>
      <vt:lpstr>SelS</vt:lpstr>
      <vt:lpstr>SelSaving</vt:lpstr>
      <vt:lpstr>SLA</vt:lpstr>
      <vt:lpstr>SLB</vt:lpstr>
      <vt:lpstr>SLC</vt:lpstr>
      <vt:lpstr>WorkDays</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Reorder Point and EOQ Planner - free Excel template from MFG Calcs</dc:title>
  <dc:subject>For every item: the economic order quantity, safety stock for your service level, the reorder point, and whether stock on hand and on order says order now.</dc:subject>
  <dc:creator>MFG Calcs</dc:creator>
  <cp:keywords>reorder point, EOQ, economic order quantity, safety stock, service level, inventory position, replenishment planning, min max</cp:keywords>
  <dc:description>https://www.mfgcalcs.com/templates/reorder-point-eoq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reorder-point-eoq</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log</vt:lpwstr>
  </property>
  <property fmtid="{D5CDD505-2E9C-101B-9397-08002B2CF9AE}" pid="6" name="Template URL">
    <vt:lpwstr>https://www.mfgcalcs.com/templates/reorder-point-eoq</vt:lpwstr>
  </property>
  <property fmtid="{D5CDD505-2E9C-101B-9397-08002B2CF9AE}" pid="7" name="Template sheet roles">
    <vt:lpwstr>Start Here=start;Setup=setup;Item Plan=work;Dashboard=dashboard;Method=method;Verify=verify</vt:lpwstr>
  </property>
</Properties>
</file>