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TCO Model" sheetId="3" r:id="rId3"/>
    <sheet name="Dashboard" sheetId="4" r:id="rId4"/>
    <sheet name="Method" sheetId="5" r:id="rId5"/>
    <sheet name="Verify" sheetId="6" r:id="rId6"/>
  </sheets>
  <definedNames>
    <definedName name="BestIdx">IFERROR(MATCH(MIN('TCO Model'!$D$35:$G$35),'TCO Model'!$D$35:$G$35,0),1)</definedName>
    <definedName name="CarryRate">Setup!$C$8</definedName>
    <definedName name="CoName">Setup!$C$6</definedName>
    <definedName name="Currency">Setup!$C$7</definedName>
    <definedName name="DefectCost">'TCO Model'!$C$10</definedName>
    <definedName name="DutyBase">Setup!$C$10</definedName>
    <definedName name="Horizon">Setup!$C$9</definedName>
    <definedName name="KpiBest">Dashboard!$B$7</definedName>
    <definedName name="KpiCur">Dashboard!$D$7</definedName>
    <definedName name="KpiPayback">Dashboard!$J$7</definedName>
    <definedName name="KpiSaving">Dashboard!$G$7</definedName>
    <definedName name="PartName">'TCO Model'!$C$8</definedName>
    <definedName name="_xlnm.Print_Area" localSheetId="3">Dashboard!$A$1:$L$55</definedName>
    <definedName name="_xlnm.Print_Area" localSheetId="4">Method!$A$1:$D$61</definedName>
    <definedName name="_xlnm.Print_Area" localSheetId="1">Setup!$A$1:$E$12</definedName>
    <definedName name="_xlnm.Print_Area" localSheetId="0">'Start Here'!$A$1:$F$55</definedName>
    <definedName name="_xlnm.Print_Area" localSheetId="2">'TCO Model'!$A$1:$G$44</definedName>
    <definedName name="_xlnm.Print_Area" localSheetId="5">Verify!$A$1:$L$72</definedName>
    <definedName name="_xlnm.Print_Titles" localSheetId="4">Method!$1:$2</definedName>
    <definedName name="SelfCheck">Verify!$D$4</definedName>
    <definedName name="SelfCheckSummary">Verify!$F$4</definedName>
    <definedName name="Volume">'TCO Model'!$C$9</definedName>
  </definedNames>
  <calcPr calcId="124519" fullCalcOnLoad="1"/>
</workbook>
</file>

<file path=xl/sharedStrings.xml><?xml version="1.0" encoding="utf-8"?>
<sst xmlns="http://schemas.openxmlformats.org/spreadsheetml/2006/main" count="342" uniqueCount="239">
  <si>
    <t>Reshoring Total Cost of Ownership</t>
  </si>
  <si>
    <t>Read this first: what the workbook does and how to use it.</t>
  </si>
  <si>
    <t>mfgcalcs.com</t>
  </si>
  <si>
    <t>Compare offshore, nearshore and reshored sources for a part on total cost of ownership, with payback and the tariff at which each option wins.</t>
  </si>
  <si>
    <t>For: Supply-chain and sourcing managers, buyers, operations and finance leaders, and owners weighing reshoring or nearshoring.</t>
  </si>
  <si>
    <t>Version 1.0.0  ·  updated 15 October 2026</t>
  </si>
  <si>
    <t>Quick start</t>
  </si>
  <si>
    <t>1.</t>
  </si>
  <si>
    <t>On Setup, type your currency, inventory carrying rate, the horizon for one-time costs and the duty base (FOB or CIF).</t>
  </si>
  <si>
    <t>2.</t>
  </si>
  <si>
    <t>On TCO Model, enter the part, annual volume and the cost of a defective unit reaching you.</t>
  </si>
  <si>
    <t>3.</t>
  </si>
  <si>
    <t>Name up to four options (option 1 is your current source) and fill in each one's price, freight, duty and tariff rates, lead times, defect rate, annual costs and one-time transition cost.</t>
  </si>
  <si>
    <t>4.</t>
  </si>
  <si>
    <t>Read TCO per unit, the annual difference from option 1, payback and the break-even tariff; then open the Dashboard.</t>
  </si>
  <si>
    <t>What is in this workbook</t>
  </si>
  <si>
    <t>Start Here</t>
  </si>
  <si>
    <t>Setup</t>
  </si>
  <si>
    <t>Your company, currency and the rates every option is costed with.</t>
  </si>
  <si>
    <t>TCO Model</t>
  </si>
  <si>
    <t>The part, its volume and up to four sourcing options, costed line by line to total cost of ownership.</t>
  </si>
  <si>
    <t>Dashboard</t>
  </si>
  <si>
    <t>Total cost of ownership of each sourcing option, what it is made of, payback, and how tariffs move the answer.</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</si>
  <si>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</si>
  <si>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</si>
  <si>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</si>
  <si>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</si>
  <si>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</si>
  <si>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</si>
  <si>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</si>
  <si>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</si>
  <si>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</si>
  <si>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</si>
  <si>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</si>
  <si>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</si>
  <si>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</si>
  <si>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</si>
  <si>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</si>
  <si>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</si>
  <si>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</si>
  <si>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</si>
  <si>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</si>
  <si>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</si>
  <si>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Sourcing Total Cost of Ownership Calculator on mfgcalcs.com</t>
  </si>
  <si>
    <t>Latest version</t>
  </si>
  <si>
    <t>mfgcalcs.com/templates/reshoring-tco</t>
  </si>
  <si>
    <t>More free templates</t>
  </si>
  <si>
    <t>mfgcalcs.com/templates</t>
  </si>
  <si>
    <t>Version</t>
  </si>
  <si>
    <t>1.0.0 (updated 15 October 2026)</t>
  </si>
  <si>
    <t>About the example data</t>
  </si>
  <si>
    <t>Every number already in this workbook is example data for Ravensworth Lighting, a fictional business invented for this template, so the dashboard and charts show something meaningful on day one. It compares four sources for a die-cast aluminium heat-sink housing, 40,000 a year: the current supplier in China, a supplier in Mexico, the company's own plant and a domestic supplier. Every price, rate and cost is invented; the duty and tariff rates are illustrations, not current tariffs.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</si>
  <si>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</si>
  <si>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</si>
  <si>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</si>
  <si>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</si>
  <si>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</si>
  <si>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</si>
  <si>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</si>
  <si>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</si>
  <si>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costing rates</t>
  </si>
  <si>
    <t>Company</t>
  </si>
  <si>
    <t>Ravensworth Lighting (example)</t>
  </si>
  <si>
    <t>Currency label</t>
  </si>
  <si>
    <t>USD</t>
  </si>
  <si>
    <t>Inventory carrying rate</t>
  </si>
  <si>
    <t>per year</t>
  </si>
  <si>
    <t>Horizon for one-time costs</t>
  </si>
  <si>
    <t>years</t>
  </si>
  <si>
    <t>Duty is charged on</t>
  </si>
  <si>
    <t>FOB value</t>
  </si>
  <si>
    <t>Every rate here is yours to set; nothing in this workbook assumes an industry benchmark. Customs valuation differs by country: the United States values most imports without international freight (FOB), the European Union, the United Kingdom and India include it (CIF). Ask your broker which applies.</t>
  </si>
  <si>
    <t>Example for Ravensworth Lighting (fictional): prices, rates and costs are invented, and the duty and tariff rates are illustrations, not current tariffs. Overwrite the yellow cells with your own options. Blue cells calculate.</t>
  </si>
  <si>
    <t>Part and volume</t>
  </si>
  <si>
    <t>Part</t>
  </si>
  <si>
    <t>Heat-sink housing HS-220, die-cast aluminium (example)</t>
  </si>
  <si>
    <t>Annual volume</t>
  </si>
  <si>
    <t>units/yr</t>
  </si>
  <si>
    <t>Cost of a defective unit reaching you</t>
  </si>
  <si>
    <t>Options (option 1 is your current source; leave unused options blank)</t>
  </si>
  <si>
    <t>Option</t>
  </si>
  <si>
    <t>Unit</t>
  </si>
  <si>
    <t>Current: China supplier</t>
  </si>
  <si>
    <t>Mexico supplier</t>
  </si>
  <si>
    <t>Own plant (reshore)</t>
  </si>
  <si>
    <t>Domestic supplier</t>
  </si>
  <si>
    <t>Piece price (ex-works)</t>
  </si>
  <si>
    <t>Freight to your plant</t>
  </si>
  <si>
    <t>Brokerage, insurance, handling</t>
  </si>
  <si>
    <t>Packaging</t>
  </si>
  <si>
    <t>Duty rate</t>
  </si>
  <si>
    <t>% of customs</t>
  </si>
  <si>
    <t>Extra tariff rate</t>
  </si>
  <si>
    <t>Transit time</t>
  </si>
  <si>
    <t>weeks</t>
  </si>
  <si>
    <t>Safety stock held</t>
  </si>
  <si>
    <t>weeks of demand</t>
  </si>
  <si>
    <t>Defects reaching you</t>
  </si>
  <si>
    <t>PPM</t>
  </si>
  <si>
    <t>Supplier management and travel</t>
  </si>
  <si>
    <t>Expediting and disruption allowance</t>
  </si>
  <si>
    <t>One-time transition cost</t>
  </si>
  <si>
    <t>Customs value</t>
  </si>
  <si>
    <t>Duty</t>
  </si>
  <si>
    <t>Extra tariff</t>
  </si>
  <si>
    <t>Landed cost</t>
  </si>
  <si>
    <t>Inventory carrying (pipeline + safety)</t>
  </si>
  <si>
    <t>Quality cost</t>
  </si>
  <si>
    <t>Management and disruption</t>
  </si>
  <si>
    <t>Transition cost, spread</t>
  </si>
  <si>
    <t>Total cost of ownership</t>
  </si>
  <si>
    <t>Annual TCO</t>
  </si>
  <si>
    <t>TCO above piece price</t>
  </si>
  <si>
    <t>% of price</t>
  </si>
  <si>
    <t>Annual TCO minus option 1</t>
  </si>
  <si>
    <t>TCO against option 1</t>
  </si>
  <si>
    <t>%</t>
  </si>
  <si>
    <t>Payback of the transition cost</t>
  </si>
  <si>
    <t>months</t>
  </si>
  <si>
    <t>Break-even extra tariff on option 1</t>
  </si>
  <si>
    <t>Lowest TCO</t>
  </si>
  <si>
    <t>Landed cost = price + freight + brokerage, insurance and handling + packaging + duty + extra tariff. Inventory carrying = landed cost x (transit + safety-stock weeks) / 52 x carrying rate. Quality = PPM / 1,000,000 x cost of a defective unit. Management and disruption = annual costs / volume. Transition = one-time cost / horizon / volume.</t>
  </si>
  <si>
    <t>LOWEST TOTAL COST OF OWNERSHIP</t>
  </si>
  <si>
    <t>PAYBACK OF ITS TRANSITION COST (MONTHS)</t>
  </si>
  <si>
    <t>Lowest-TCO option, transition cost spread</t>
  </si>
  <si>
    <t>Total cost of ownership by option (per unit unless stated)</t>
  </si>
  <si>
    <t>Piece price</t>
  </si>
  <si>
    <t>Freight, handling, packaging</t>
  </si>
  <si>
    <t>Duty and tariffs</t>
  </si>
  <si>
    <t>Inventory carrying</t>
  </si>
  <si>
    <t>Quality and overheads</t>
  </si>
  <si>
    <t>Transition, spread</t>
  </si>
  <si>
    <t>TCO</t>
  </si>
  <si>
    <t>Vs option 1</t>
  </si>
  <si>
    <t>Break-even tariff</t>
  </si>
  <si>
    <t>% on opt. 1</t>
  </si>
  <si>
    <t>Chart data: TCO per unit as the extra tariff on option 1 changes</t>
  </si>
  <si>
    <t>Extra tariff on option 1</t>
  </si>
  <si>
    <t>Option 1</t>
  </si>
  <si>
    <t>Option 2</t>
  </si>
  <si>
    <t>Option 3</t>
  </si>
  <si>
    <t>Option 4</t>
  </si>
  <si>
    <t>Four options are compared; leave an option's name and inputs blank if you need fewer. The tariff lines move only option 1, because it is the source a tariff change is usually about; change an option's tariff rate on TCO Model to test another.</t>
  </si>
  <si>
    <t>What this workbook calculates</t>
  </si>
  <si>
    <t>Total cost of ownership (TCO) adds to the piece price everything else a source costs you: getting the part to your plant, duty and tariffs, the inventory you must own because of long transit and variable supply, the cost of the defects that reach you, the time spent managing the source and the disruption you budget for, and any one-time cost of moving to it. Each option is costed per unit with the same lines, so a cheaper offshore price can be compared fairly with a dearer nearby one, and the option you have today (option 1) is the yardstick.</t>
  </si>
  <si>
    <t>Calculations</t>
  </si>
  <si>
    <t>Quantity</t>
  </si>
  <si>
    <t>How it is calculated</t>
  </si>
  <si>
    <t>Units</t>
  </si>
  <si>
    <t>Piece price, plus freight when the duty base on Setup is CIF value.</t>
  </si>
  <si>
    <t>currency/unit</t>
  </si>
  <si>
    <t>Duty and extra tariff</t>
  </si>
  <si>
    <t>Customs value x duty rate; customs value x extra tariff rate.</t>
  </si>
  <si>
    <t>Piece price + freight + brokerage, insurance and handling + packaging + duty + extra tariff.</t>
  </si>
  <si>
    <t>Landed cost x (transit weeks + safety-stock weeks) / 52 x the carrying rate on Setup: the yearly cost of owning that stock, per unit of annual volume.</t>
  </si>
  <si>
    <t>Defects reaching you (PPM) / 1,000,000 x the cost of a defective unit.</t>
  </si>
  <si>
    <t>(Supplier management and travel + expediting and disruption allowance) / annual volume.</t>
  </si>
  <si>
    <t>One-time transition cost / horizon / annual volume.</t>
  </si>
  <si>
    <t>Landed cost + inventory carrying + quality + management and disruption + transition, per unit; x annual volume for the annual TCO.</t>
  </si>
  <si>
    <t>TCO / piece price - 1.</t>
  </si>
  <si>
    <t>Against option 1</t>
  </si>
  <si>
    <t>Annual TCO - option 1's annual TCO (negative = saves), and TCO / option 1's TCO - 1.</t>
  </si>
  <si>
    <t>currency/yr, %</t>
  </si>
  <si>
    <t>Payback</t>
  </si>
  <si>
    <t>One-time cost / ((option 1's TCO - its transition) - (this TCO - this transition)) x volume x 12. 'No payback' when the option does not save before its transition cost.</t>
  </si>
  <si>
    <t>Break-even extra tariff</t>
  </si>
  <si>
    <t>Option 1's extra tariff + (this TCO - option 1's TCO) / (option 1's customs value x (1 + carrying rate x option 1's weeks / 52)): a tariff point on option 1 also raises the value of its stock.</t>
  </si>
  <si>
    <t>Tariff sensitivity chart</t>
  </si>
  <si>
    <t>Option 1's TCO recomputed at extra tariffs of 0% to 60% in 5-point steps; the other options are flat.</t>
  </si>
  <si>
    <t>Assumptions</t>
  </si>
  <si>
    <t>All prices and costs are in the currency on Setup at today's exchange rates; exchange-rate risk is not modelled.</t>
  </si>
  <si>
    <t>Costs per unit do not change with volume, and money is not discounted: for large one-time costs over many years, also run the cash flows through the Capital Project NPV template.</t>
  </si>
  <si>
    <t>Inventory is valued at landed cost; the carrying rate covers capital, storage, insurance and obsolescence.</t>
  </si>
  <si>
    <t>For an in-house option, the piece price is your avoidable cost to make (see the Make vs Buy template), not a full absorbed cost.</t>
  </si>
  <si>
    <t>Limitations</t>
  </si>
  <si>
    <t>Expediting, disruption and defect costs are your estimates. The workbook does not estimate the probability or cost of a disruption; it shows what your allowances add.</t>
  </si>
  <si>
    <t>Qualitative factors (intellectual property, proximity to customers, incentives, labour availability) are not scored; record them beside the decision.</t>
  </si>
  <si>
    <t>Specific duties (an amount per kg) must be converted to an equivalent rate; recoverable VAT or GST is left out.</t>
  </si>
  <si>
    <t>Four options are compared on the Dashboard.</t>
  </si>
  <si>
    <t>Agreement with the live calculator</t>
  </si>
  <si>
    <t>The live Sourcing Total Cost of Ownership calculator gives the yearly TCO adder over piece price as annual volume x hidden cost per unit x a burden factor + annual supplier management cost, and the adder per unit as that total / volume. This workbook itemises the hidden costs instead of scaling them, which is the calculator with the burden factor at 100%: the hidden cost per unit is every per-unit line above the piece price (freight, handling, packaging, duty, extra tariff, inventory carrying, quality) and the management cost is every annual line plus the spread transition cost. Then the calculator's adder per unit equals this workbook's TCO minus the piece price. The build checks this against the calculator's engine for the current source and the Mexico option of the example.</t>
  </si>
  <si>
    <t>Open the Sourcing Total Cost of Ownership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</si>
  <si>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</si>
  <si>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</si>
  <si>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Ellram, L. M., 'Total cost of ownership: an analysis approach for purchasing', International Journal of Physical Distribution and Logistics Management, 1995: TCO as the purchase price plus acquisition, ownership and post-ownership costs.</t>
  </si>
  <si>
    <t>Reshoring Initiative, Total Cost of Ownership Estimator: a public checklist of TCO cost categories for offshore and domestic sourcing (named for its categories; no figures are taken from it).</t>
  </si>
  <si>
    <t>WTO Agreement on Customs Valuation: transaction value, and the member's choice of FOB or CIF basis.</t>
  </si>
  <si>
    <t>MFG Calcs Sourcing Total Cost of Ownership calculator: the TCO adder over piece price from hidden costs and fixed supplier management cost.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</si>
  <si>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</si>
  <si>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</si>
  <si>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</si>
  <si>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</si>
  <si>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</si>
  <si>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</si>
  <si>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</si>
  <si>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</si>
  <si>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</si>
  <si>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</si>
  <si>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</si>
  <si>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Check</t>
  </si>
  <si>
    <t>Expected (reference)</t>
  </si>
  <si>
    <t>Workbook result</t>
  </si>
  <si>
    <t>Difference</t>
  </si>
  <si>
    <t>Tolerance</t>
  </si>
  <si>
    <t>Result</t>
  </si>
  <si>
    <t>Offshore: landed cost</t>
  </si>
  <si>
    <t>Offshore: total cost of ownership</t>
  </si>
  <si>
    <t>Nearshore: landed cost</t>
  </si>
  <si>
    <t>Nearshore: total cost of ownership</t>
  </si>
  <si>
    <t>Reshore: landed cost</t>
  </si>
  <si>
    <t>Reshore: total cost of ownership</t>
  </si>
  <si>
    <t>Dearer, no saving: landed cost</t>
  </si>
  <si>
    <t>Dearer, no saving: total cost of ownership</t>
  </si>
  <si>
    <t>Offshore: duty on CIF value (11.00 x 5%)</t>
  </si>
  <si>
    <t>Offshore: inventory carrying</t>
  </si>
  <si>
    <t>Offshore: quality cost</t>
  </si>
  <si>
    <t>Nearshore: annual TCO minus option 1</t>
  </si>
  <si>
    <t>Nearshore: payback (months)</t>
  </si>
  <si>
    <t>Nearshore: break-even extra tariff on option 1</t>
  </si>
  <si>
    <t>Reshore: break-even extra tariff on option 1</t>
  </si>
  <si>
    <t>Dearer option: payback says No payback</t>
  </si>
  <si>
    <t>No payback</t>
  </si>
  <si>
    <t>exact</t>
  </si>
  <si>
    <t>Lowest TCO is Nearshore</t>
  </si>
  <si>
    <t>Lowest</t>
  </si>
  <si>
    <t>Check: option 1 at the nearshore break-even tariff costs the same as nearshore</t>
  </si>
  <si>
    <t>Fixed test inputs</t>
  </si>
  <si>
    <t>White cells are fixed test inputs; blue cells are the workbook's formulas evaluated on them.</t>
  </si>
  <si>
    <t>Parameters</t>
  </si>
  <si>
    <t>Horizon for one-time costs (years)</t>
  </si>
  <si>
    <t>Duty base</t>
  </si>
  <si>
    <t>CIF value</t>
  </si>
  <si>
    <t>Test part (50,000 a year, 25 per defect)</t>
  </si>
  <si>
    <t>Test part</t>
  </si>
  <si>
    <t>Test options (same formulas as TCO Model; CIF duty base)</t>
  </si>
  <si>
    <t>Offshore</t>
  </si>
  <si>
    <t>Nearshore</t>
  </si>
  <si>
    <t>Reshore</t>
  </si>
  <si>
    <t>Dearer, no saving</t>
  </si>
</sst>
</file>

<file path=xl/styles.xml><?xml version="1.0" encoding="utf-8"?>
<styleSheet xmlns="http://schemas.openxmlformats.org/spreadsheetml/2006/main">
  <numFmts count="8">
    <numFmt numFmtId="164" formatCode="0.0%"/>
    <numFmt numFmtId="165" formatCode="#,##0.0"/>
    <numFmt numFmtId="166" formatCode="#,##0"/>
    <numFmt numFmtId="167" formatCode="#,##0.00"/>
    <numFmt numFmtId="168" formatCode="+#,##0;-#,##0;0"/>
    <numFmt numFmtId="169" formatCode="+0.0%;-0.0%;0.0%"/>
    <numFmt numFmtId="170" formatCode="0%"/>
    <numFmt numFmtId="171"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6">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8"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horizontal="center" vertical="center"/>
      <protection locked="0"/>
    </xf>
    <xf numFmtId="167" fontId="10" fillId="4" borderId="3" xfId="0" applyNumberFormat="1" applyFont="1" applyFill="1" applyBorder="1" applyAlignment="1">
      <alignment vertical="center"/>
    </xf>
    <xf numFmtId="167" fontId="9" fillId="4" borderId="3" xfId="0" applyNumberFormat="1" applyFont="1" applyFill="1" applyBorder="1" applyAlignment="1">
      <alignment vertical="center"/>
    </xf>
    <xf numFmtId="167" fontId="15" fillId="4" borderId="3" xfId="0" applyNumberFormat="1" applyFont="1" applyFill="1" applyBorder="1" applyAlignment="1">
      <alignment horizontal="center" vertical="center"/>
    </xf>
    <xf numFmtId="166" fontId="9"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19" fillId="0" borderId="0" xfId="0" applyFont="1" applyAlignment="1">
      <alignment vertical="center"/>
    </xf>
    <xf numFmtId="0" fontId="20" fillId="9" borderId="6" xfId="0" applyFont="1" applyFill="1" applyBorder="1" applyAlignment="1">
      <alignment vertical="center" wrapText="1"/>
    </xf>
    <xf numFmtId="0" fontId="21" fillId="9" borderId="7" xfId="0" applyFont="1" applyFill="1" applyBorder="1" applyAlignment="1">
      <alignment horizontal="left" vertical="center"/>
    </xf>
    <xf numFmtId="167"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0" fontId="20" fillId="9" borderId="8" xfId="0" applyFont="1" applyFill="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9" fillId="0" borderId="9" xfId="0" applyFont="1" applyBorder="1" applyAlignment="1">
      <alignment vertical="center"/>
    </xf>
    <xf numFmtId="166" fontId="10" fillId="4" borderId="3" xfId="0" applyNumberFormat="1" applyFont="1" applyFill="1" applyBorder="1" applyAlignment="1">
      <alignment vertical="center"/>
    </xf>
    <xf numFmtId="170" fontId="9"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9" xfId="0" applyNumberFormat="1" applyFont="1" applyBorder="1" applyAlignment="1">
      <alignment vertical="center"/>
    </xf>
    <xf numFmtId="168" fontId="10" fillId="0" borderId="9" xfId="0" applyNumberFormat="1" applyFont="1" applyBorder="1" applyAlignment="1">
      <alignment vertical="center"/>
    </xf>
    <xf numFmtId="165" fontId="10" fillId="0" borderId="9" xfId="0" applyNumberFormat="1" applyFont="1" applyBorder="1" applyAlignment="1">
      <alignment vertical="center"/>
    </xf>
    <xf numFmtId="164" fontId="10" fillId="0" borderId="9" xfId="0" applyNumberFormat="1" applyFont="1" applyBorder="1" applyAlignment="1">
      <alignment vertical="center"/>
    </xf>
    <xf numFmtId="0" fontId="10" fillId="4" borderId="3" xfId="0"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3">
    <dxf>
      <font>
        <color rgb="FF007840"/>
      </font>
      <fill>
        <patternFill>
          <bgColor rgb="FFE2F3E9"/>
        </patternFill>
      </fill>
    </dxf>
    <dxf>
      <font>
        <color rgb="FF8A4A06"/>
      </font>
      <fill>
        <patternFill>
          <bgColor rgb="FFFDF0CF"/>
        </patternFill>
      </fill>
    </dxf>
    <dxf>
      <font>
        <color rgb="FFB3000C"/>
      </font>
      <fill>
        <patternFill>
          <bgColor rgb="FFFBE4E4"/>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What each option's TCO is made of (per unit)</a:t>
            </a:r>
          </a:p>
        </c:rich>
      </c:tx>
      <c:layout/>
    </c:title>
    <c:plotArea>
      <c:layout/>
      <c:barChart>
        <c:barDir val="col"/>
        <c:grouping val="stacked"/>
        <c:ser>
          <c:idx val="0"/>
          <c:order val="0"/>
          <c:tx>
            <c:v>Piece price</c:v>
          </c:tx>
          <c:spPr>
            <a:solidFill>
              <a:srgbClr val="3B64D8"/>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Dashboard!$C$33:$C$36</c:f>
              <c:numCache>
                <c:formatCode>General</c:formatCode>
                <c:ptCount val="4"/>
                <c:pt idx="0">
                  <c:v>6.1</c:v>
                </c:pt>
                <c:pt idx="1">
                  <c:v>7.2</c:v>
                </c:pt>
                <c:pt idx="2">
                  <c:v>8.3</c:v>
                </c:pt>
                <c:pt idx="3">
                  <c:v>8.75</c:v>
                </c:pt>
              </c:numCache>
            </c:numRef>
          </c:val>
        </c:ser>
        <c:ser>
          <c:idx val="1"/>
          <c:order val="1"/>
          <c:tx>
            <c:v>Freight, handling, packaging</c:v>
          </c:tx>
          <c:spPr>
            <a:solidFill>
              <a:srgbClr val="E8702A"/>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Dashboard!$D$33:$D$36</c:f>
              <c:numCache>
                <c:formatCode>General</c:formatCode>
                <c:ptCount val="4"/>
                <c:pt idx="0">
                  <c:v>0.85</c:v>
                </c:pt>
                <c:pt idx="1">
                  <c:v>0.5</c:v>
                </c:pt>
                <c:pt idx="2">
                  <c:v>0.11</c:v>
                </c:pt>
                <c:pt idx="3">
                  <c:v>0.25</c:v>
                </c:pt>
              </c:numCache>
            </c:numRef>
          </c:val>
        </c:ser>
        <c:ser>
          <c:idx val="2"/>
          <c:order val="2"/>
          <c:tx>
            <c:v>Duty and tariffs</c:v>
          </c:tx>
          <c:spPr>
            <a:solidFill>
              <a:srgbClr val="1BA37A"/>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Dashboard!$E$33:$E$36</c:f>
              <c:numCache>
                <c:formatCode>General</c:formatCode>
                <c:ptCount val="4"/>
                <c:pt idx="0">
                  <c:v>1.7629</c:v>
                </c:pt>
                <c:pt idx="1">
                  <c:v>0</c:v>
                </c:pt>
                <c:pt idx="2">
                  <c:v>0</c:v>
                </c:pt>
                <c:pt idx="3">
                  <c:v>0</c:v>
                </c:pt>
              </c:numCache>
            </c:numRef>
          </c:val>
        </c:ser>
        <c:ser>
          <c:idx val="3"/>
          <c:order val="3"/>
          <c:tx>
            <c:v>Inventory carrying</c:v>
          </c:tx>
          <c:spPr>
            <a:solidFill>
              <a:srgbClr val="E0A100"/>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Dashboard!$F$33:$F$36</c:f>
              <c:numCache>
                <c:formatCode>General</c:formatCode>
                <c:ptCount val="4"/>
                <c:pt idx="0">
                  <c:v>0.368622692307692</c:v>
                </c:pt>
                <c:pt idx="1">
                  <c:v>0.114019230769231</c:v>
                </c:pt>
                <c:pt idx="2">
                  <c:v>0.0355807692307692</c:v>
                </c:pt>
                <c:pt idx="3">
                  <c:v>0.0951923076923077</c:v>
                </c:pt>
              </c:numCache>
            </c:numRef>
          </c:val>
        </c:ser>
        <c:ser>
          <c:idx val="4"/>
          <c:order val="4"/>
          <c:tx>
            <c:v>Quality and overheads</c:v>
          </c:tx>
          <c:spPr>
            <a:solidFill>
              <a:srgbClr val="D0558A"/>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Dashboard!$G$33:$G$36</c:f>
              <c:numCache>
                <c:formatCode>General</c:formatCode>
                <c:ptCount val="4"/>
                <c:pt idx="0">
                  <c:v>1.1</c:v>
                </c:pt>
                <c:pt idx="1">
                  <c:v>0.435</c:v>
                </c:pt>
                <c:pt idx="2">
                  <c:v>0.082</c:v>
                </c:pt>
                <c:pt idx="3">
                  <c:v>0.265</c:v>
                </c:pt>
              </c:numCache>
            </c:numRef>
          </c:val>
        </c:ser>
        <c:ser>
          <c:idx val="5"/>
          <c:order val="5"/>
          <c:tx>
            <c:v>Transition, spread</c:v>
          </c:tx>
          <c:spPr>
            <a:solidFill>
              <a:srgbClr val="6250D6"/>
            </a:solidFill>
            <a:ln w="9525">
              <a:solidFill>
                <a:srgbClr val="FFFFFF"/>
              </a:solidFill>
            </a:ln>
          </c:spPr>
          <c:cat>
            <c:strRef>
              <c:f>Dashboard!$B$33:$B$36</c:f>
              <c:strCache>
                <c:ptCount val="4"/>
                <c:pt idx="0">
                  <c:v>Current: China supplier</c:v>
                </c:pt>
                <c:pt idx="1">
                  <c:v>Mexico supplier</c:v>
                </c:pt>
                <c:pt idx="2">
                  <c:v>Own plant (reshore)</c:v>
                </c:pt>
                <c:pt idx="3">
                  <c:v>Domestic supplier</c:v>
                </c:pt>
              </c:strCache>
            </c:strRef>
          </c:cat>
          <c:val>
            <c:numRef>
              <c:f>Dashboard!$H$33:$H$36</c:f>
              <c:numCache>
                <c:formatCode>General</c:formatCode>
                <c:ptCount val="4"/>
                <c:pt idx="0">
                  <c:v>0</c:v>
                </c:pt>
                <c:pt idx="1">
                  <c:v>0.425</c:v>
                </c:pt>
                <c:pt idx="2">
                  <c:v>1.3</c:v>
                </c:pt>
                <c:pt idx="3">
                  <c:v>0.3</c:v>
                </c:pt>
              </c:numCache>
            </c:numRef>
          </c:val>
        </c:ser>
        <c:gapWidth val="60"/>
        <c:overlap val="100"/>
        <c:axId val="50010001"/>
        <c:axId val="50010002"/>
      </c:bar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TCO per unit as the extra tariff on option 1 changes</a:t>
            </a:r>
          </a:p>
        </c:rich>
      </c:tx>
      <c:layout/>
    </c:title>
    <c:plotArea>
      <c:layout/>
      <c:lineChart>
        <c:grouping val="standard"/>
        <c:ser>
          <c:idx val="0"/>
          <c:order val="0"/>
          <c:tx>
            <c:strRef>
              <c:f>'TCO Model'!$D$14</c:f>
              <c:strCache>
                <c:ptCount val="1"/>
                <c:pt idx="0">
                  <c:v>Current: China supplier</c:v>
                </c:pt>
              </c:strCache>
            </c:strRef>
          </c:tx>
          <c:spPr>
            <a:ln w="28575">
              <a:solidFill>
                <a:srgbClr val="3B64D8"/>
              </a:solidFill>
            </a:ln>
          </c:spPr>
          <c:marker>
            <c:symbol val="circle"/>
            <c:size val="5"/>
            <c:spPr>
              <a:solidFill>
                <a:srgbClr val="3B64D8"/>
              </a:solidFill>
              <a:ln>
                <a:solidFill>
                  <a:srgbClr val="3B64D8"/>
                </a:solidFill>
              </a:ln>
            </c:spPr>
          </c:marker>
          <c:cat>
            <c:numRef>
              <c:f>Dashboard!$B$41:$B$53</c:f>
              <c:numCache>
                <c:formatCode>General</c:formatCode>
                <c:ptCount val="13"/>
                <c:pt idx="0">
                  <c:v>0</c:v>
                </c:pt>
                <c:pt idx="1">
                  <c:v>0.05</c:v>
                </c:pt>
                <c:pt idx="2">
                  <c:v>0.1</c:v>
                </c:pt>
                <c:pt idx="3">
                  <c:v>0.15</c:v>
                </c:pt>
                <c:pt idx="4">
                  <c:v>0.2</c:v>
                </c:pt>
                <c:pt idx="5">
                  <c:v>0.25</c:v>
                </c:pt>
                <c:pt idx="6">
                  <c:v>0.3</c:v>
                </c:pt>
                <c:pt idx="7">
                  <c:v>0.35</c:v>
                </c:pt>
                <c:pt idx="8">
                  <c:v>0.4</c:v>
                </c:pt>
                <c:pt idx="9">
                  <c:v>0.45</c:v>
                </c:pt>
                <c:pt idx="10">
                  <c:v>0.5</c:v>
                </c:pt>
                <c:pt idx="11">
                  <c:v>0.55</c:v>
                </c:pt>
                <c:pt idx="12">
                  <c:v>0.6</c:v>
                </c:pt>
              </c:numCache>
            </c:numRef>
          </c:cat>
          <c:val>
            <c:numRef>
              <c:f>Dashboard!$C$41:$C$53</c:f>
              <c:numCache>
                <c:formatCode>General</c:formatCode>
                <c:ptCount val="13"/>
                <c:pt idx="0">
                  <c:v>8.59200346153846</c:v>
                </c:pt>
                <c:pt idx="1">
                  <c:v>8.90990730769231</c:v>
                </c:pt>
                <c:pt idx="2">
                  <c:v>9.22781115384615</c:v>
                </c:pt>
                <c:pt idx="3">
                  <c:v>9.545715</c:v>
                </c:pt>
                <c:pt idx="4">
                  <c:v>9.86361884615385</c:v>
                </c:pt>
                <c:pt idx="5">
                  <c:v>10.1815226923077</c:v>
                </c:pt>
                <c:pt idx="6">
                  <c:v>10.4994265384615</c:v>
                </c:pt>
                <c:pt idx="7">
                  <c:v>10.8173303846154</c:v>
                </c:pt>
                <c:pt idx="8">
                  <c:v>11.1352342307692</c:v>
                </c:pt>
                <c:pt idx="9">
                  <c:v>11.4531380769231</c:v>
                </c:pt>
                <c:pt idx="10">
                  <c:v>11.7710419230769</c:v>
                </c:pt>
                <c:pt idx="11">
                  <c:v>12.0889457692308</c:v>
                </c:pt>
                <c:pt idx="12">
                  <c:v>12.4068496153846</c:v>
                </c:pt>
              </c:numCache>
            </c:numRef>
          </c:val>
        </c:ser>
        <c:ser>
          <c:idx val="1"/>
          <c:order val="1"/>
          <c:tx>
            <c:strRef>
              <c:f>'TCO Model'!$E$14</c:f>
              <c:strCache>
                <c:ptCount val="1"/>
                <c:pt idx="0">
                  <c:v>Mexico supplier</c:v>
                </c:pt>
              </c:strCache>
            </c:strRef>
          </c:tx>
          <c:spPr>
            <a:ln w="28575">
              <a:solidFill>
                <a:srgbClr val="E8702A"/>
              </a:solidFill>
            </a:ln>
          </c:spPr>
          <c:marker>
            <c:symbol val="circle"/>
            <c:size val="5"/>
            <c:spPr>
              <a:solidFill>
                <a:srgbClr val="E8702A"/>
              </a:solidFill>
              <a:ln>
                <a:solidFill>
                  <a:srgbClr val="E8702A"/>
                </a:solidFill>
              </a:ln>
            </c:spPr>
          </c:marker>
          <c:cat>
            <c:numRef>
              <c:f>Dashboard!$B$41:$B$53</c:f>
              <c:numCache>
                <c:formatCode>General</c:formatCode>
                <c:ptCount val="13"/>
                <c:pt idx="0">
                  <c:v>0</c:v>
                </c:pt>
                <c:pt idx="1">
                  <c:v>0.05</c:v>
                </c:pt>
                <c:pt idx="2">
                  <c:v>0.1</c:v>
                </c:pt>
                <c:pt idx="3">
                  <c:v>0.15</c:v>
                </c:pt>
                <c:pt idx="4">
                  <c:v>0.2</c:v>
                </c:pt>
                <c:pt idx="5">
                  <c:v>0.25</c:v>
                </c:pt>
                <c:pt idx="6">
                  <c:v>0.3</c:v>
                </c:pt>
                <c:pt idx="7">
                  <c:v>0.35</c:v>
                </c:pt>
                <c:pt idx="8">
                  <c:v>0.4</c:v>
                </c:pt>
                <c:pt idx="9">
                  <c:v>0.45</c:v>
                </c:pt>
                <c:pt idx="10">
                  <c:v>0.5</c:v>
                </c:pt>
                <c:pt idx="11">
                  <c:v>0.55</c:v>
                </c:pt>
                <c:pt idx="12">
                  <c:v>0.6</c:v>
                </c:pt>
              </c:numCache>
            </c:numRef>
          </c:cat>
          <c:val>
            <c:numRef>
              <c:f>Dashboard!$D$41:$D$53</c:f>
              <c:numCache>
                <c:formatCode>General</c:formatCode>
                <c:ptCount val="13"/>
                <c:pt idx="0">
                  <c:v>8.67401923076923</c:v>
                </c:pt>
                <c:pt idx="1">
                  <c:v>8.67401923076923</c:v>
                </c:pt>
                <c:pt idx="2">
                  <c:v>8.67401923076923</c:v>
                </c:pt>
                <c:pt idx="3">
                  <c:v>8.67401923076923</c:v>
                </c:pt>
                <c:pt idx="4">
                  <c:v>8.67401923076923</c:v>
                </c:pt>
                <c:pt idx="5">
                  <c:v>8.67401923076923</c:v>
                </c:pt>
                <c:pt idx="6">
                  <c:v>8.67401923076923</c:v>
                </c:pt>
                <c:pt idx="7">
                  <c:v>8.67401923076923</c:v>
                </c:pt>
                <c:pt idx="8">
                  <c:v>8.67401923076923</c:v>
                </c:pt>
                <c:pt idx="9">
                  <c:v>8.67401923076923</c:v>
                </c:pt>
                <c:pt idx="10">
                  <c:v>8.67401923076923</c:v>
                </c:pt>
                <c:pt idx="11">
                  <c:v>8.67401923076923</c:v>
                </c:pt>
                <c:pt idx="12">
                  <c:v>8.67401923076923</c:v>
                </c:pt>
              </c:numCache>
            </c:numRef>
          </c:val>
        </c:ser>
        <c:ser>
          <c:idx val="2"/>
          <c:order val="2"/>
          <c:tx>
            <c:strRef>
              <c:f>'TCO Model'!$F$14</c:f>
              <c:strCache>
                <c:ptCount val="1"/>
                <c:pt idx="0">
                  <c:v>Own plant (reshore)</c:v>
                </c:pt>
              </c:strCache>
            </c:strRef>
          </c:tx>
          <c:spPr>
            <a:ln w="28575">
              <a:solidFill>
                <a:srgbClr val="1BA37A"/>
              </a:solidFill>
            </a:ln>
          </c:spPr>
          <c:marker>
            <c:symbol val="circle"/>
            <c:size val="5"/>
            <c:spPr>
              <a:solidFill>
                <a:srgbClr val="1BA37A"/>
              </a:solidFill>
              <a:ln>
                <a:solidFill>
                  <a:srgbClr val="1BA37A"/>
                </a:solidFill>
              </a:ln>
            </c:spPr>
          </c:marker>
          <c:cat>
            <c:numRef>
              <c:f>Dashboard!$B$41:$B$53</c:f>
              <c:numCache>
                <c:formatCode>General</c:formatCode>
                <c:ptCount val="13"/>
                <c:pt idx="0">
                  <c:v>0</c:v>
                </c:pt>
                <c:pt idx="1">
                  <c:v>0.05</c:v>
                </c:pt>
                <c:pt idx="2">
                  <c:v>0.1</c:v>
                </c:pt>
                <c:pt idx="3">
                  <c:v>0.15</c:v>
                </c:pt>
                <c:pt idx="4">
                  <c:v>0.2</c:v>
                </c:pt>
                <c:pt idx="5">
                  <c:v>0.25</c:v>
                </c:pt>
                <c:pt idx="6">
                  <c:v>0.3</c:v>
                </c:pt>
                <c:pt idx="7">
                  <c:v>0.35</c:v>
                </c:pt>
                <c:pt idx="8">
                  <c:v>0.4</c:v>
                </c:pt>
                <c:pt idx="9">
                  <c:v>0.45</c:v>
                </c:pt>
                <c:pt idx="10">
                  <c:v>0.5</c:v>
                </c:pt>
                <c:pt idx="11">
                  <c:v>0.55</c:v>
                </c:pt>
                <c:pt idx="12">
                  <c:v>0.6</c:v>
                </c:pt>
              </c:numCache>
            </c:numRef>
          </c:cat>
          <c:val>
            <c:numRef>
              <c:f>Dashboard!$E$41:$E$53</c:f>
              <c:numCache>
                <c:formatCode>General</c:formatCode>
                <c:ptCount val="13"/>
                <c:pt idx="0">
                  <c:v>9.82758076923077</c:v>
                </c:pt>
                <c:pt idx="1">
                  <c:v>9.82758076923077</c:v>
                </c:pt>
                <c:pt idx="2">
                  <c:v>9.82758076923077</c:v>
                </c:pt>
                <c:pt idx="3">
                  <c:v>9.82758076923077</c:v>
                </c:pt>
                <c:pt idx="4">
                  <c:v>9.82758076923077</c:v>
                </c:pt>
                <c:pt idx="5">
                  <c:v>9.82758076923077</c:v>
                </c:pt>
                <c:pt idx="6">
                  <c:v>9.82758076923077</c:v>
                </c:pt>
                <c:pt idx="7">
                  <c:v>9.82758076923077</c:v>
                </c:pt>
                <c:pt idx="8">
                  <c:v>9.82758076923077</c:v>
                </c:pt>
                <c:pt idx="9">
                  <c:v>9.82758076923077</c:v>
                </c:pt>
                <c:pt idx="10">
                  <c:v>9.82758076923077</c:v>
                </c:pt>
                <c:pt idx="11">
                  <c:v>9.82758076923077</c:v>
                </c:pt>
                <c:pt idx="12">
                  <c:v>9.82758076923077</c:v>
                </c:pt>
              </c:numCache>
            </c:numRef>
          </c:val>
        </c:ser>
        <c:ser>
          <c:idx val="3"/>
          <c:order val="3"/>
          <c:tx>
            <c:strRef>
              <c:f>'TCO Model'!$G$14</c:f>
              <c:strCache>
                <c:ptCount val="1"/>
                <c:pt idx="0">
                  <c:v>Domestic supplier</c:v>
                </c:pt>
              </c:strCache>
            </c:strRef>
          </c:tx>
          <c:spPr>
            <a:ln w="28575">
              <a:solidFill>
                <a:srgbClr val="E0A100"/>
              </a:solidFill>
            </a:ln>
          </c:spPr>
          <c:marker>
            <c:symbol val="circle"/>
            <c:size val="5"/>
            <c:spPr>
              <a:solidFill>
                <a:srgbClr val="E0A100"/>
              </a:solidFill>
              <a:ln>
                <a:solidFill>
                  <a:srgbClr val="E0A100"/>
                </a:solidFill>
              </a:ln>
            </c:spPr>
          </c:marker>
          <c:cat>
            <c:numRef>
              <c:f>Dashboard!$B$41:$B$53</c:f>
              <c:numCache>
                <c:formatCode>General</c:formatCode>
                <c:ptCount val="13"/>
                <c:pt idx="0">
                  <c:v>0</c:v>
                </c:pt>
                <c:pt idx="1">
                  <c:v>0.05</c:v>
                </c:pt>
                <c:pt idx="2">
                  <c:v>0.1</c:v>
                </c:pt>
                <c:pt idx="3">
                  <c:v>0.15</c:v>
                </c:pt>
                <c:pt idx="4">
                  <c:v>0.2</c:v>
                </c:pt>
                <c:pt idx="5">
                  <c:v>0.25</c:v>
                </c:pt>
                <c:pt idx="6">
                  <c:v>0.3</c:v>
                </c:pt>
                <c:pt idx="7">
                  <c:v>0.35</c:v>
                </c:pt>
                <c:pt idx="8">
                  <c:v>0.4</c:v>
                </c:pt>
                <c:pt idx="9">
                  <c:v>0.45</c:v>
                </c:pt>
                <c:pt idx="10">
                  <c:v>0.5</c:v>
                </c:pt>
                <c:pt idx="11">
                  <c:v>0.55</c:v>
                </c:pt>
                <c:pt idx="12">
                  <c:v>0.6</c:v>
                </c:pt>
              </c:numCache>
            </c:numRef>
          </c:cat>
          <c:val>
            <c:numRef>
              <c:f>Dashboard!$F$41:$F$53</c:f>
              <c:numCache>
                <c:formatCode>General</c:formatCode>
                <c:ptCount val="13"/>
                <c:pt idx="0">
                  <c:v>9.66019230769231</c:v>
                </c:pt>
                <c:pt idx="1">
                  <c:v>9.66019230769231</c:v>
                </c:pt>
                <c:pt idx="2">
                  <c:v>9.66019230769231</c:v>
                </c:pt>
                <c:pt idx="3">
                  <c:v>9.66019230769231</c:v>
                </c:pt>
                <c:pt idx="4">
                  <c:v>9.66019230769231</c:v>
                </c:pt>
                <c:pt idx="5">
                  <c:v>9.66019230769231</c:v>
                </c:pt>
                <c:pt idx="6">
                  <c:v>9.66019230769231</c:v>
                </c:pt>
                <c:pt idx="7">
                  <c:v>9.66019230769231</c:v>
                </c:pt>
                <c:pt idx="8">
                  <c:v>9.66019230769231</c:v>
                </c:pt>
                <c:pt idx="9">
                  <c:v>9.66019230769231</c:v>
                </c:pt>
                <c:pt idx="10">
                  <c:v>9.66019230769231</c:v>
                </c:pt>
                <c:pt idx="11">
                  <c:v>9.66019230769231</c:v>
                </c:pt>
                <c:pt idx="12">
                  <c:v>9.66019230769231</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Extra tariff on option 1</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27</xdr:row>
      <xdr:rowOff>152400</xdr:rowOff>
    </xdr:to>
    <xdr:graphicFrame macro="">
      <xdr:nvGraphicFramePr>
        <xdr:cNvPr id="2" name="Chart 1" descr="Stacked column chart of total cost of ownership per unit for each sourcing option, split into piece price, logistics, duty and tariffs, inventory carrying, quality and overheads, and the spread transition co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27</xdr:row>
      <xdr:rowOff>152400</xdr:rowOff>
    </xdr:to>
    <xdr:graphicFrame macro="">
      <xdr:nvGraphicFramePr>
        <xdr:cNvPr id="3" name="Chart 2" descr="Line chart of total cost of ownership per unit against the extra tariff on the current source: option 1 rises with the tariff, the other options stay flat, and where option 1 crosses another option is that option's break-even tariff."/>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 Id="rId2" Type="http://schemas.openxmlformats.org/officeDocument/2006/relationships/hyperlink" Target="https://www.mfgcalcs.com/calculators/reshoring-nearshoring-tariff-strategy/sourcing-total-cost-of-ownership?utm_source=mfgcalcs-template&amp;utm_medium=xlsx&amp;utm_campaign=reshoring-tco" TargetMode="External"/><Relationship Id="rId3" Type="http://schemas.openxmlformats.org/officeDocument/2006/relationships/hyperlink" Target="https://www.mfgcalcs.com/templates/reshoring-tco?utm_source=mfgcalcs-template&amp;utm_medium=xlsx&amp;utm_campaign=reshoring-tco" TargetMode="External"/><Relationship Id="rId4" Type="http://schemas.openxmlformats.org/officeDocument/2006/relationships/hyperlink" Target="https://www.mfgcalcs.com/templates?utm_source=mfgcalcs-template&amp;utm_medium=xlsx&amp;utm_campaign=reshoring-tco"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 Id="rId2" Type="http://schemas.openxmlformats.org/officeDocument/2006/relationships/hyperlink" Target="https://www.mfgcalcs.com/calculators/reshoring-nearshoring-tariff-strategy/sourcing-total-cost-of-ownership?utm_source=mfgcalcs-template&amp;utm_medium=xlsx&amp;utm_campaign=reshoring-tco"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reshoring-tco" TargetMode="Externa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18 of 18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TCO Model'!A1" tooltip="Go to TCO Model" display="TCO Model"/>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Reshoring Total Cost of Ownership&amp;R&amp;8&amp;A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2"/>
  <sheetViews>
    <sheetView showGridLines="0" workbookViewId="0"/>
  </sheetViews>
  <sheetFormatPr defaultRowHeight="15"/>
  <cols>
    <col min="1" max="1" width="2.7109375" customWidth="1"/>
    <col min="2" max="2" width="36.7109375" customWidth="1"/>
    <col min="3" max="3" width="16.7109375" customWidth="1"/>
    <col min="4" max="4" width="14.7109375" customWidth="1"/>
    <col min="5" max="5" width="40.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60</v>
      </c>
      <c r="C4" s="8"/>
      <c r="D4" s="8"/>
      <c r="E4" s="8"/>
    </row>
    <row r="5" spans="1:5" ht="5" customHeight="1"/>
    <row r="6" spans="1:5">
      <c r="B6" s="27" t="s">
        <v>61</v>
      </c>
      <c r="C6" s="28" t="s">
        <v>62</v>
      </c>
      <c r="D6" s="28"/>
    </row>
    <row r="7" spans="1:5">
      <c r="B7" s="27" t="s">
        <v>63</v>
      </c>
      <c r="C7" s="28" t="s">
        <v>64</v>
      </c>
      <c r="D7" s="28"/>
    </row>
    <row r="8" spans="1:5">
      <c r="B8" s="27" t="s">
        <v>65</v>
      </c>
      <c r="C8" s="29">
        <v>0.22</v>
      </c>
      <c r="D8" s="7" t="s">
        <v>66</v>
      </c>
    </row>
    <row r="9" spans="1:5">
      <c r="B9" s="27" t="s">
        <v>67</v>
      </c>
      <c r="C9" s="30">
        <v>5</v>
      </c>
      <c r="D9" s="7" t="s">
        <v>68</v>
      </c>
    </row>
    <row r="10" spans="1:5">
      <c r="B10" s="27" t="s">
        <v>69</v>
      </c>
      <c r="C10" s="28" t="s">
        <v>70</v>
      </c>
      <c r="D10" s="28"/>
    </row>
    <row r="12" spans="1:5" ht="48.6" customHeight="1">
      <c r="B12" s="25" t="s">
        <v>71</v>
      </c>
      <c r="C12" s="25"/>
      <c r="D12" s="25"/>
      <c r="E12" s="25"/>
    </row>
  </sheetData>
  <mergeCells count="7">
    <mergeCell ref="A1:E1"/>
    <mergeCell ref="B2:D2"/>
    <mergeCell ref="B4:E4"/>
    <mergeCell ref="C6:D6"/>
    <mergeCell ref="C7:D7"/>
    <mergeCell ref="C10:D10"/>
    <mergeCell ref="B12:E12"/>
  </mergeCells>
  <dataValidations count="5">
    <dataValidation type="textLength" allowBlank="1" showInputMessage="1" showErrorMessage="1" errorTitle="Check this entry" error="Text up to 80 characters." promptTitle="Company"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convert every option's prices to this currency first. Text up to 12 characters." sqref="C7">
      <formula1>0</formula1>
      <formula2>12</formula2>
    </dataValidation>
    <dataValidation type="decimal" allowBlank="1" showInputMessage="1" showErrorMessage="1" errorTitle="Check this entry" error="Enter a percentage from 0% to 200% (type 85% or 0.85)." promptTitle="Inventory carrying rate" prompt="Your yearly cost of holding inventory as a % of its value: cost of capital, storage, insurance, obsolescence. Your finance team's figure, not a benchmark. Enter a percentage from 0% to 200% (type 85% or 0.85)." sqref="C8">
      <formula1>0</formula1>
      <formula2>2</formula2>
    </dataValidation>
    <dataValidation type="decimal" allowBlank="1" showInputMessage="1" showErrorMessage="1" errorTitle="Check this entry" error="Enter a number from 0.1 to 50." promptTitle="Horizon for one-time costs" prompt="One-time transition costs (tooling, qualification, moving a line) are spread over this many years. Enter a number from 0.1 to 50." sqref="C9">
      <formula1>0.1</formula1>
      <formula2>50</formula2>
    </dataValidation>
    <dataValidation type="list" allowBlank="1" showInputMessage="1" showErrorMessage="1" errorTitle="Check this entry" error="Pick one of: FOB value, CIF value." promptTitle="Duty is charged on" prompt="FOB value = piece price. CIF value = piece price + freight. Use the basis of the importing country's customs. Pick one of: FOB value, CIF value." sqref="C10">
      <formula1>"FOB value,CIF value"</formula1>
    </dataValidation>
  </dataValidations>
  <hyperlinks>
    <hyperlink ref="E2" r:id="rId1" tooltip="Free manufacturing calculators and templates"/>
  </hyperlinks>
  <pageMargins left="0.4" right="0.4" top="0.7" bottom="0.65" header="0.3" footer="0.3"/>
  <pageSetup fitToHeight="0" orientation="portrait"/>
  <headerFooter>
    <oddHeader>&amp;L&amp;8MFG Calcs - Reshoring Total Cost of Ownership&amp;R&amp;8&amp;A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G44"/>
  <sheetViews>
    <sheetView showGridLines="0" workbookViewId="0"/>
  </sheetViews>
  <sheetFormatPr defaultRowHeight="15"/>
  <cols>
    <col min="1" max="1" width="2.7109375" customWidth="1"/>
    <col min="2" max="2" width="38.7109375" customWidth="1"/>
    <col min="3" max="3" width="15.7109375" customWidth="1"/>
    <col min="4" max="7" width="19.7109375" customWidth="1"/>
  </cols>
  <sheetData>
    <row r="1" spans="1:7" ht="30" customHeight="1">
      <c r="A1" s="1" t="s">
        <v>0</v>
      </c>
      <c r="B1" s="1"/>
      <c r="C1" s="1"/>
      <c r="D1" s="1"/>
      <c r="E1" s="1"/>
      <c r="F1" s="1"/>
      <c r="G1" s="1"/>
    </row>
    <row r="2" spans="1:7" ht="21" customHeight="1">
      <c r="B2" s="2" t="s">
        <v>20</v>
      </c>
      <c r="C2" s="2"/>
      <c r="D2" s="2"/>
      <c r="E2" s="2"/>
      <c r="F2" s="2"/>
      <c r="G2" s="3" t="s">
        <v>2</v>
      </c>
    </row>
    <row r="3" spans="1:7" ht="6" customHeight="1"/>
    <row r="4" spans="1:7" ht="32.76" customHeight="1">
      <c r="B4" s="31" t="s">
        <v>72</v>
      </c>
      <c r="C4" s="31"/>
      <c r="D4" s="31"/>
      <c r="E4" s="31"/>
      <c r="F4" s="31"/>
      <c r="G4" s="31"/>
    </row>
    <row r="6" spans="1:7" ht="21" customHeight="1">
      <c r="B6" s="8" t="s">
        <v>73</v>
      </c>
      <c r="C6" s="8"/>
      <c r="D6" s="8"/>
      <c r="E6" s="8"/>
      <c r="F6" s="8"/>
      <c r="G6" s="8"/>
    </row>
    <row r="7" spans="1:7" ht="5" customHeight="1"/>
    <row r="8" spans="1:7">
      <c r="B8" s="27" t="s">
        <v>74</v>
      </c>
      <c r="C8" s="32" t="s">
        <v>75</v>
      </c>
      <c r="D8" s="32"/>
      <c r="E8" s="32"/>
      <c r="F8" s="32"/>
    </row>
    <row r="9" spans="1:7">
      <c r="B9" s="27" t="s">
        <v>76</v>
      </c>
      <c r="C9" s="33">
        <v>40000</v>
      </c>
      <c r="D9" s="33"/>
      <c r="E9" s="33"/>
      <c r="F9" s="7" t="s">
        <v>77</v>
      </c>
    </row>
    <row r="10" spans="1:7">
      <c r="B10" s="27" t="s">
        <v>78</v>
      </c>
      <c r="C10" s="34">
        <v>40</v>
      </c>
      <c r="D10" s="34"/>
      <c r="E10" s="34"/>
      <c r="F10" s="7" t="str">
        <f>Currency&amp;"/unit"</f>
        <v>USD/unit</v>
      </c>
    </row>
    <row r="12" spans="1:7" ht="21" customHeight="1">
      <c r="B12" s="8" t="s">
        <v>79</v>
      </c>
      <c r="C12" s="8"/>
      <c r="D12" s="8"/>
      <c r="E12" s="8"/>
      <c r="F12" s="8"/>
      <c r="G12" s="8"/>
    </row>
    <row r="13" spans="1:7" ht="5" customHeight="1"/>
    <row r="14" spans="1:7">
      <c r="B14" s="35" t="s">
        <v>80</v>
      </c>
      <c r="C14" s="36" t="s">
        <v>81</v>
      </c>
      <c r="D14" s="37" t="s">
        <v>82</v>
      </c>
      <c r="E14" s="37" t="s">
        <v>83</v>
      </c>
      <c r="F14" s="37" t="s">
        <v>84</v>
      </c>
      <c r="G14" s="37" t="s">
        <v>85</v>
      </c>
    </row>
    <row r="15" spans="1:7">
      <c r="B15" s="27" t="s">
        <v>86</v>
      </c>
      <c r="C15" s="7" t="str">
        <f>Currency&amp;"/unit"</f>
        <v>USD/unit</v>
      </c>
      <c r="D15" s="34">
        <v>6.1</v>
      </c>
      <c r="E15" s="34">
        <v>7.2</v>
      </c>
      <c r="F15" s="34">
        <v>8.300000000000001</v>
      </c>
      <c r="G15" s="34">
        <v>8.75</v>
      </c>
    </row>
    <row r="16" spans="1:7">
      <c r="B16" s="27" t="s">
        <v>87</v>
      </c>
      <c r="C16" s="7" t="str">
        <f>Currency&amp;"/unit"</f>
        <v>USD/unit</v>
      </c>
      <c r="D16" s="34">
        <v>0.55</v>
      </c>
      <c r="E16" s="34">
        <v>0.28</v>
      </c>
      <c r="F16" s="34">
        <v>0.05</v>
      </c>
      <c r="G16" s="34">
        <v>0.15</v>
      </c>
    </row>
    <row r="17" spans="2:7">
      <c r="B17" s="27" t="s">
        <v>88</v>
      </c>
      <c r="C17" s="7" t="str">
        <f>Currency&amp;"/unit"</f>
        <v>USD/unit</v>
      </c>
      <c r="D17" s="34">
        <v>0.18</v>
      </c>
      <c r="E17" s="34">
        <v>0.12</v>
      </c>
      <c r="F17" s="34">
        <v>0</v>
      </c>
      <c r="G17" s="34">
        <v>0.02</v>
      </c>
    </row>
    <row r="18" spans="2:7">
      <c r="B18" s="27" t="s">
        <v>89</v>
      </c>
      <c r="C18" s="7" t="str">
        <f>Currency&amp;"/unit"</f>
        <v>USD/unit</v>
      </c>
      <c r="D18" s="34">
        <v>0.12</v>
      </c>
      <c r="E18" s="34">
        <v>0.1</v>
      </c>
      <c r="F18" s="34">
        <v>0.06</v>
      </c>
      <c r="G18" s="34">
        <v>0.08</v>
      </c>
    </row>
    <row r="19" spans="2:7">
      <c r="B19" s="27" t="s">
        <v>90</v>
      </c>
      <c r="C19" s="7" t="s">
        <v>91</v>
      </c>
      <c r="D19" s="29">
        <v>0.039</v>
      </c>
      <c r="E19" s="29">
        <v>0</v>
      </c>
      <c r="F19" s="29">
        <v>0</v>
      </c>
      <c r="G19" s="29">
        <v>0</v>
      </c>
    </row>
    <row r="20" spans="2:7">
      <c r="B20" s="27" t="s">
        <v>92</v>
      </c>
      <c r="C20" s="7" t="s">
        <v>91</v>
      </c>
      <c r="D20" s="29">
        <v>0.25</v>
      </c>
      <c r="E20" s="29">
        <v>0</v>
      </c>
      <c r="F20" s="29">
        <v>0</v>
      </c>
      <c r="G20" s="29">
        <v>0</v>
      </c>
    </row>
    <row r="21" spans="2:7">
      <c r="B21" s="27" t="s">
        <v>93</v>
      </c>
      <c r="C21" s="7" t="s">
        <v>94</v>
      </c>
      <c r="D21" s="30">
        <v>6</v>
      </c>
      <c r="E21" s="30">
        <v>1.5</v>
      </c>
      <c r="F21" s="30">
        <v>0</v>
      </c>
      <c r="G21" s="30">
        <v>1</v>
      </c>
    </row>
    <row r="22" spans="2:7">
      <c r="B22" s="27" t="s">
        <v>95</v>
      </c>
      <c r="C22" s="7" t="s">
        <v>96</v>
      </c>
      <c r="D22" s="30">
        <v>4</v>
      </c>
      <c r="E22" s="30">
        <v>2</v>
      </c>
      <c r="F22" s="30">
        <v>1</v>
      </c>
      <c r="G22" s="30">
        <v>1.5</v>
      </c>
    </row>
    <row r="23" spans="2:7">
      <c r="B23" s="27" t="s">
        <v>97</v>
      </c>
      <c r="C23" s="7" t="s">
        <v>98</v>
      </c>
      <c r="D23" s="33">
        <v>2500</v>
      </c>
      <c r="E23" s="33">
        <v>1500</v>
      </c>
      <c r="F23" s="33">
        <v>800</v>
      </c>
      <c r="G23" s="33">
        <v>1000</v>
      </c>
    </row>
    <row r="24" spans="2:7">
      <c r="B24" s="27" t="s">
        <v>99</v>
      </c>
      <c r="C24" s="7" t="str">
        <f>Currency&amp;"/yr"</f>
        <v>USD/yr</v>
      </c>
      <c r="D24" s="33">
        <v>18000</v>
      </c>
      <c r="E24" s="33">
        <v>9000</v>
      </c>
      <c r="F24" s="33">
        <v>0</v>
      </c>
      <c r="G24" s="33">
        <v>6000</v>
      </c>
    </row>
    <row r="25" spans="2:7">
      <c r="B25" s="27" t="s">
        <v>100</v>
      </c>
      <c r="C25" s="7" t="str">
        <f>Currency&amp;"/yr"</f>
        <v>USD/yr</v>
      </c>
      <c r="D25" s="33">
        <v>22000</v>
      </c>
      <c r="E25" s="33">
        <v>6000</v>
      </c>
      <c r="F25" s="33">
        <v>2000</v>
      </c>
      <c r="G25" s="33">
        <v>3000</v>
      </c>
    </row>
    <row r="26" spans="2:7">
      <c r="B26" s="27" t="s">
        <v>101</v>
      </c>
      <c r="C26" s="7" t="str">
        <f>Currency</f>
        <v>USD</v>
      </c>
      <c r="D26" s="33">
        <v>0</v>
      </c>
      <c r="E26" s="33">
        <v>85000</v>
      </c>
      <c r="F26" s="33">
        <v>260000</v>
      </c>
      <c r="G26" s="33">
        <v>60000</v>
      </c>
    </row>
    <row r="27" spans="2:7">
      <c r="B27" s="27" t="s">
        <v>102</v>
      </c>
      <c r="C27" s="7" t="str">
        <f>Currency&amp;"/unit"</f>
        <v>USD/unit</v>
      </c>
      <c r="D27" s="38">
        <f>IF($D$15="","",$D$15+IF(DutyBase="CIF value",$D$16,0))</f>
        <v>6.1</v>
      </c>
      <c r="E27" s="38">
        <f>IF($E$15="","",$E$15+IF(DutyBase="CIF value",$E$16,0))</f>
        <v>7.2</v>
      </c>
      <c r="F27" s="38">
        <f>IF($F$15="","",$F$15+IF(DutyBase="CIF value",$F$16,0))</f>
        <v>8.3</v>
      </c>
      <c r="G27" s="38">
        <f>IF($G$15="","",$G$15+IF(DutyBase="CIF value",$G$16,0))</f>
        <v>8.75</v>
      </c>
    </row>
    <row r="28" spans="2:7">
      <c r="B28" s="27" t="s">
        <v>103</v>
      </c>
      <c r="C28" s="7" t="str">
        <f>Currency&amp;"/unit"</f>
        <v>USD/unit</v>
      </c>
      <c r="D28" s="38">
        <f>IF($D$27="","",$D$27*$D$19)</f>
        <v>0.2379</v>
      </c>
      <c r="E28" s="38">
        <f>IF($E$27="","",$E$27*$E$19)</f>
        <v>0</v>
      </c>
      <c r="F28" s="38">
        <f>IF($F$27="","",$F$27*$F$19)</f>
        <v>0</v>
      </c>
      <c r="G28" s="38">
        <f>IF($G$27="","",$G$27*$G$19)</f>
        <v>0</v>
      </c>
    </row>
    <row r="29" spans="2:7">
      <c r="B29" s="27" t="s">
        <v>104</v>
      </c>
      <c r="C29" s="7" t="str">
        <f>Currency&amp;"/unit"</f>
        <v>USD/unit</v>
      </c>
      <c r="D29" s="38">
        <f>IF($D$27="","",$D$27*$D$20)</f>
        <v>1.525</v>
      </c>
      <c r="E29" s="38">
        <f>IF($E$27="","",$E$27*$E$20)</f>
        <v>0</v>
      </c>
      <c r="F29" s="38">
        <f>IF($F$27="","",$F$27*$F$20)</f>
        <v>0</v>
      </c>
      <c r="G29" s="38">
        <f>IF($G$27="","",$G$27*$G$20)</f>
        <v>0</v>
      </c>
    </row>
    <row r="30" spans="2:7">
      <c r="B30" s="27" t="s">
        <v>105</v>
      </c>
      <c r="C30" s="7" t="str">
        <f>Currency&amp;"/unit"</f>
        <v>USD/unit</v>
      </c>
      <c r="D30" s="39">
        <f>IF($D$15="","",$D$15+$D$16+$D$17+$D$18+$D$28+$D$29)</f>
        <v>8.7129</v>
      </c>
      <c r="E30" s="39">
        <f>IF($E$15="","",$E$15+$E$16+$E$17+$E$18+$E$28+$E$29)</f>
        <v>7.7</v>
      </c>
      <c r="F30" s="39">
        <f>IF($F$15="","",$F$15+$F$16+$F$17+$F$18+$F$28+$F$29)</f>
        <v>8.41</v>
      </c>
      <c r="G30" s="39">
        <f>IF($G$15="","",$G$15+$G$16+$G$17+$G$18+$G$28+$G$29)</f>
        <v>9</v>
      </c>
    </row>
    <row r="31" spans="2:7">
      <c r="B31" s="27" t="s">
        <v>106</v>
      </c>
      <c r="C31" s="7" t="str">
        <f>Currency&amp;"/unit"</f>
        <v>USD/unit</v>
      </c>
      <c r="D31" s="38">
        <f>IF($D$30="","",$D$30*($D$21+$D$22)/52*CarryRate)</f>
        <v>0.368622692307692</v>
      </c>
      <c r="E31" s="38">
        <f>IF($E$30="","",$E$30*($E$21+$E$22)/52*CarryRate)</f>
        <v>0.114019230769231</v>
      </c>
      <c r="F31" s="38">
        <f>IF($F$30="","",$F$30*($F$21+$F$22)/52*CarryRate)</f>
        <v>0.0355807692307692</v>
      </c>
      <c r="G31" s="38">
        <f>IF($G$30="","",$G$30*($G$21+$G$22)/52*CarryRate)</f>
        <v>0.0951923076923077</v>
      </c>
    </row>
    <row r="32" spans="2:7">
      <c r="B32" s="27" t="s">
        <v>107</v>
      </c>
      <c r="C32" s="7" t="str">
        <f>Currency&amp;"/unit"</f>
        <v>USD/unit</v>
      </c>
      <c r="D32" s="38">
        <f>IF($D$15="","",$D$23/1000000*DefectCost)</f>
        <v>0.1</v>
      </c>
      <c r="E32" s="38">
        <f>IF($E$15="","",$E$23/1000000*DefectCost)</f>
        <v>0.06</v>
      </c>
      <c r="F32" s="38">
        <f>IF($F$15="","",$F$23/1000000*DefectCost)</f>
        <v>0.032</v>
      </c>
      <c r="G32" s="38">
        <f>IF($G$15="","",$G$23/1000000*DefectCost)</f>
        <v>0.04</v>
      </c>
    </row>
    <row r="33" spans="2:7">
      <c r="B33" s="27" t="s">
        <v>108</v>
      </c>
      <c r="C33" s="7" t="str">
        <f>Currency&amp;"/unit"</f>
        <v>USD/unit</v>
      </c>
      <c r="D33" s="38">
        <f>IF($D$15="","",($D$24+$D$25)/Volume)</f>
        <v>1</v>
      </c>
      <c r="E33" s="38">
        <f>IF($E$15="","",($E$24+$E$25)/Volume)</f>
        <v>0.375</v>
      </c>
      <c r="F33" s="38">
        <f>IF($F$15="","",($F$24+$F$25)/Volume)</f>
        <v>0.05</v>
      </c>
      <c r="G33" s="38">
        <f>IF($G$15="","",($G$24+$G$25)/Volume)</f>
        <v>0.225</v>
      </c>
    </row>
    <row r="34" spans="2:7">
      <c r="B34" s="27" t="s">
        <v>109</v>
      </c>
      <c r="C34" s="7" t="str">
        <f>Currency&amp;"/unit"</f>
        <v>USD/unit</v>
      </c>
      <c r="D34" s="38">
        <f>IF($D$15="","",$D$26/Horizon/Volume)</f>
        <v>0</v>
      </c>
      <c r="E34" s="38">
        <f>IF($E$15="","",$E$26/Horizon/Volume)</f>
        <v>0.425</v>
      </c>
      <c r="F34" s="38">
        <f>IF($F$15="","",$F$26/Horizon/Volume)</f>
        <v>1.3</v>
      </c>
      <c r="G34" s="38">
        <f>IF($G$15="","",$G$26/Horizon/Volume)</f>
        <v>0.3</v>
      </c>
    </row>
    <row r="35" spans="2:7">
      <c r="B35" s="27" t="s">
        <v>110</v>
      </c>
      <c r="C35" s="7" t="str">
        <f>Currency&amp;"/unit"</f>
        <v>USD/unit</v>
      </c>
      <c r="D35" s="40">
        <f>IF($D$15="","",$D$30+$D$31+$D$32+$D$33+$D$34)</f>
        <v>10.1815226923077</v>
      </c>
      <c r="E35" s="40">
        <f>IF($E$15="","",$E$30+$E$31+$E$32+$E$33+$E$34)</f>
        <v>8.67401923076923</v>
      </c>
      <c r="F35" s="40">
        <f>IF($F$15="","",$F$30+$F$31+$F$32+$F$33+$F$34)</f>
        <v>9.82758076923077</v>
      </c>
      <c r="G35" s="40">
        <f>IF($G$15="","",$G$30+$G$31+$G$32+$G$33+$G$34)</f>
        <v>9.66019230769231</v>
      </c>
    </row>
    <row r="36" spans="2:7">
      <c r="B36" s="27" t="s">
        <v>111</v>
      </c>
      <c r="C36" s="7" t="str">
        <f>Currency&amp;"/yr"</f>
        <v>USD/yr</v>
      </c>
      <c r="D36" s="41">
        <f>IF($D$35="","",$D$35*Volume)</f>
        <v>407260.907692308</v>
      </c>
      <c r="E36" s="41">
        <f>IF($E$35="","",$E$35*Volume)</f>
        <v>346960.769230769</v>
      </c>
      <c r="F36" s="41">
        <f>IF($F$35="","",$F$35*Volume)</f>
        <v>393103.230769231</v>
      </c>
      <c r="G36" s="41">
        <f>IF($G$35="","",$G$35*Volume)</f>
        <v>386407.692307692</v>
      </c>
    </row>
    <row r="37" spans="2:7">
      <c r="B37" s="27" t="s">
        <v>112</v>
      </c>
      <c r="C37" s="7" t="s">
        <v>113</v>
      </c>
      <c r="D37" s="42">
        <f>IF(OR($D$35="",$D$15=0),"",$D$35/$D$15-1)</f>
        <v>0.669102080706179</v>
      </c>
      <c r="E37" s="42">
        <f>IF(OR($E$35="",$E$15=0),"",$E$35/$E$15-1)</f>
        <v>0.204724893162393</v>
      </c>
      <c r="F37" s="42">
        <f>IF(OR($F$35="",$F$15=0),"",$F$35/$F$15-1)</f>
        <v>0.184045875810936</v>
      </c>
      <c r="G37" s="42">
        <f>IF(OR($G$35="",$G$15=0),"",$G$35/$G$15-1)</f>
        <v>0.104021978021978</v>
      </c>
    </row>
    <row r="38" spans="2:7">
      <c r="B38" s="27" t="s">
        <v>114</v>
      </c>
      <c r="C38" s="7" t="str">
        <f>Currency&amp;"/yr"</f>
        <v>USD/yr</v>
      </c>
      <c r="D38" s="43">
        <f>IF(OR($D$35="",INDEX($D$35:$G$35,1)=""),"",$D$36-INDEX($D$36:$G$36,1))</f>
        <v>0</v>
      </c>
      <c r="E38" s="43">
        <f>IF(OR($E$35="",INDEX($D$35:$G$35,1)=""),"",$E$36-INDEX($D$36:$G$36,1))</f>
        <v>-60300.1384615384</v>
      </c>
      <c r="F38" s="43">
        <f>IF(OR($F$35="",INDEX($D$35:$G$35,1)=""),"",$F$36-INDEX($D$36:$G$36,1))</f>
        <v>-14157.6769230767</v>
      </c>
      <c r="G38" s="43">
        <f>IF(OR($G$35="",INDEX($D$35:$G$35,1)=""),"",$G$36-INDEX($D$36:$G$36,1))</f>
        <v>-20853.2153846154</v>
      </c>
    </row>
    <row r="39" spans="2:7">
      <c r="B39" s="27" t="s">
        <v>115</v>
      </c>
      <c r="C39" s="7" t="s">
        <v>116</v>
      </c>
      <c r="D39" s="44">
        <f>IF(OR($D$35="",INDEX($D$35:$G$35,1)=""),"",$D$35/INDEX($D$35:$G$35,1)-1)</f>
        <v>0</v>
      </c>
      <c r="E39" s="44">
        <f>IF(OR($E$35="",INDEX($D$35:$G$35,1)=""),"",$E$35/INDEX($D$35:$G$35,1)-1)</f>
        <v>-0.148062672656753</v>
      </c>
      <c r="F39" s="44">
        <f>IF(OR($F$35="",INDEX($D$35:$G$35,1)=""),"",$F$35/INDEX($D$35:$G$35,1)-1)</f>
        <v>-0.0347631620311889</v>
      </c>
      <c r="G39" s="44">
        <f>IF(OR($G$35="",INDEX($D$35:$G$35,1)=""),"",$G$35/INDEX($D$35:$G$35,1)-1)</f>
        <v>-0.0512035773400827</v>
      </c>
    </row>
    <row r="40" spans="2:7">
      <c r="B40" s="27" t="s">
        <v>117</v>
      </c>
      <c r="C40" s="7" t="s">
        <v>118</v>
      </c>
      <c r="D40" s="45">
        <f>IF(OR($D$35="",INDEX($D$35:$G$35,1)="",$D$26&lt;=0),"",IF((INDEX($D$35:$G$35,1)-INDEX($D$34:$G$34,1)-($D$35-$D$34))&gt;0,$D$26/((INDEX($D$35:$G$35,1)-INDEX($D$34:$G$34,1)-($D$35-$D$34))*Volume)*12,"No payback"))</f>
        <v/>
      </c>
      <c r="E40" s="45">
        <f>IF(OR($E$35="",INDEX($D$35:$G$35,1)="",$E$26&lt;=0),"",IF((INDEX($D$35:$G$35,1)-INDEX($D$34:$G$34,1)-($E$35-$E$34))&gt;0,$E$26/((INDEX($D$35:$G$35,1)-INDEX($D$34:$G$34,1)-($E$35-$E$34))*Volume)*12,"No payback"))</f>
        <v>13.1953191844218</v>
      </c>
      <c r="F40" s="45">
        <f>IF(OR($F$35="",INDEX($D$35:$G$35,1)="",$F$26&lt;=0),"",IF((INDEX($D$35:$G$35,1)-INDEX($D$34:$G$34,1)-($F$35-$F$34))&gt;0,$F$26/((INDEX($D$35:$G$35,1)-INDEX($D$34:$G$34,1)-($F$35-$F$34))*Volume)*12,"No payback"))</f>
        <v>47.1600598011884</v>
      </c>
      <c r="G40" s="45">
        <f>IF(OR($G$35="",INDEX($D$35:$G$35,1)="",$G$26&lt;=0),"",IF((INDEX($D$35:$G$35,1)-INDEX($D$34:$G$34,1)-($G$35-$G$34))&gt;0,$G$26/((INDEX($D$35:$G$35,1)-INDEX($D$34:$G$34,1)-($G$35-$G$34))*Volume)*12,"No payback"))</f>
        <v>21.9156630963179</v>
      </c>
    </row>
    <row r="41" spans="2:7">
      <c r="B41" s="27" t="s">
        <v>119</v>
      </c>
      <c r="C41" s="7" t="s">
        <v>91</v>
      </c>
      <c r="D41" s="42">
        <f>IF(OR(1=1,$D$35="",INDEX($D$35:$G$35,1)=""),"",INDEX($D$20:$G$20,1)+($D$35-INDEX($D$35:$G$35,1))/(INDEX($D$27:$G$27,1)*(1+CarryRate*(INDEX($D$21:$G$21,1)+INDEX($D$22:$G$22,1))/52)))</f>
        <v/>
      </c>
      <c r="E41" s="42">
        <f>IF(OR(2=1,$E$35="",INDEX($D$35:$G$35,1)=""),"",INDEX($D$20:$G$20,1)+($E$35-INDEX($D$35:$G$35,1))/(INDEX($D$27:$G$27,1)*(1+CarryRate*(INDEX($D$21:$G$21,1)+INDEX($D$22:$G$22,1))/52)))</f>
        <v>0.0128994616175674</v>
      </c>
      <c r="F41" s="42">
        <f>IF(OR(3=1,$F$35="",INDEX($D$35:$G$35,1)=""),"",INDEX($D$20:$G$20,1)+($F$35-INDEX($D$35:$G$35,1))/(INDEX($D$27:$G$27,1)*(1+CarryRate*(INDEX($D$21:$G$21,1)+INDEX($D$22:$G$22,1))/52)))</f>
        <v>0.194331921843809</v>
      </c>
      <c r="G41" s="42">
        <f>IF(OR(4=1,$G$35="",INDEX($D$35:$G$35,1)=""),"",INDEX($D$20:$G$20,1)+($G$35-INDEX($D$35:$G$35,1))/(INDEX($D$27:$G$27,1)*(1+CarryRate*(INDEX($D$21:$G$21,1)+INDEX($D$22:$G$22,1))/52)))</f>
        <v>0.168005020869881</v>
      </c>
    </row>
    <row r="42" spans="2:7">
      <c r="B42" s="27" t="s">
        <v>120</v>
      </c>
      <c r="C42" s="7"/>
      <c r="D42" s="46" t="str">
        <f>IF($D$35="","",IF($D$35=MIN($D$35:$G$35),"Lowest",RANK($D$35,$D$35:$G$35,1)&amp;" of "&amp;COUNT($D$35:$G$35)))</f>
        <v>4 of 4</v>
      </c>
      <c r="E42" s="46" t="str">
        <f>IF($E$35="","",IF($E$35=MIN($D$35:$G$35),"Lowest",RANK($E$35,$D$35:$G$35,1)&amp;" of "&amp;COUNT($D$35:$G$35)))</f>
        <v>Lowest</v>
      </c>
      <c r="F42" s="46" t="str">
        <f>IF($F$35="","",IF($F$35=MIN($D$35:$G$35),"Lowest",RANK($F$35,$D$35:$G$35,1)&amp;" of "&amp;COUNT($D$35:$G$35)))</f>
        <v>3 of 4</v>
      </c>
      <c r="G42" s="46" t="str">
        <f>IF($G$35="","",IF($G$35=MIN($D$35:$G$35),"Lowest",RANK($G$35,$D$35:$G$35,1)&amp;" of "&amp;COUNT($D$35:$G$35)))</f>
        <v>2 of 4</v>
      </c>
    </row>
    <row r="44" spans="2:7" ht="26.76" customHeight="1">
      <c r="B44" s="21" t="s">
        <v>121</v>
      </c>
      <c r="C44" s="21"/>
      <c r="D44" s="21"/>
      <c r="E44" s="21"/>
      <c r="F44" s="21"/>
      <c r="G44" s="21"/>
    </row>
  </sheetData>
  <mergeCells count="9">
    <mergeCell ref="A1:G1"/>
    <mergeCell ref="B2:F2"/>
    <mergeCell ref="B4:G4"/>
    <mergeCell ref="B6:G6"/>
    <mergeCell ref="C8:F8"/>
    <mergeCell ref="C9:E9"/>
    <mergeCell ref="C10:E10"/>
    <mergeCell ref="B12:G12"/>
    <mergeCell ref="B44:G44"/>
  </mergeCells>
  <dataValidations count="55">
    <dataValidation type="textLength" allowBlank="1" showInputMessage="1" showErrorMessage="1" errorTitle="Check this entry" error="Text up to 100 characters." promptTitle="Part" prompt="Text up to 100 characters." sqref="C8">
      <formula1>0</formula1>
      <formula2>100</formula2>
    </dataValidation>
    <dataValidation type="decimal" allowBlank="1" showInputMessage="1" showErrorMessage="1" errorTitle="Check this entry" error="Enter a number of at least 1." promptTitle="Annual volume" prompt="Enter a number of at least 1." sqref="C9">
      <formula1>1</formula1>
      <formula2>10000000000.0</formula2>
    </dataValidation>
    <dataValidation type="decimal" allowBlank="1" showInputMessage="1" showErrorMessage="1" errorTitle="Check this entry" error="Enter a number from 0 to 10,000,000." promptTitle="Cost of a defective unit reac..." prompt="Sorting, rework or scrap, replacement freight and line disruption per defective unit that gets through to you. Your own estimate from past incidents. Enter a number from 0 to 10,000,000." sqref="C10">
      <formula1>0</formula1>
      <formula2>10000000.0</formula2>
    </dataValidation>
    <dataValidation type="textLength" allowBlank="1" showInputMessage="1" showErrorMessage="1" errorTitle="Check this entry" error="Text up to 30 characters." promptTitle="Option" prompt="A short name for this sourcing option. Option 1 is the current source every other option is compared with. Text up to 30 characters." sqref="D14">
      <formula1>0</formula1>
      <formula2>30</formula2>
    </dataValidation>
    <dataValidation type="textLength" allowBlank="1" showInputMessage="1" showErrorMessage="1" errorTitle="Check this entry" error="Text up to 30 characters." promptTitle="Option" prompt="A short name for this sourcing option. Option 1 is the current source every other option is compared with. Text up to 30 characters." sqref="E14">
      <formula1>0</formula1>
      <formula2>30</formula2>
    </dataValidation>
    <dataValidation type="textLength" allowBlank="1" showInputMessage="1" showErrorMessage="1" errorTitle="Check this entry" error="Text up to 30 characters." promptTitle="Option" prompt="A short name for this sourcing option. Option 1 is the current source every other option is compared with. Text up to 30 characters." sqref="F14">
      <formula1>0</formula1>
      <formula2>30</formula2>
    </dataValidation>
    <dataValidation type="textLength" allowBlank="1" showInputMessage="1" showErrorMessage="1" errorTitle="Check this entry" error="Text up to 30 characters." promptTitle="Option" prompt="A short name for this sourcing option. Option 1 is the current source every other option is compared with. Text up to 30 characters." sqref="G14">
      <formula1>0</formula1>
      <formula2>30</formula2>
    </dataValidation>
    <dataValidation type="decimal" allowBlank="1" showInputMessage="1" showErrorMessage="1" errorTitle="Check this entry" error="Enter a number of at least 0." promptTitle="Piece price (ex-works)" prompt="Price per unit at the supplier's door, or your own avoidable make cost for an in-house option. Enter a number of at least 0." sqref="D15">
      <formula1>0</formula1>
      <formula2>1000000000.0</formula2>
    </dataValidation>
    <dataValidation type="decimal" allowBlank="1" showInputMessage="1" showErrorMessage="1" errorTitle="Check this entry" error="Enter a number of at least 0." promptTitle="Piece price (ex-works)" prompt="Price per unit at the supplier's door, or your own avoidable make cost for an in-house option. Enter a number of at least 0." sqref="E15">
      <formula1>0</formula1>
      <formula2>1000000000.0</formula2>
    </dataValidation>
    <dataValidation type="decimal" allowBlank="1" showInputMessage="1" showErrorMessage="1" errorTitle="Check this entry" error="Enter a number of at least 0." promptTitle="Piece price (ex-works)" prompt="Price per unit at the supplier's door, or your own avoidable make cost for an in-house option. Enter a number of at least 0." sqref="F15">
      <formula1>0</formula1>
      <formula2>1000000000.0</formula2>
    </dataValidation>
    <dataValidation type="decimal" allowBlank="1" showInputMessage="1" showErrorMessage="1" errorTitle="Check this entry" error="Enter a number of at least 0." promptTitle="Piece price (ex-works)" prompt="Price per unit at the supplier's door, or your own avoidable make cost for an in-house option. Enter a number of at least 0." sqref="G15">
      <formula1>0</formula1>
      <formula2>1000000000.0</formula2>
    </dataValidation>
    <dataValidation type="decimal" allowBlank="1" showInputMessage="1" showErrorMessage="1" errorTitle="Check this entry" error="Enter a number of at least 0." promptTitle="Freight to your plant" prompt="Enter a number of at least 0." sqref="D16">
      <formula1>0</formula1>
      <formula2>1000000000.0</formula2>
    </dataValidation>
    <dataValidation type="decimal" allowBlank="1" showInputMessage="1" showErrorMessage="1" errorTitle="Check this entry" error="Enter a number of at least 0." promptTitle="Freight to your plant" prompt="Enter a number of at least 0." sqref="E16">
      <formula1>0</formula1>
      <formula2>1000000000.0</formula2>
    </dataValidation>
    <dataValidation type="decimal" allowBlank="1" showInputMessage="1" showErrorMessage="1" errorTitle="Check this entry" error="Enter a number of at least 0." promptTitle="Freight to your plant" prompt="Enter a number of at least 0." sqref="F16">
      <formula1>0</formula1>
      <formula2>1000000000.0</formula2>
    </dataValidation>
    <dataValidation type="decimal" allowBlank="1" showInputMessage="1" showErrorMessage="1" errorTitle="Check this entry" error="Enter a number of at least 0." promptTitle="Freight to your plant" prompt="Enter a number of at least 0." sqref="G16">
      <formula1>0</formula1>
      <formula2>1000000000.0</formula2>
    </dataValidation>
    <dataValidation type="decimal" allowBlank="1" showInputMessage="1" showErrorMessage="1" errorTitle="Check this entry" error="Enter a number of at least 0." promptTitle="Brokerage, insurance, handling" prompt="Enter a number of at least 0." sqref="D17">
      <formula1>0</formula1>
      <formula2>1000000000.0</formula2>
    </dataValidation>
    <dataValidation type="decimal" allowBlank="1" showInputMessage="1" showErrorMessage="1" errorTitle="Check this entry" error="Enter a number of at least 0." promptTitle="Brokerage, insurance, handling" prompt="Enter a number of at least 0." sqref="E17">
      <formula1>0</formula1>
      <formula2>1000000000.0</formula2>
    </dataValidation>
    <dataValidation type="decimal" allowBlank="1" showInputMessage="1" showErrorMessage="1" errorTitle="Check this entry" error="Enter a number of at least 0." promptTitle="Brokerage, insurance, handling" prompt="Enter a number of at least 0." sqref="F17">
      <formula1>0</formula1>
      <formula2>1000000000.0</formula2>
    </dataValidation>
    <dataValidation type="decimal" allowBlank="1" showInputMessage="1" showErrorMessage="1" errorTitle="Check this entry" error="Enter a number of at least 0." promptTitle="Brokerage, insurance, handling" prompt="Enter a number of at least 0." sqref="G17">
      <formula1>0</formula1>
      <formula2>1000000000.0</formula2>
    </dataValidation>
    <dataValidation type="decimal" allowBlank="1" showInputMessage="1" showErrorMessage="1" errorTitle="Check this entry" error="Enter a number of at least 0." promptTitle="Packaging" prompt="Enter a number of at least 0." sqref="D18">
      <formula1>0</formula1>
      <formula2>1000000000.0</formula2>
    </dataValidation>
    <dataValidation type="decimal" allowBlank="1" showInputMessage="1" showErrorMessage="1" errorTitle="Check this entry" error="Enter a number of at least 0." promptTitle="Packaging" prompt="Enter a number of at least 0." sqref="E18">
      <formula1>0</formula1>
      <formula2>1000000000.0</formula2>
    </dataValidation>
    <dataValidation type="decimal" allowBlank="1" showInputMessage="1" showErrorMessage="1" errorTitle="Check this entry" error="Enter a number of at least 0." promptTitle="Packaging" prompt="Enter a number of at least 0." sqref="F18">
      <formula1>0</formula1>
      <formula2>1000000000.0</formula2>
    </dataValidation>
    <dataValidation type="decimal" allowBlank="1" showInputMessage="1" showErrorMessage="1" errorTitle="Check this entry" error="Enter a number of at least 0." promptTitle="Packaging" prompt="Enter a number of at least 0." sqref="G18">
      <formula1>0</formula1>
      <formula2>1000000000.0</formula2>
    </dataValidation>
    <dataValidation type="decimal" allowBlank="1" showInputMessage="1" showErrorMessage="1" errorTitle="Check this entry" error="Enter a percentage from 0% to 1000% (type 85% or 0.85)." promptTitle="Duty rate" prompt="Normal duty for the part's HS code from this origin, after any trade-agreement preference. Enter a percentage from 0% to 1000% (type 85% or 0.85)." sqref="D19">
      <formula1>0</formula1>
      <formula2>10</formula2>
    </dataValidation>
    <dataValidation type="decimal" allowBlank="1" showInputMessage="1" showErrorMessage="1" errorTitle="Check this entry" error="Enter a percentage from 0% to 1000% (type 85% or 0.85)." promptTitle="Duty rate" prompt="Normal duty for the part's HS code from this origin, after any trade-agreement preference. Enter a percentage from 0% to 1000% (type 85% or 0.85)." sqref="E19">
      <formula1>0</formula1>
      <formula2>10</formula2>
    </dataValidation>
    <dataValidation type="decimal" allowBlank="1" showInputMessage="1" showErrorMessage="1" errorTitle="Check this entry" error="Enter a percentage from 0% to 1000% (type 85% or 0.85)." promptTitle="Duty rate" prompt="Normal duty for the part's HS code from this origin, after any trade-agreement preference. Enter a percentage from 0% to 1000% (type 85% or 0.85)." sqref="F19">
      <formula1>0</formula1>
      <formula2>10</formula2>
    </dataValidation>
    <dataValidation type="decimal" allowBlank="1" showInputMessage="1" showErrorMessage="1" errorTitle="Check this entry" error="Enter a percentage from 0% to 1000% (type 85% or 0.85)." promptTitle="Duty rate" prompt="Normal duty for the part's HS code from this origin, after any trade-agreement preference. Enter a percentage from 0% to 1000% (type 85% or 0.85)." sqref="G19">
      <formula1>0</formula1>
      <formula2>10</formula2>
    </dataValidation>
    <dataValidation type="decimal" allowBlank="1" showInputMessage="1" showErrorMessage="1" errorTitle="Check this entry" error="Enter a percentage from 0% to 1000% (type 85% or 0.85)." promptTitle="Extra tariff rate" prompt="Additional duties on top of the duty rate (anti-dumping, safeguard, retaliatory or other special tariffs). Enter a percentage from 0% to 1000% (type 85% or 0.85)." sqref="D20">
      <formula1>0</formula1>
      <formula2>10</formula2>
    </dataValidation>
    <dataValidation type="decimal" allowBlank="1" showInputMessage="1" showErrorMessage="1" errorTitle="Check this entry" error="Enter a percentage from 0% to 1000% (type 85% or 0.85)." promptTitle="Extra tariff rate" prompt="Additional duties on top of the duty rate (anti-dumping, safeguard, retaliatory or other special tariffs). Enter a percentage from 0% to 1000% (type 85% or 0.85)." sqref="E20">
      <formula1>0</formula1>
      <formula2>10</formula2>
    </dataValidation>
    <dataValidation type="decimal" allowBlank="1" showInputMessage="1" showErrorMessage="1" errorTitle="Check this entry" error="Enter a percentage from 0% to 1000% (type 85% or 0.85)." promptTitle="Extra tariff rate" prompt="Additional duties on top of the duty rate (anti-dumping, safeguard, retaliatory or other special tariffs). Enter a percentage from 0% to 1000% (type 85% or 0.85)." sqref="F20">
      <formula1>0</formula1>
      <formula2>10</formula2>
    </dataValidation>
    <dataValidation type="decimal" allowBlank="1" showInputMessage="1" showErrorMessage="1" errorTitle="Check this entry" error="Enter a percentage from 0% to 1000% (type 85% or 0.85)." promptTitle="Extra tariff rate" prompt="Additional duties on top of the duty rate (anti-dumping, safeguard, retaliatory or other special tariffs). Enter a percentage from 0% to 1000% (type 85% or 0.85)." sqref="G20">
      <formula1>0</formula1>
      <formula2>10</formula2>
    </dataValidation>
    <dataValidation type="decimal" allowBlank="1" showInputMessage="1" showErrorMessage="1" errorTitle="Check this entry" error="Enter a number from 0 to 104." promptTitle="Transit time" prompt="Weeks the goods are in transit and owned by you (in the pipeline). Enter a number from 0 to 104." sqref="D21">
      <formula1>0</formula1>
      <formula2>104</formula2>
    </dataValidation>
    <dataValidation type="decimal" allowBlank="1" showInputMessage="1" showErrorMessage="1" errorTitle="Check this entry" error="Enter a number from 0 to 104." promptTitle="Transit time" prompt="Weeks the goods are in transit and owned by you (in the pipeline). Enter a number from 0 to 104." sqref="E21">
      <formula1>0</formula1>
      <formula2>104</formula2>
    </dataValidation>
    <dataValidation type="decimal" allowBlank="1" showInputMessage="1" showErrorMessage="1" errorTitle="Check this entry" error="Enter a number from 0 to 104." promptTitle="Transit time" prompt="Weeks the goods are in transit and owned by you (in the pipeline). Enter a number from 0 to 104." sqref="F21">
      <formula1>0</formula1>
      <formula2>104</formula2>
    </dataValidation>
    <dataValidation type="decimal" allowBlank="1" showInputMessage="1" showErrorMessage="1" errorTitle="Check this entry" error="Enter a number from 0 to 104." promptTitle="Transit time" prompt="Weeks the goods are in transit and owned by you (in the pipeline). Enter a number from 0 to 104." sqref="G21">
      <formula1>0</formula1>
      <formula2>104</formula2>
    </dataValidation>
    <dataValidation type="decimal" allowBlank="1" showInputMessage="1" showErrorMessage="1" errorTitle="Check this entry" error="Enter a number from 0 to 104." promptTitle="Safety stock held" prompt="Extra stock you hold against this source's variability. Enter a number from 0 to 104." sqref="D22">
      <formula1>0</formula1>
      <formula2>104</formula2>
    </dataValidation>
    <dataValidation type="decimal" allowBlank="1" showInputMessage="1" showErrorMessage="1" errorTitle="Check this entry" error="Enter a number from 0 to 104." promptTitle="Safety stock held" prompt="Extra stock you hold against this source's variability. Enter a number from 0 to 104." sqref="E22">
      <formula1>0</formula1>
      <formula2>104</formula2>
    </dataValidation>
    <dataValidation type="decimal" allowBlank="1" showInputMessage="1" showErrorMessage="1" errorTitle="Check this entry" error="Enter a number from 0 to 104." promptTitle="Safety stock held" prompt="Extra stock you hold against this source's variability. Enter a number from 0 to 104." sqref="F22">
      <formula1>0</formula1>
      <formula2>104</formula2>
    </dataValidation>
    <dataValidation type="decimal" allowBlank="1" showInputMessage="1" showErrorMessage="1" errorTitle="Check this entry" error="Enter a number from 0 to 104." promptTitle="Safety stock held" prompt="Extra stock you hold against this source's variability. Enter a number from 0 to 104." sqref="G22">
      <formula1>0</formula1>
      <formula2>104</formula2>
    </dataValidation>
    <dataValidation type="decimal" allowBlank="1" showInputMessage="1" showErrorMessage="1" errorTitle="Check this entry" error="Enter a number from 0 to 1,000,000." promptTitle="Defects reaching you" prompt="Defective parts per million received, from history or the supplier's capability. Enter a number from 0 to 1,000,000." sqref="D23">
      <formula1>0</formula1>
      <formula2>1000000.0</formula2>
    </dataValidation>
    <dataValidation type="decimal" allowBlank="1" showInputMessage="1" showErrorMessage="1" errorTitle="Check this entry" error="Enter a number from 0 to 1,000,000." promptTitle="Defects reaching you" prompt="Defective parts per million received, from history or the supplier's capability. Enter a number from 0 to 1,000,000." sqref="E23">
      <formula1>0</formula1>
      <formula2>1000000.0</formula2>
    </dataValidation>
    <dataValidation type="decimal" allowBlank="1" showInputMessage="1" showErrorMessage="1" errorTitle="Check this entry" error="Enter a number from 0 to 1,000,000." promptTitle="Defects reaching you" prompt="Defective parts per million received, from history or the supplier's capability. Enter a number from 0 to 1,000,000." sqref="F23">
      <formula1>0</formula1>
      <formula2>1000000.0</formula2>
    </dataValidation>
    <dataValidation type="decimal" allowBlank="1" showInputMessage="1" showErrorMessage="1" errorTitle="Check this entry" error="Enter a number from 0 to 1,000,000." promptTitle="Defects reaching you" prompt="Defective parts per million received, from history or the supplier's capability. Enter a number from 0 to 1,000,000." sqref="G23">
      <formula1>0</formula1>
      <formula2>1000000.0</formula2>
    </dataValidation>
    <dataValidation type="decimal" allowBlank="1" showInputMessage="1" showErrorMessage="1" errorTitle="Check this entry" error="Enter a number of at least 0." promptTitle="Supplier management and travel" prompt="Visits, audits, quality engineering time and travel for this source. Enter a number of at least 0." sqref="D24">
      <formula1>0</formula1>
      <formula2>10000000000.0</formula2>
    </dataValidation>
    <dataValidation type="decimal" allowBlank="1" showInputMessage="1" showErrorMessage="1" errorTitle="Check this entry" error="Enter a number of at least 0." promptTitle="Supplier management and travel" prompt="Visits, audits, quality engineering time and travel for this source. Enter a number of at least 0." sqref="E24">
      <formula1>0</formula1>
      <formula2>10000000000.0</formula2>
    </dataValidation>
    <dataValidation type="decimal" allowBlank="1" showInputMessage="1" showErrorMessage="1" errorTitle="Check this entry" error="Enter a number of at least 0." promptTitle="Supplier management and travel" prompt="Visits, audits, quality engineering time and travel for this source. Enter a number of at least 0." sqref="F24">
      <formula1>0</formula1>
      <formula2>10000000000.0</formula2>
    </dataValidation>
    <dataValidation type="decimal" allowBlank="1" showInputMessage="1" showErrorMessage="1" errorTitle="Check this entry" error="Enter a number of at least 0." promptTitle="Supplier management and travel" prompt="Visits, audits, quality engineering time and travel for this source. Enter a number of at least 0." sqref="G24">
      <formula1>0</formula1>
      <formula2>10000000000.0</formula2>
    </dataValidation>
    <dataValidation type="decimal" allowBlank="1" showInputMessage="1" showErrorMessage="1" errorTitle="Check this entry" error="Enter a number of at least 0." promptTitle="Expediting and disruption all..." prompt="Your estimate of a normal year's air freight premiums, expediting and disruption cost with this source. Enter a number of at least 0." sqref="D25">
      <formula1>0</formula1>
      <formula2>10000000000.0</formula2>
    </dataValidation>
    <dataValidation type="decimal" allowBlank="1" showInputMessage="1" showErrorMessage="1" errorTitle="Check this entry" error="Enter a number of at least 0." promptTitle="Expediting and disruption all..." prompt="Your estimate of a normal year's air freight premiums, expediting and disruption cost with this source. Enter a number of at least 0." sqref="E25">
      <formula1>0</formula1>
      <formula2>10000000000.0</formula2>
    </dataValidation>
    <dataValidation type="decimal" allowBlank="1" showInputMessage="1" showErrorMessage="1" errorTitle="Check this entry" error="Enter a number of at least 0." promptTitle="Expediting and disruption all..." prompt="Your estimate of a normal year's air freight premiums, expediting and disruption cost with this source. Enter a number of at least 0." sqref="F25">
      <formula1>0</formula1>
      <formula2>10000000000.0</formula2>
    </dataValidation>
    <dataValidation type="decimal" allowBlank="1" showInputMessage="1" showErrorMessage="1" errorTitle="Check this entry" error="Enter a number of at least 0." promptTitle="Expediting and disruption all..." prompt="Your estimate of a normal year's air freight premiums, expediting and disruption cost with this source. Enter a number of at least 0." sqref="G25">
      <formula1>0</formula1>
      <formula2>10000000000.0</formula2>
    </dataValidation>
    <dataValidation type="decimal" allowBlank="1" showInputMessage="1" showErrorMessage="1" errorTitle="Check this entry" error="Enter a number of at least 0." promptTitle="One-time transition cost" prompt="Tooling, qualification and PPAP, equipment, line transfer: paid once to move to this option. 0 for the current source. Enter a number of at least 0." sqref="D26">
      <formula1>0</formula1>
      <formula2>100000000000.0</formula2>
    </dataValidation>
    <dataValidation type="decimal" allowBlank="1" showInputMessage="1" showErrorMessage="1" errorTitle="Check this entry" error="Enter a number of at least 0." promptTitle="One-time transition cost" prompt="Tooling, qualification and PPAP, equipment, line transfer: paid once to move to this option. 0 for the current source. Enter a number of at least 0." sqref="E26">
      <formula1>0</formula1>
      <formula2>100000000000.0</formula2>
    </dataValidation>
    <dataValidation type="decimal" allowBlank="1" showInputMessage="1" showErrorMessage="1" errorTitle="Check this entry" error="Enter a number of at least 0." promptTitle="One-time transition cost" prompt="Tooling, qualification and PPAP, equipment, line transfer: paid once to move to this option. 0 for the current source. Enter a number of at least 0." sqref="F26">
      <formula1>0</formula1>
      <formula2>100000000000.0</formula2>
    </dataValidation>
    <dataValidation type="decimal" allowBlank="1" showInputMessage="1" showErrorMessage="1" errorTitle="Check this entry" error="Enter a number of at least 0." promptTitle="One-time transition cost" prompt="Tooling, qualification and PPAP, equipment, line transfer: paid once to move to this option. 0 for the current source. Enter a number of at least 0." sqref="G26">
      <formula1>0</formula1>
      <formula2>100000000000.0</formula2>
    </dataValidation>
  </dataValidations>
  <hyperlinks>
    <hyperlink ref="G2" r:id="rId1" tooltip="Free manufacturing calculators and templates"/>
  </hyperlinks>
  <pageMargins left="0.4" right="0.4" top="0.7" bottom="0.65" header="0.3" footer="0.3"/>
  <pageSetup fitToHeight="0" orientation="portrait"/>
  <headerFooter>
    <oddHeader>&amp;L&amp;8MFG Calcs - Reshoring Total Cost of Ownership&amp;R&amp;8&amp;A</oddHeader>
    <oddFooter>&amp;L&amp;8mfgcalcs.com - free manufacturing templates&amp;R&amp;8Page &amp;P of &amp;N</oddFooter>
  </headerFooter>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5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7" t="str">
        <f>TEXT(Volume,"#,##0")&amp;" units a year. Option 1, "&amp;INDEX('TCO Model'!$D$14:$G$14,1)&amp;", is the current source every option is compared with. Money in "&amp;Currency&amp;"."</f>
        <v>40,000 units a year. Option 1, Current: China supplier, is the current source every option is compared with. Money in USD.</v>
      </c>
      <c r="C4" s="47"/>
      <c r="D4" s="47"/>
      <c r="E4" s="47"/>
      <c r="F4" s="47"/>
      <c r="G4" s="47"/>
      <c r="H4" s="47"/>
      <c r="I4" s="47"/>
      <c r="J4" s="47"/>
      <c r="K4" s="47"/>
      <c r="L4" s="47"/>
    </row>
    <row r="6" spans="1:12" ht="18" customHeight="1">
      <c r="B6" s="48" t="s">
        <v>122</v>
      </c>
      <c r="C6" s="48"/>
      <c r="D6" s="48" t="str">
        <f>"CURRENT SOURCE TCO ("&amp;Currency&amp;"/UNIT)"</f>
        <v>CURRENT SOURCE TCO (USD/UNIT)</v>
      </c>
      <c r="E6" s="48"/>
      <c r="F6" s="48"/>
      <c r="G6" s="48" t="str">
        <f>"YEARLY SAVING AGAINST CURRENT ("&amp;Currency&amp;")"</f>
        <v>YEARLY SAVING AGAINST CURRENT (USD)</v>
      </c>
      <c r="H6" s="48"/>
      <c r="I6" s="48"/>
      <c r="J6" s="48" t="s">
        <v>123</v>
      </c>
      <c r="K6" s="48"/>
      <c r="L6" s="48"/>
    </row>
    <row r="7" spans="1:12" ht="21" customHeight="1">
      <c r="B7" s="49" t="str">
        <f>INDEX('TCO Model'!$D$14:$G$14,BestIdx)</f>
        <v>Mexico supplier</v>
      </c>
      <c r="C7" s="49"/>
      <c r="D7" s="50">
        <f>INDEX('TCO Model'!$D$35:$G$35,1)</f>
        <v>10.1815226923077</v>
      </c>
      <c r="E7" s="50"/>
      <c r="F7" s="50"/>
      <c r="G7" s="51">
        <f>-INDEX('TCO Model'!$D$38:$G$38,BestIdx)</f>
        <v>60300.1384615384</v>
      </c>
      <c r="H7" s="51"/>
      <c r="I7" s="51"/>
      <c r="J7" s="52">
        <f>IF(INDEX('TCO Model'!$D$40:$G$40,BestIdx)="","None needed",INDEX('TCO Model'!$D$40:$G$40,BestIdx))</f>
        <v>13.1953191844218</v>
      </c>
      <c r="K7" s="52"/>
      <c r="L7" s="52"/>
    </row>
    <row r="8" spans="1:12" ht="21" customHeight="1">
      <c r="B8" s="49"/>
      <c r="C8" s="49"/>
      <c r="D8" s="50"/>
      <c r="E8" s="50"/>
      <c r="F8" s="50"/>
      <c r="G8" s="51"/>
      <c r="H8" s="51"/>
      <c r="I8" s="51"/>
      <c r="J8" s="52"/>
      <c r="K8" s="52"/>
      <c r="L8" s="52"/>
    </row>
    <row r="9" spans="1:12">
      <c r="B9" s="53" t="str">
        <f>TEXT(INDEX('TCO Model'!$D$35:$G$35,BestIdx),"#,##0.00")&amp;" "&amp;Currency&amp;" per unit"</f>
        <v>8.67 USD per unit</v>
      </c>
      <c r="C9" s="53"/>
      <c r="D9" s="53" t="str">
        <f>"Piece price "&amp;TEXT(INDEX('TCO Model'!$D$15:$G$15,1),"#,##0.00")&amp;", TCO "&amp;TEXT(INDEX('TCO Model'!$D$37:$G$37,1),"0%")&amp;" above it"</f>
        <v>Piece price 6.10, TCO 67% above it</v>
      </c>
      <c r="E9" s="53"/>
      <c r="F9" s="53"/>
      <c r="G9" s="53" t="s">
        <v>124</v>
      </c>
      <c r="H9" s="53"/>
      <c r="I9" s="53"/>
      <c r="J9" s="53" t="str">
        <f>"One-time cost "&amp;TEXT(INDEX('TCO Model'!$D$26:$G$26,BestIdx),"#,##0")</f>
        <v>One-time cost 85,000</v>
      </c>
      <c r="K9" s="53"/>
      <c r="L9" s="53"/>
    </row>
    <row r="10" spans="1:12" ht="18" customHeight="1">
      <c r="B10" s="54"/>
      <c r="C10" s="54"/>
      <c r="D10" s="54"/>
      <c r="E10" s="54"/>
      <c r="F10" s="54"/>
      <c r="G10" s="54"/>
      <c r="H10" s="54"/>
      <c r="I10" s="54"/>
      <c r="J10" s="54"/>
      <c r="K10" s="54"/>
      <c r="L10" s="54"/>
    </row>
    <row r="30" spans="2:12">
      <c r="B30" s="55" t="s">
        <v>125</v>
      </c>
      <c r="C30" s="55"/>
      <c r="D30" s="55"/>
      <c r="E30" s="55"/>
      <c r="F30" s="55"/>
      <c r="G30" s="55"/>
      <c r="H30" s="55"/>
      <c r="I30" s="55"/>
      <c r="J30" s="55"/>
      <c r="K30" s="55"/>
      <c r="L30" s="55"/>
    </row>
    <row r="31" spans="2:12" ht="45.5" customHeight="1">
      <c r="B31" s="35" t="s">
        <v>80</v>
      </c>
      <c r="C31" s="36" t="s">
        <v>126</v>
      </c>
      <c r="D31" s="36" t="s">
        <v>127</v>
      </c>
      <c r="E31" s="36" t="s">
        <v>128</v>
      </c>
      <c r="F31" s="36" t="s">
        <v>129</v>
      </c>
      <c r="G31" s="36" t="s">
        <v>130</v>
      </c>
      <c r="H31" s="36" t="s">
        <v>131</v>
      </c>
      <c r="I31" s="36" t="s">
        <v>132</v>
      </c>
      <c r="J31" s="36" t="s">
        <v>111</v>
      </c>
      <c r="K31" s="36" t="s">
        <v>133</v>
      </c>
      <c r="L31" s="36" t="s">
        <v>134</v>
      </c>
    </row>
    <row r="32" spans="2:12" ht="14" customHeight="1">
      <c r="B32" s="56"/>
      <c r="C32" s="56" t="str">
        <f>Currency&amp;"/unit"</f>
        <v>USD/unit</v>
      </c>
      <c r="D32" s="56" t="str">
        <f>Currency&amp;"/unit"</f>
        <v>USD/unit</v>
      </c>
      <c r="E32" s="56" t="str">
        <f>Currency&amp;"/unit"</f>
        <v>USD/unit</v>
      </c>
      <c r="F32" s="56" t="str">
        <f>Currency&amp;"/unit"</f>
        <v>USD/unit</v>
      </c>
      <c r="G32" s="56" t="str">
        <f>Currency&amp;"/unit"</f>
        <v>USD/unit</v>
      </c>
      <c r="H32" s="56" t="str">
        <f>Currency&amp;"/unit"</f>
        <v>USD/unit</v>
      </c>
      <c r="I32" s="56" t="str">
        <f>Currency&amp;"/unit"</f>
        <v>USD/unit</v>
      </c>
      <c r="J32" s="56" t="str">
        <f>Currency&amp;"/yr"</f>
        <v>USD/yr</v>
      </c>
      <c r="K32" s="56" t="str">
        <f>Currency&amp;"/yr"</f>
        <v>USD/yr</v>
      </c>
      <c r="L32" s="56" t="s">
        <v>135</v>
      </c>
    </row>
    <row r="33" spans="2:12">
      <c r="B33" s="57" t="str">
        <f>IFERROR(INDEX('TCO Model'!$D$14:$G$14,1)&amp;"","")</f>
        <v>Current: China supplier</v>
      </c>
      <c r="C33" s="38">
        <f>IFERROR(INDEX('TCO Model'!$D$15:$G$15,1)+0,0)</f>
        <v>6.1</v>
      </c>
      <c r="D33" s="38">
        <f>IFERROR(INDEX('TCO Model'!$D$16:$G$16,1)+INDEX('TCO Model'!$D$17:$G$17,1)+INDEX('TCO Model'!$D$18:$G$18,1),0)</f>
        <v>0.85</v>
      </c>
      <c r="E33" s="38">
        <f>IFERROR(INDEX('TCO Model'!$D$28:$G$28,1)+INDEX('TCO Model'!$D$29:$G$29,1),0)</f>
        <v>1.7629</v>
      </c>
      <c r="F33" s="38">
        <f>IFERROR(INDEX('TCO Model'!$D$31:$G$31,1)+0,0)</f>
        <v>0.368622692307692</v>
      </c>
      <c r="G33" s="38">
        <f>IFERROR(INDEX('TCO Model'!$D$32:$G$32,1)+INDEX('TCO Model'!$D$33:$G$33,1),0)</f>
        <v>1.1</v>
      </c>
      <c r="H33" s="38">
        <f>IFERROR(INDEX('TCO Model'!$D$34:$G$34,1)+0,0)</f>
        <v>0</v>
      </c>
      <c r="I33" s="39">
        <f>IFERROR(INDEX('TCO Model'!$D$35:$G$35,1)+0,0)</f>
        <v>10.1815226923077</v>
      </c>
      <c r="J33" s="58">
        <f>IFERROR(INDEX('TCO Model'!$D$36:$G$36,1)+0,0)</f>
        <v>407260.907692308</v>
      </c>
      <c r="K33" s="43">
        <f>IFERROR(INDEX('TCO Model'!$D$38:$G$38,1)+0,"")</f>
        <v>0</v>
      </c>
      <c r="L33" s="42">
        <f>IF(1=1,"",IFERROR(INDEX('TCO Model'!$D$41:$G$41,1)+0,""))</f>
        <v/>
      </c>
    </row>
    <row r="34" spans="2:12">
      <c r="B34" s="57" t="str">
        <f>IFERROR(INDEX('TCO Model'!$D$14:$G$14,2)&amp;"","")</f>
        <v>Mexico supplier</v>
      </c>
      <c r="C34" s="38">
        <f>IFERROR(INDEX('TCO Model'!$D$15:$G$15,2)+0,0)</f>
        <v>7.2</v>
      </c>
      <c r="D34" s="38">
        <f>IFERROR(INDEX('TCO Model'!$D$16:$G$16,2)+INDEX('TCO Model'!$D$17:$G$17,2)+INDEX('TCO Model'!$D$18:$G$18,2),0)</f>
        <v>0.5</v>
      </c>
      <c r="E34" s="38">
        <f>IFERROR(INDEX('TCO Model'!$D$28:$G$28,2)+INDEX('TCO Model'!$D$29:$G$29,2),0)</f>
        <v>0</v>
      </c>
      <c r="F34" s="38">
        <f>IFERROR(INDEX('TCO Model'!$D$31:$G$31,2)+0,0)</f>
        <v>0.114019230769231</v>
      </c>
      <c r="G34" s="38">
        <f>IFERROR(INDEX('TCO Model'!$D$32:$G$32,2)+INDEX('TCO Model'!$D$33:$G$33,2),0)</f>
        <v>0.435</v>
      </c>
      <c r="H34" s="38">
        <f>IFERROR(INDEX('TCO Model'!$D$34:$G$34,2)+0,0)</f>
        <v>0.425</v>
      </c>
      <c r="I34" s="39">
        <f>IFERROR(INDEX('TCO Model'!$D$35:$G$35,2)+0,0)</f>
        <v>8.67401923076923</v>
      </c>
      <c r="J34" s="58">
        <f>IFERROR(INDEX('TCO Model'!$D$36:$G$36,2)+0,0)</f>
        <v>346960.769230769</v>
      </c>
      <c r="K34" s="43">
        <f>IFERROR(INDEX('TCO Model'!$D$38:$G$38,2)+0,"")</f>
        <v>-60300.1384615384</v>
      </c>
      <c r="L34" s="42">
        <f>IF(2=1,"",IFERROR(INDEX('TCO Model'!$D$41:$G$41,2)+0,""))</f>
        <v>0.0128994616175674</v>
      </c>
    </row>
    <row r="35" spans="2:12">
      <c r="B35" s="57" t="str">
        <f>IFERROR(INDEX('TCO Model'!$D$14:$G$14,3)&amp;"","")</f>
        <v>Own plant (reshore)</v>
      </c>
      <c r="C35" s="38">
        <f>IFERROR(INDEX('TCO Model'!$D$15:$G$15,3)+0,0)</f>
        <v>8.3</v>
      </c>
      <c r="D35" s="38">
        <f>IFERROR(INDEX('TCO Model'!$D$16:$G$16,3)+INDEX('TCO Model'!$D$17:$G$17,3)+INDEX('TCO Model'!$D$18:$G$18,3),0)</f>
        <v>0.11</v>
      </c>
      <c r="E35" s="38">
        <f>IFERROR(INDEX('TCO Model'!$D$28:$G$28,3)+INDEX('TCO Model'!$D$29:$G$29,3),0)</f>
        <v>0</v>
      </c>
      <c r="F35" s="38">
        <f>IFERROR(INDEX('TCO Model'!$D$31:$G$31,3)+0,0)</f>
        <v>0.0355807692307692</v>
      </c>
      <c r="G35" s="38">
        <f>IFERROR(INDEX('TCO Model'!$D$32:$G$32,3)+INDEX('TCO Model'!$D$33:$G$33,3),0)</f>
        <v>0.082</v>
      </c>
      <c r="H35" s="38">
        <f>IFERROR(INDEX('TCO Model'!$D$34:$G$34,3)+0,0)</f>
        <v>1.3</v>
      </c>
      <c r="I35" s="39">
        <f>IFERROR(INDEX('TCO Model'!$D$35:$G$35,3)+0,0)</f>
        <v>9.82758076923077</v>
      </c>
      <c r="J35" s="58">
        <f>IFERROR(INDEX('TCO Model'!$D$36:$G$36,3)+0,0)</f>
        <v>393103.230769231</v>
      </c>
      <c r="K35" s="43">
        <f>IFERROR(INDEX('TCO Model'!$D$38:$G$38,3)+0,"")</f>
        <v>-14157.6769230767</v>
      </c>
      <c r="L35" s="42">
        <f>IF(3=1,"",IFERROR(INDEX('TCO Model'!$D$41:$G$41,3)+0,""))</f>
        <v>0.194331921843809</v>
      </c>
    </row>
    <row r="36" spans="2:12">
      <c r="B36" s="57" t="str">
        <f>IFERROR(INDEX('TCO Model'!$D$14:$G$14,4)&amp;"","")</f>
        <v>Domestic supplier</v>
      </c>
      <c r="C36" s="38">
        <f>IFERROR(INDEX('TCO Model'!$D$15:$G$15,4)+0,0)</f>
        <v>8.75</v>
      </c>
      <c r="D36" s="38">
        <f>IFERROR(INDEX('TCO Model'!$D$16:$G$16,4)+INDEX('TCO Model'!$D$17:$G$17,4)+INDEX('TCO Model'!$D$18:$G$18,4),0)</f>
        <v>0.25</v>
      </c>
      <c r="E36" s="38">
        <f>IFERROR(INDEX('TCO Model'!$D$28:$G$28,4)+INDEX('TCO Model'!$D$29:$G$29,4),0)</f>
        <v>0</v>
      </c>
      <c r="F36" s="38">
        <f>IFERROR(INDEX('TCO Model'!$D$31:$G$31,4)+0,0)</f>
        <v>0.0951923076923077</v>
      </c>
      <c r="G36" s="38">
        <f>IFERROR(INDEX('TCO Model'!$D$32:$G$32,4)+INDEX('TCO Model'!$D$33:$G$33,4),0)</f>
        <v>0.265</v>
      </c>
      <c r="H36" s="38">
        <f>IFERROR(INDEX('TCO Model'!$D$34:$G$34,4)+0,0)</f>
        <v>0.3</v>
      </c>
      <c r="I36" s="39">
        <f>IFERROR(INDEX('TCO Model'!$D$35:$G$35,4)+0,0)</f>
        <v>9.66019230769231</v>
      </c>
      <c r="J36" s="58">
        <f>IFERROR(INDEX('TCO Model'!$D$36:$G$36,4)+0,0)</f>
        <v>386407.692307692</v>
      </c>
      <c r="K36" s="43">
        <f>IFERROR(INDEX('TCO Model'!$D$38:$G$38,4)+0,"")</f>
        <v>-20853.2153846154</v>
      </c>
      <c r="L36" s="42">
        <f>IF(4=1,"",IFERROR(INDEX('TCO Model'!$D$41:$G$41,4)+0,""))</f>
        <v>0.168005020869881</v>
      </c>
    </row>
    <row r="38" spans="2:12">
      <c r="B38" s="55" t="s">
        <v>136</v>
      </c>
      <c r="C38" s="55"/>
      <c r="D38" s="55"/>
      <c r="E38" s="55"/>
      <c r="F38" s="55"/>
    </row>
    <row r="39" spans="2:12" ht="20" customHeight="1">
      <c r="B39" s="35" t="s">
        <v>137</v>
      </c>
      <c r="C39" s="36" t="s">
        <v>138</v>
      </c>
      <c r="D39" s="36" t="s">
        <v>139</v>
      </c>
      <c r="E39" s="36" t="s">
        <v>140</v>
      </c>
      <c r="F39" s="36" t="s">
        <v>141</v>
      </c>
    </row>
    <row r="40" spans="2:12" ht="14" customHeight="1">
      <c r="B40" s="56"/>
      <c r="C40" s="56" t="str">
        <f>Currency&amp;"/unit"</f>
        <v>USD/unit</v>
      </c>
      <c r="D40" s="56" t="str">
        <f>Currency&amp;"/unit"</f>
        <v>USD/unit</v>
      </c>
      <c r="E40" s="56" t="str">
        <f>Currency&amp;"/unit"</f>
        <v>USD/unit</v>
      </c>
      <c r="F40" s="56" t="str">
        <f>Currency&amp;"/unit"</f>
        <v>USD/unit</v>
      </c>
    </row>
    <row r="41" spans="2:12">
      <c r="B41" s="59">
        <v>0</v>
      </c>
      <c r="C41" s="38">
        <f>IFERROR(INDEX('TCO Model'!$D$35:$G$35,1)+($B$41-INDEX('TCO Model'!$D$20:$G$20,1))*INDEX('TCO Model'!$D$27:$G$27,1)*(1+CarryRate*(INDEX('TCO Model'!$D$21:$G$21,1)+INDEX('TCO Model'!$D$22:$G$22,1))/52),"")</f>
        <v>8.59200346153846</v>
      </c>
      <c r="D41" s="38">
        <f>IFERROR(INDEX('TCO Model'!$D$35:$G$35,2)+0,"")</f>
        <v>8.67401923076923</v>
      </c>
      <c r="E41" s="38">
        <f>IFERROR(INDEX('TCO Model'!$D$35:$G$35,3)+0,"")</f>
        <v>9.82758076923077</v>
      </c>
      <c r="F41" s="38">
        <f>IFERROR(INDEX('TCO Model'!$D$35:$G$35,4)+0,"")</f>
        <v>9.66019230769231</v>
      </c>
    </row>
    <row r="42" spans="2:12">
      <c r="B42" s="59">
        <f>$B$41+0.05</f>
        <v>0.05</v>
      </c>
      <c r="C42" s="38">
        <f>IFERROR(INDEX('TCO Model'!$D$35:$G$35,1)+($B$42-INDEX('TCO Model'!$D$20:$G$20,1))*INDEX('TCO Model'!$D$27:$G$27,1)*(1+CarryRate*(INDEX('TCO Model'!$D$21:$G$21,1)+INDEX('TCO Model'!$D$22:$G$22,1))/52),"")</f>
        <v>8.90990730769231</v>
      </c>
      <c r="D42" s="38">
        <f>IFERROR(INDEX('TCO Model'!$D$35:$G$35,2)+0,"")</f>
        <v>8.67401923076923</v>
      </c>
      <c r="E42" s="38">
        <f>IFERROR(INDEX('TCO Model'!$D$35:$G$35,3)+0,"")</f>
        <v>9.82758076923077</v>
      </c>
      <c r="F42" s="38">
        <f>IFERROR(INDEX('TCO Model'!$D$35:$G$35,4)+0,"")</f>
        <v>9.66019230769231</v>
      </c>
    </row>
    <row r="43" spans="2:12">
      <c r="B43" s="59">
        <f>$B$42+0.05</f>
        <v>0.1</v>
      </c>
      <c r="C43" s="38">
        <f>IFERROR(INDEX('TCO Model'!$D$35:$G$35,1)+($B$43-INDEX('TCO Model'!$D$20:$G$20,1))*INDEX('TCO Model'!$D$27:$G$27,1)*(1+CarryRate*(INDEX('TCO Model'!$D$21:$G$21,1)+INDEX('TCO Model'!$D$22:$G$22,1))/52),"")</f>
        <v>9.22781115384615</v>
      </c>
      <c r="D43" s="38">
        <f>IFERROR(INDEX('TCO Model'!$D$35:$G$35,2)+0,"")</f>
        <v>8.67401923076923</v>
      </c>
      <c r="E43" s="38">
        <f>IFERROR(INDEX('TCO Model'!$D$35:$G$35,3)+0,"")</f>
        <v>9.82758076923077</v>
      </c>
      <c r="F43" s="38">
        <f>IFERROR(INDEX('TCO Model'!$D$35:$G$35,4)+0,"")</f>
        <v>9.66019230769231</v>
      </c>
    </row>
    <row r="44" spans="2:12">
      <c r="B44" s="59">
        <f>$B$43+0.05</f>
        <v>0.15</v>
      </c>
      <c r="C44" s="38">
        <f>IFERROR(INDEX('TCO Model'!$D$35:$G$35,1)+($B$44-INDEX('TCO Model'!$D$20:$G$20,1))*INDEX('TCO Model'!$D$27:$G$27,1)*(1+CarryRate*(INDEX('TCO Model'!$D$21:$G$21,1)+INDEX('TCO Model'!$D$22:$G$22,1))/52),"")</f>
        <v>9.545715</v>
      </c>
      <c r="D44" s="38">
        <f>IFERROR(INDEX('TCO Model'!$D$35:$G$35,2)+0,"")</f>
        <v>8.67401923076923</v>
      </c>
      <c r="E44" s="38">
        <f>IFERROR(INDEX('TCO Model'!$D$35:$G$35,3)+0,"")</f>
        <v>9.82758076923077</v>
      </c>
      <c r="F44" s="38">
        <f>IFERROR(INDEX('TCO Model'!$D$35:$G$35,4)+0,"")</f>
        <v>9.66019230769231</v>
      </c>
    </row>
    <row r="45" spans="2:12">
      <c r="B45" s="59">
        <f>$B$44+0.05</f>
        <v>0.2</v>
      </c>
      <c r="C45" s="38">
        <f>IFERROR(INDEX('TCO Model'!$D$35:$G$35,1)+($B$45-INDEX('TCO Model'!$D$20:$G$20,1))*INDEX('TCO Model'!$D$27:$G$27,1)*(1+CarryRate*(INDEX('TCO Model'!$D$21:$G$21,1)+INDEX('TCO Model'!$D$22:$G$22,1))/52),"")</f>
        <v>9.86361884615385</v>
      </c>
      <c r="D45" s="38">
        <f>IFERROR(INDEX('TCO Model'!$D$35:$G$35,2)+0,"")</f>
        <v>8.67401923076923</v>
      </c>
      <c r="E45" s="38">
        <f>IFERROR(INDEX('TCO Model'!$D$35:$G$35,3)+0,"")</f>
        <v>9.82758076923077</v>
      </c>
      <c r="F45" s="38">
        <f>IFERROR(INDEX('TCO Model'!$D$35:$G$35,4)+0,"")</f>
        <v>9.66019230769231</v>
      </c>
    </row>
    <row r="46" spans="2:12">
      <c r="B46" s="59">
        <f>$B$45+0.05</f>
        <v>0.25</v>
      </c>
      <c r="C46" s="38">
        <f>IFERROR(INDEX('TCO Model'!$D$35:$G$35,1)+($B$46-INDEX('TCO Model'!$D$20:$G$20,1))*INDEX('TCO Model'!$D$27:$G$27,1)*(1+CarryRate*(INDEX('TCO Model'!$D$21:$G$21,1)+INDEX('TCO Model'!$D$22:$G$22,1))/52),"")</f>
        <v>10.1815226923077</v>
      </c>
      <c r="D46" s="38">
        <f>IFERROR(INDEX('TCO Model'!$D$35:$G$35,2)+0,"")</f>
        <v>8.67401923076923</v>
      </c>
      <c r="E46" s="38">
        <f>IFERROR(INDEX('TCO Model'!$D$35:$G$35,3)+0,"")</f>
        <v>9.82758076923077</v>
      </c>
      <c r="F46" s="38">
        <f>IFERROR(INDEX('TCO Model'!$D$35:$G$35,4)+0,"")</f>
        <v>9.66019230769231</v>
      </c>
    </row>
    <row r="47" spans="2:12">
      <c r="B47" s="59">
        <f>$B$46+0.05</f>
        <v>0.3</v>
      </c>
      <c r="C47" s="38">
        <f>IFERROR(INDEX('TCO Model'!$D$35:$G$35,1)+($B$47-INDEX('TCO Model'!$D$20:$G$20,1))*INDEX('TCO Model'!$D$27:$G$27,1)*(1+CarryRate*(INDEX('TCO Model'!$D$21:$G$21,1)+INDEX('TCO Model'!$D$22:$G$22,1))/52),"")</f>
        <v>10.4994265384615</v>
      </c>
      <c r="D47" s="38">
        <f>IFERROR(INDEX('TCO Model'!$D$35:$G$35,2)+0,"")</f>
        <v>8.67401923076923</v>
      </c>
      <c r="E47" s="38">
        <f>IFERROR(INDEX('TCO Model'!$D$35:$G$35,3)+0,"")</f>
        <v>9.82758076923077</v>
      </c>
      <c r="F47" s="38">
        <f>IFERROR(INDEX('TCO Model'!$D$35:$G$35,4)+0,"")</f>
        <v>9.66019230769231</v>
      </c>
    </row>
    <row r="48" spans="2:12">
      <c r="B48" s="59">
        <f>$B$47+0.05</f>
        <v>0.35</v>
      </c>
      <c r="C48" s="38">
        <f>IFERROR(INDEX('TCO Model'!$D$35:$G$35,1)+($B$48-INDEX('TCO Model'!$D$20:$G$20,1))*INDEX('TCO Model'!$D$27:$G$27,1)*(1+CarryRate*(INDEX('TCO Model'!$D$21:$G$21,1)+INDEX('TCO Model'!$D$22:$G$22,1))/52),"")</f>
        <v>10.8173303846154</v>
      </c>
      <c r="D48" s="38">
        <f>IFERROR(INDEX('TCO Model'!$D$35:$G$35,2)+0,"")</f>
        <v>8.67401923076923</v>
      </c>
      <c r="E48" s="38">
        <f>IFERROR(INDEX('TCO Model'!$D$35:$G$35,3)+0,"")</f>
        <v>9.82758076923077</v>
      </c>
      <c r="F48" s="38">
        <f>IFERROR(INDEX('TCO Model'!$D$35:$G$35,4)+0,"")</f>
        <v>9.66019230769231</v>
      </c>
    </row>
    <row r="49" spans="2:12">
      <c r="B49" s="59">
        <f>$B$48+0.05</f>
        <v>0.4</v>
      </c>
      <c r="C49" s="38">
        <f>IFERROR(INDEX('TCO Model'!$D$35:$G$35,1)+($B$49-INDEX('TCO Model'!$D$20:$G$20,1))*INDEX('TCO Model'!$D$27:$G$27,1)*(1+CarryRate*(INDEX('TCO Model'!$D$21:$G$21,1)+INDEX('TCO Model'!$D$22:$G$22,1))/52),"")</f>
        <v>11.1352342307692</v>
      </c>
      <c r="D49" s="38">
        <f>IFERROR(INDEX('TCO Model'!$D$35:$G$35,2)+0,"")</f>
        <v>8.67401923076923</v>
      </c>
      <c r="E49" s="38">
        <f>IFERROR(INDEX('TCO Model'!$D$35:$G$35,3)+0,"")</f>
        <v>9.82758076923077</v>
      </c>
      <c r="F49" s="38">
        <f>IFERROR(INDEX('TCO Model'!$D$35:$G$35,4)+0,"")</f>
        <v>9.66019230769231</v>
      </c>
    </row>
    <row r="50" spans="2:12">
      <c r="B50" s="59">
        <f>$B$49+0.05</f>
        <v>0.45</v>
      </c>
      <c r="C50" s="38">
        <f>IFERROR(INDEX('TCO Model'!$D$35:$G$35,1)+($B$50-INDEX('TCO Model'!$D$20:$G$20,1))*INDEX('TCO Model'!$D$27:$G$27,1)*(1+CarryRate*(INDEX('TCO Model'!$D$21:$G$21,1)+INDEX('TCO Model'!$D$22:$G$22,1))/52),"")</f>
        <v>11.4531380769231</v>
      </c>
      <c r="D50" s="38">
        <f>IFERROR(INDEX('TCO Model'!$D$35:$G$35,2)+0,"")</f>
        <v>8.67401923076923</v>
      </c>
      <c r="E50" s="38">
        <f>IFERROR(INDEX('TCO Model'!$D$35:$G$35,3)+0,"")</f>
        <v>9.82758076923077</v>
      </c>
      <c r="F50" s="38">
        <f>IFERROR(INDEX('TCO Model'!$D$35:$G$35,4)+0,"")</f>
        <v>9.66019230769231</v>
      </c>
    </row>
    <row r="51" spans="2:12">
      <c r="B51" s="59">
        <f>$B$50+0.05</f>
        <v>0.5</v>
      </c>
      <c r="C51" s="38">
        <f>IFERROR(INDEX('TCO Model'!$D$35:$G$35,1)+($B$51-INDEX('TCO Model'!$D$20:$G$20,1))*INDEX('TCO Model'!$D$27:$G$27,1)*(1+CarryRate*(INDEX('TCO Model'!$D$21:$G$21,1)+INDEX('TCO Model'!$D$22:$G$22,1))/52),"")</f>
        <v>11.7710419230769</v>
      </c>
      <c r="D51" s="38">
        <f>IFERROR(INDEX('TCO Model'!$D$35:$G$35,2)+0,"")</f>
        <v>8.67401923076923</v>
      </c>
      <c r="E51" s="38">
        <f>IFERROR(INDEX('TCO Model'!$D$35:$G$35,3)+0,"")</f>
        <v>9.82758076923077</v>
      </c>
      <c r="F51" s="38">
        <f>IFERROR(INDEX('TCO Model'!$D$35:$G$35,4)+0,"")</f>
        <v>9.66019230769231</v>
      </c>
    </row>
    <row r="52" spans="2:12">
      <c r="B52" s="59">
        <f>$B$51+0.05</f>
        <v>0.55</v>
      </c>
      <c r="C52" s="38">
        <f>IFERROR(INDEX('TCO Model'!$D$35:$G$35,1)+($B$52-INDEX('TCO Model'!$D$20:$G$20,1))*INDEX('TCO Model'!$D$27:$G$27,1)*(1+CarryRate*(INDEX('TCO Model'!$D$21:$G$21,1)+INDEX('TCO Model'!$D$22:$G$22,1))/52),"")</f>
        <v>12.0889457692308</v>
      </c>
      <c r="D52" s="38">
        <f>IFERROR(INDEX('TCO Model'!$D$35:$G$35,2)+0,"")</f>
        <v>8.67401923076923</v>
      </c>
      <c r="E52" s="38">
        <f>IFERROR(INDEX('TCO Model'!$D$35:$G$35,3)+0,"")</f>
        <v>9.82758076923077</v>
      </c>
      <c r="F52" s="38">
        <f>IFERROR(INDEX('TCO Model'!$D$35:$G$35,4)+0,"")</f>
        <v>9.66019230769231</v>
      </c>
    </row>
    <row r="53" spans="2:12">
      <c r="B53" s="59">
        <f>$B$52+0.05</f>
        <v>0.6</v>
      </c>
      <c r="C53" s="38">
        <f>IFERROR(INDEX('TCO Model'!$D$35:$G$35,1)+($B$53-INDEX('TCO Model'!$D$20:$G$20,1))*INDEX('TCO Model'!$D$27:$G$27,1)*(1+CarryRate*(INDEX('TCO Model'!$D$21:$G$21,1)+INDEX('TCO Model'!$D$22:$G$22,1))/52),"")</f>
        <v>12.4068496153846</v>
      </c>
      <c r="D53" s="38">
        <f>IFERROR(INDEX('TCO Model'!$D$35:$G$35,2)+0,"")</f>
        <v>8.67401923076923</v>
      </c>
      <c r="E53" s="38">
        <f>IFERROR(INDEX('TCO Model'!$D$35:$G$35,3)+0,"")</f>
        <v>9.82758076923077</v>
      </c>
      <c r="F53" s="38">
        <f>IFERROR(INDEX('TCO Model'!$D$35:$G$35,4)+0,"")</f>
        <v>9.66019230769231</v>
      </c>
    </row>
    <row r="54" spans="2:12" ht="8" customHeight="1"/>
    <row r="55" spans="2:12" ht="26.76" customHeight="1">
      <c r="B55" s="21" t="s">
        <v>142</v>
      </c>
      <c r="C55" s="21"/>
      <c r="D55" s="21"/>
      <c r="E55" s="21"/>
      <c r="F55" s="21"/>
      <c r="G55" s="21"/>
      <c r="H55" s="21"/>
      <c r="I55" s="21"/>
      <c r="J55" s="21"/>
      <c r="K55" s="21"/>
      <c r="L55" s="21"/>
    </row>
  </sheetData>
  <sheetProtection sheet="1" formatColumns="0" formatRows="0"/>
  <mergeCells count="23">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L30"/>
    <mergeCell ref="B38:F38"/>
    <mergeCell ref="B55:L55"/>
  </mergeCells>
  <hyperlinks>
    <hyperlink ref="K2" r:id="rId1" tooltip="Free manufacturing calculators and templates"/>
  </hyperlinks>
  <pageMargins left="0.4" right="0.4" top="0.7" bottom="0.65" header="0.3" footer="0.3"/>
  <pageSetup fitToHeight="0" orientation="landscape"/>
  <headerFooter>
    <oddHeader>&amp;L&amp;8MFG Calcs - Reshoring Total Cost of Ownership&amp;R&amp;8&amp;A</oddHeader>
    <oddFooter>&amp;L&amp;8mfgcalcs.com - free manufacturing templates&amp;R&amp;8Page &amp;P of &amp;N</oddFooter>
  </headerFooter>
  <rowBreaks count="1" manualBreakCount="1">
    <brk id="29"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143</v>
      </c>
      <c r="C4" s="8"/>
      <c r="D4" s="8"/>
    </row>
    <row r="5" spans="1:4" ht="5" customHeight="1"/>
    <row r="6" spans="1:4" ht="55.8" customHeight="1">
      <c r="B6" s="10" t="s">
        <v>144</v>
      </c>
      <c r="C6" s="10"/>
      <c r="D6" s="10"/>
    </row>
    <row r="8" spans="1:4" ht="21" customHeight="1">
      <c r="B8" s="8" t="s">
        <v>145</v>
      </c>
      <c r="C8" s="8"/>
      <c r="D8" s="8"/>
    </row>
    <row r="9" spans="1:4" ht="5" customHeight="1"/>
    <row r="10" spans="1:4" ht="20" customHeight="1">
      <c r="B10" s="35" t="s">
        <v>146</v>
      </c>
      <c r="C10" s="35" t="s">
        <v>147</v>
      </c>
      <c r="D10" s="36" t="s">
        <v>148</v>
      </c>
    </row>
    <row r="11" spans="1:4" ht="17.2" customHeight="1">
      <c r="B11" s="60" t="s">
        <v>102</v>
      </c>
      <c r="C11" s="61" t="s">
        <v>149</v>
      </c>
      <c r="D11" s="62" t="s">
        <v>150</v>
      </c>
    </row>
    <row r="12" spans="1:4" ht="17.2" customHeight="1">
      <c r="B12" s="60" t="s">
        <v>151</v>
      </c>
      <c r="C12" s="61" t="s">
        <v>152</v>
      </c>
      <c r="D12" s="62" t="s">
        <v>150</v>
      </c>
    </row>
    <row r="13" spans="1:4" ht="30.4" customHeight="1">
      <c r="B13" s="60" t="s">
        <v>105</v>
      </c>
      <c r="C13" s="61" t="s">
        <v>153</v>
      </c>
      <c r="D13" s="62" t="s">
        <v>150</v>
      </c>
    </row>
    <row r="14" spans="1:4" ht="30.4" customHeight="1">
      <c r="B14" s="60" t="s">
        <v>129</v>
      </c>
      <c r="C14" s="61" t="s">
        <v>154</v>
      </c>
      <c r="D14" s="62" t="s">
        <v>150</v>
      </c>
    </row>
    <row r="15" spans="1:4" ht="17.2" customHeight="1">
      <c r="B15" s="60" t="s">
        <v>107</v>
      </c>
      <c r="C15" s="61" t="s">
        <v>155</v>
      </c>
      <c r="D15" s="62" t="s">
        <v>150</v>
      </c>
    </row>
    <row r="16" spans="1:4" ht="30.4" customHeight="1">
      <c r="B16" s="60" t="s">
        <v>108</v>
      </c>
      <c r="C16" s="61" t="s">
        <v>156</v>
      </c>
      <c r="D16" s="62" t="s">
        <v>150</v>
      </c>
    </row>
    <row r="17" spans="2:4" ht="17.2" customHeight="1">
      <c r="B17" s="60" t="s">
        <v>109</v>
      </c>
      <c r="C17" s="61" t="s">
        <v>157</v>
      </c>
      <c r="D17" s="62" t="s">
        <v>150</v>
      </c>
    </row>
    <row r="18" spans="2:4" ht="30.4" customHeight="1">
      <c r="B18" s="60" t="s">
        <v>110</v>
      </c>
      <c r="C18" s="61" t="s">
        <v>158</v>
      </c>
      <c r="D18" s="62" t="s">
        <v>150</v>
      </c>
    </row>
    <row r="19" spans="2:4" ht="17.2" customHeight="1">
      <c r="B19" s="60" t="s">
        <v>112</v>
      </c>
      <c r="C19" s="61" t="s">
        <v>159</v>
      </c>
      <c r="D19" s="62" t="s">
        <v>116</v>
      </c>
    </row>
    <row r="20" spans="2:4" ht="30.4" customHeight="1">
      <c r="B20" s="60" t="s">
        <v>160</v>
      </c>
      <c r="C20" s="61" t="s">
        <v>161</v>
      </c>
      <c r="D20" s="62" t="s">
        <v>162</v>
      </c>
    </row>
    <row r="21" spans="2:4" ht="43.6" customHeight="1">
      <c r="B21" s="60" t="s">
        <v>163</v>
      </c>
      <c r="C21" s="61" t="s">
        <v>164</v>
      </c>
      <c r="D21" s="62" t="s">
        <v>118</v>
      </c>
    </row>
    <row r="22" spans="2:4" ht="43.6" customHeight="1">
      <c r="B22" s="60" t="s">
        <v>165</v>
      </c>
      <c r="C22" s="61" t="s">
        <v>166</v>
      </c>
      <c r="D22" s="62" t="s">
        <v>116</v>
      </c>
    </row>
    <row r="23" spans="2:4" ht="30.4" customHeight="1">
      <c r="B23" s="60" t="s">
        <v>167</v>
      </c>
      <c r="C23" s="61" t="s">
        <v>168</v>
      </c>
      <c r="D23" s="62" t="s">
        <v>150</v>
      </c>
    </row>
    <row r="25" spans="2:4" ht="21" customHeight="1">
      <c r="B25" s="8" t="s">
        <v>169</v>
      </c>
      <c r="C25" s="8"/>
      <c r="D25" s="8"/>
    </row>
    <row r="26" spans="2:4" ht="5" customHeight="1"/>
    <row r="27" spans="2:4" ht="29.4" customHeight="1">
      <c r="B27" s="26" t="s">
        <v>53</v>
      </c>
      <c r="C27" s="10" t="s">
        <v>170</v>
      </c>
      <c r="D27" s="10"/>
    </row>
    <row r="28" spans="2:4" ht="29.4" customHeight="1">
      <c r="B28" s="26" t="s">
        <v>53</v>
      </c>
      <c r="C28" s="10" t="s">
        <v>171</v>
      </c>
      <c r="D28" s="10"/>
    </row>
    <row r="29" spans="2:4" ht="29.4" customHeight="1">
      <c r="B29" s="26" t="s">
        <v>53</v>
      </c>
      <c r="C29" s="10" t="s">
        <v>172</v>
      </c>
      <c r="D29" s="10"/>
    </row>
    <row r="30" spans="2:4" ht="29.4" customHeight="1">
      <c r="B30" s="26" t="s">
        <v>53</v>
      </c>
      <c r="C30" s="10" t="s">
        <v>173</v>
      </c>
      <c r="D30" s="10"/>
    </row>
    <row r="32" spans="2:4" ht="21" customHeight="1">
      <c r="B32" s="8" t="s">
        <v>174</v>
      </c>
      <c r="C32" s="8"/>
      <c r="D32" s="8"/>
    </row>
    <row r="33" spans="2:4" ht="5" customHeight="1"/>
    <row r="34" spans="2:4" ht="29.4" customHeight="1">
      <c r="B34" s="26" t="s">
        <v>53</v>
      </c>
      <c r="C34" s="10" t="s">
        <v>175</v>
      </c>
      <c r="D34" s="10"/>
    </row>
    <row r="35" spans="2:4" ht="29.4" customHeight="1">
      <c r="B35" s="26" t="s">
        <v>53</v>
      </c>
      <c r="C35" s="10" t="s">
        <v>176</v>
      </c>
      <c r="D35" s="10"/>
    </row>
    <row r="36" spans="2:4" ht="29.4" customHeight="1">
      <c r="B36" s="26" t="s">
        <v>53</v>
      </c>
      <c r="C36" s="10" t="s">
        <v>177</v>
      </c>
      <c r="D36" s="10"/>
    </row>
    <row r="37" spans="2:4" ht="16.2" customHeight="1">
      <c r="B37" s="26" t="s">
        <v>53</v>
      </c>
      <c r="C37" s="10" t="s">
        <v>178</v>
      </c>
      <c r="D37" s="10"/>
    </row>
    <row r="39" spans="2:4" ht="21" customHeight="1">
      <c r="B39" s="8" t="s">
        <v>179</v>
      </c>
      <c r="C39" s="8"/>
      <c r="D39" s="8"/>
    </row>
    <row r="40" spans="2:4" ht="5" customHeight="1"/>
    <row r="41" spans="2:4" ht="82.2" customHeight="1">
      <c r="B41" s="10" t="s">
        <v>180</v>
      </c>
      <c r="C41" s="10"/>
      <c r="D41" s="10"/>
    </row>
    <row r="42" spans="2:4">
      <c r="B42" s="24" t="s">
        <v>181</v>
      </c>
      <c r="C42" s="24"/>
      <c r="D42" s="24"/>
    </row>
    <row r="44" spans="2:4" ht="21" customHeight="1">
      <c r="B44" s="8" t="s">
        <v>40</v>
      </c>
      <c r="C44" s="8"/>
      <c r="D44" s="8"/>
    </row>
    <row r="45" spans="2:4" ht="5" customHeight="1"/>
    <row r="46" spans="2:4" ht="42.6" customHeight="1">
      <c r="B46" s="10" t="s">
        <v>182</v>
      </c>
      <c r="C46" s="10"/>
      <c r="D46" s="10"/>
    </row>
    <row r="48" spans="2:4" ht="21" customHeight="1">
      <c r="B48" s="8" t="s">
        <v>183</v>
      </c>
      <c r="C48" s="8"/>
      <c r="D48" s="8"/>
    </row>
    <row r="49" spans="2:4" ht="5" customHeight="1"/>
    <row r="50" spans="2:4" ht="42.6" customHeight="1">
      <c r="B50" s="26" t="s">
        <v>53</v>
      </c>
      <c r="C50" s="10" t="s">
        <v>184</v>
      </c>
      <c r="D50" s="10"/>
    </row>
    <row r="51" spans="2:4" ht="29.4" customHeight="1">
      <c r="B51" s="26" t="s">
        <v>53</v>
      </c>
      <c r="C51" s="10" t="s">
        <v>185</v>
      </c>
      <c r="D51" s="10"/>
    </row>
    <row r="52" spans="2:4" ht="16.2" customHeight="1">
      <c r="B52" s="26" t="s">
        <v>53</v>
      </c>
      <c r="C52" s="10" t="s">
        <v>186</v>
      </c>
      <c r="D52" s="10"/>
    </row>
    <row r="53" spans="2:4" ht="29.4" customHeight="1">
      <c r="B53" s="26" t="s">
        <v>53</v>
      </c>
      <c r="C53" s="10" t="s">
        <v>187</v>
      </c>
      <c r="D53" s="10"/>
    </row>
    <row r="54" spans="2:4">
      <c r="B54" s="21" t="s">
        <v>188</v>
      </c>
      <c r="C54" s="21"/>
      <c r="D54" s="21"/>
    </row>
    <row r="56" spans="2:4" ht="21" customHeight="1">
      <c r="B56" s="8" t="s">
        <v>189</v>
      </c>
      <c r="C56" s="8"/>
      <c r="D56" s="8"/>
    </row>
    <row r="57" spans="2:4" ht="5" customHeight="1"/>
    <row r="58" spans="2:4">
      <c r="B58" s="35" t="s">
        <v>48</v>
      </c>
      <c r="C58" s="35" t="s">
        <v>190</v>
      </c>
      <c r="D58" s="36" t="s">
        <v>191</v>
      </c>
    </row>
    <row r="59" spans="2:4" ht="16.2" customHeight="1">
      <c r="B59" s="63" t="s">
        <v>192</v>
      </c>
      <c r="C59" s="64" t="s">
        <v>193</v>
      </c>
      <c r="D59" s="65" t="s">
        <v>194</v>
      </c>
    </row>
    <row r="61" spans="2:4">
      <c r="B61" s="21" t="s">
        <v>59</v>
      </c>
      <c r="C61" s="21"/>
      <c r="D61" s="21"/>
    </row>
  </sheetData>
  <sheetProtection sheet="1" formatColumns="0" formatRows="0"/>
  <mergeCells count="28">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C53:D53"/>
    <mergeCell ref="B54:D54"/>
    <mergeCell ref="B56:D56"/>
    <mergeCell ref="B61:D61"/>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Reshoring Total Cost of Ownership&amp;R&amp;8&amp;A</oddHeader>
    <oddFooter>&amp;L&amp;8mfgcalcs.com - free manufacturing templates&amp;R&amp;8Page &amp;P of &amp;N</oddFooter>
  </headerFooter>
  <rowBreaks count="2" manualBreakCount="2">
    <brk id="24" max="16383" man="1"/>
    <brk id="4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72"/>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2"/>
      <c r="L2" s="3" t="s">
        <v>2</v>
      </c>
    </row>
    <row r="3" spans="1:12" ht="6" customHeight="1"/>
    <row r="4" spans="1:12" ht="30" customHeight="1">
      <c r="B4" s="66" t="s">
        <v>195</v>
      </c>
      <c r="C4" s="66"/>
      <c r="D4" s="22" t="str">
        <f>IF(COUNTIF($K$11:$K$28,"PASS")=18,"PASS","FAIL")</f>
        <v>PASS</v>
      </c>
      <c r="E4" s="22"/>
      <c r="F4" s="23" t="str">
        <f>COUNTIF($K$11:$K$28,"PASS")&amp;" of 18 checks pass"</f>
        <v>18 of 18 checks pass</v>
      </c>
      <c r="G4" s="23"/>
      <c r="H4" s="23"/>
      <c r="I4" s="23"/>
      <c r="J4" s="23"/>
    </row>
    <row r="6" spans="1:12" ht="29.4" customHeight="1">
      <c r="B6" s="10" t="s">
        <v>196</v>
      </c>
      <c r="C6" s="10"/>
      <c r="D6" s="10"/>
      <c r="E6" s="10"/>
      <c r="F6" s="10"/>
      <c r="G6" s="10"/>
      <c r="H6" s="10"/>
      <c r="I6" s="10"/>
      <c r="J6" s="10"/>
      <c r="K6" s="10"/>
      <c r="L6" s="10"/>
    </row>
    <row r="8" spans="1:12" ht="21" customHeight="1">
      <c r="B8" s="8" t="s">
        <v>197</v>
      </c>
      <c r="C8" s="8"/>
      <c r="D8" s="8"/>
      <c r="E8" s="8"/>
      <c r="F8" s="8"/>
      <c r="G8" s="8"/>
      <c r="H8" s="8"/>
      <c r="I8" s="8"/>
      <c r="J8" s="8"/>
      <c r="K8" s="8"/>
      <c r="L8" s="8"/>
    </row>
    <row r="9" spans="1:12" ht="5" customHeight="1"/>
    <row r="10" spans="1:12" ht="30" customHeight="1">
      <c r="B10" s="36" t="s">
        <v>198</v>
      </c>
      <c r="C10" s="35" t="s">
        <v>199</v>
      </c>
      <c r="D10" s="35"/>
      <c r="E10" s="35"/>
      <c r="F10" s="35"/>
      <c r="G10" s="36" t="s">
        <v>200</v>
      </c>
      <c r="H10" s="36" t="s">
        <v>201</v>
      </c>
      <c r="I10" s="36" t="s">
        <v>202</v>
      </c>
      <c r="J10" s="36" t="s">
        <v>203</v>
      </c>
      <c r="K10" s="36" t="s">
        <v>204</v>
      </c>
    </row>
    <row r="11" spans="1:12" ht="16.2" customHeight="1">
      <c r="B11" s="67">
        <v>1</v>
      </c>
      <c r="C11" s="64" t="s">
        <v>205</v>
      </c>
      <c r="D11" s="64"/>
      <c r="E11" s="64"/>
      <c r="F11" s="64"/>
      <c r="G11" s="68">
        <v>14.25</v>
      </c>
      <c r="H11" s="38">
        <f>$F$60</f>
        <v>14.25</v>
      </c>
      <c r="I11" s="69">
        <f>IF(AND(ISNUMBER($G$11),ISNUMBER($H$11)),ABS($H$11-$G$11),"")</f>
        <v>0</v>
      </c>
      <c r="J11" s="70">
        <v>1E-09</v>
      </c>
      <c r="K11" s="46" t="str">
        <f>IF(AND(ISNUMBER($G$11),ISNUMBER($H$11)),IF(ABS($H$11-$G$11)&lt;=$J$11,"PASS","FAIL"),"FAIL")</f>
        <v>PASS</v>
      </c>
    </row>
    <row r="12" spans="1:12" ht="16.2" customHeight="1">
      <c r="B12" s="67">
        <v>2</v>
      </c>
      <c r="C12" s="64" t="s">
        <v>206</v>
      </c>
      <c r="D12" s="64"/>
      <c r="E12" s="64"/>
      <c r="F12" s="64"/>
      <c r="G12" s="68">
        <v>15.78269230769231</v>
      </c>
      <c r="H12" s="38">
        <f>$F$65</f>
        <v>15.7826923076923</v>
      </c>
      <c r="I12" s="69">
        <f>IF(AND(ISNUMBER($G$12),ISNUMBER($H$12)),ABS($H$12-$G$12),"")</f>
        <v>0</v>
      </c>
      <c r="J12" s="70">
        <v>1E-09</v>
      </c>
      <c r="K12" s="46" t="str">
        <f>IF(AND(ISNUMBER($G$12),ISNUMBER($H$12)),IF(ABS($H$12-$G$12)&lt;=$J$12,"PASS","FAIL"),"FAIL")</f>
        <v>PASS</v>
      </c>
    </row>
    <row r="13" spans="1:12" ht="16.2" customHeight="1">
      <c r="B13" s="67">
        <v>3</v>
      </c>
      <c r="C13" s="64" t="s">
        <v>207</v>
      </c>
      <c r="D13" s="64"/>
      <c r="E13" s="64"/>
      <c r="F13" s="64"/>
      <c r="G13" s="68">
        <v>12.15</v>
      </c>
      <c r="H13" s="38">
        <f>$G$60</f>
        <v>12.15</v>
      </c>
      <c r="I13" s="69">
        <f>IF(AND(ISNUMBER($G$13),ISNUMBER($H$13)),ABS($H$13-$G$13),"")</f>
        <v>0</v>
      </c>
      <c r="J13" s="70">
        <v>1E-09</v>
      </c>
      <c r="K13" s="46" t="str">
        <f>IF(AND(ISNUMBER($G$13),ISNUMBER($H$13)),IF(ABS($H$13-$G$13)&lt;=$J$13,"PASS","FAIL"),"FAIL")</f>
        <v>PASS</v>
      </c>
    </row>
    <row r="14" spans="1:12" ht="16.2" customHeight="1">
      <c r="B14" s="67">
        <v>4</v>
      </c>
      <c r="C14" s="64" t="s">
        <v>208</v>
      </c>
      <c r="D14" s="64"/>
      <c r="E14" s="64"/>
      <c r="F14" s="64"/>
      <c r="G14" s="68">
        <v>13.21519230769231</v>
      </c>
      <c r="H14" s="38">
        <f>$G$65</f>
        <v>13.2151923076923</v>
      </c>
      <c r="I14" s="69">
        <f>IF(AND(ISNUMBER($G$14),ISNUMBER($H$14)),ABS($H$14-$G$14),"")</f>
        <v>0</v>
      </c>
      <c r="J14" s="70">
        <v>1E-09</v>
      </c>
      <c r="K14" s="46" t="str">
        <f>IF(AND(ISNUMBER($G$14),ISNUMBER($H$14)),IF(ABS($H$14-$G$14)&lt;=$J$14,"PASS","FAIL"),"FAIL")</f>
        <v>PASS</v>
      </c>
    </row>
    <row r="15" spans="1:12" ht="16.2" customHeight="1">
      <c r="B15" s="67">
        <v>5</v>
      </c>
      <c r="C15" s="64" t="s">
        <v>209</v>
      </c>
      <c r="D15" s="64"/>
      <c r="E15" s="64"/>
      <c r="F15" s="64"/>
      <c r="G15" s="68">
        <v>13.2</v>
      </c>
      <c r="H15" s="38">
        <f>$H$60</f>
        <v>13.2</v>
      </c>
      <c r="I15" s="69">
        <f>IF(AND(ISNUMBER($G$15),ISNUMBER($H$15)),ABS($H$15-$G$15),"")</f>
        <v>0</v>
      </c>
      <c r="J15" s="70">
        <v>1E-09</v>
      </c>
      <c r="K15" s="46" t="str">
        <f>IF(AND(ISNUMBER($G$15),ISNUMBER($H$15)),IF(ABS($H$15-$G$15)&lt;=$J$15,"PASS","FAIL"),"FAIL")</f>
        <v>PASS</v>
      </c>
    </row>
    <row r="16" spans="1:12" ht="16.2" customHeight="1">
      <c r="B16" s="67">
        <v>6</v>
      </c>
      <c r="C16" s="64" t="s">
        <v>210</v>
      </c>
      <c r="D16" s="64"/>
      <c r="E16" s="64"/>
      <c r="F16" s="64"/>
      <c r="G16" s="68">
        <v>15.30326923076923</v>
      </c>
      <c r="H16" s="38">
        <f>$H$65</f>
        <v>15.3032692307692</v>
      </c>
      <c r="I16" s="69">
        <f>IF(AND(ISNUMBER($G$16),ISNUMBER($H$16)),ABS($H$16-$G$16),"")</f>
        <v>0</v>
      </c>
      <c r="J16" s="70">
        <v>1E-09</v>
      </c>
      <c r="K16" s="46" t="str">
        <f>IF(AND(ISNUMBER($G$16),ISNUMBER($H$16)),IF(ABS($H$16-$G$16)&lt;=$J$16,"PASS","FAIL"),"FAIL")</f>
        <v>PASS</v>
      </c>
    </row>
    <row r="17" spans="2:12" ht="16.2" customHeight="1">
      <c r="B17" s="67">
        <v>7</v>
      </c>
      <c r="C17" s="64" t="s">
        <v>211</v>
      </c>
      <c r="D17" s="64"/>
      <c r="E17" s="64"/>
      <c r="F17" s="64"/>
      <c r="G17" s="68">
        <v>16.3</v>
      </c>
      <c r="H17" s="38">
        <f>$I$60</f>
        <v>16.3</v>
      </c>
      <c r="I17" s="69">
        <f>IF(AND(ISNUMBER($G$17),ISNUMBER($H$17)),ABS($H$17-$G$17),"")</f>
        <v>0</v>
      </c>
      <c r="J17" s="70">
        <v>1E-09</v>
      </c>
      <c r="K17" s="46" t="str">
        <f>IF(AND(ISNUMBER($G$17),ISNUMBER($H$17)),IF(ABS($H$17-$G$17)&lt;=$J$17,"PASS","FAIL"),"FAIL")</f>
        <v>PASS</v>
      </c>
    </row>
    <row r="18" spans="2:12" ht="16.2" customHeight="1">
      <c r="B18" s="67">
        <v>8</v>
      </c>
      <c r="C18" s="64" t="s">
        <v>212</v>
      </c>
      <c r="D18" s="64"/>
      <c r="E18" s="64"/>
      <c r="F18" s="64"/>
      <c r="G18" s="68">
        <v>16.80788461538462</v>
      </c>
      <c r="H18" s="38">
        <f>$I$65</f>
        <v>16.8078846153846</v>
      </c>
      <c r="I18" s="69">
        <f>IF(AND(ISNUMBER($G$18),ISNUMBER($H$18)),ABS($H$18-$G$18),"")</f>
        <v>0</v>
      </c>
      <c r="J18" s="70">
        <v>1E-09</v>
      </c>
      <c r="K18" s="46" t="str">
        <f>IF(AND(ISNUMBER($G$18),ISNUMBER($H$18)),IF(ABS($H$18-$G$18)&lt;=$J$18,"PASS","FAIL"),"FAIL")</f>
        <v>PASS</v>
      </c>
    </row>
    <row r="19" spans="2:12" ht="16.2" customHeight="1">
      <c r="B19" s="67">
        <v>9</v>
      </c>
      <c r="C19" s="64" t="s">
        <v>213</v>
      </c>
      <c r="D19" s="64"/>
      <c r="E19" s="64"/>
      <c r="F19" s="64"/>
      <c r="G19" s="68">
        <v>0.55</v>
      </c>
      <c r="H19" s="38">
        <f>$F$58</f>
        <v>0.55</v>
      </c>
      <c r="I19" s="69">
        <f>IF(AND(ISNUMBER($G$19),ISNUMBER($H$19)),ABS($H$19-$G$19),"")</f>
        <v>0</v>
      </c>
      <c r="J19" s="70">
        <v>1E-09</v>
      </c>
      <c r="K19" s="46" t="str">
        <f>IF(AND(ISNUMBER($G$19),ISNUMBER($H$19)),IF(ABS($H$19-$G$19)&lt;=$J$19,"PASS","FAIL"),"FAIL")</f>
        <v>PASS</v>
      </c>
    </row>
    <row r="20" spans="2:12" ht="16.2" customHeight="1">
      <c r="B20" s="67">
        <v>10</v>
      </c>
      <c r="C20" s="64" t="s">
        <v>214</v>
      </c>
      <c r="D20" s="64"/>
      <c r="E20" s="64"/>
      <c r="F20" s="64"/>
      <c r="G20" s="68">
        <v>0.6576923076923077</v>
      </c>
      <c r="H20" s="38">
        <f>$F$61</f>
        <v>0.657692307692308</v>
      </c>
      <c r="I20" s="69">
        <f>IF(AND(ISNUMBER($G$20),ISNUMBER($H$20)),ABS($H$20-$G$20),"")</f>
        <v>0</v>
      </c>
      <c r="J20" s="70">
        <v>1E-09</v>
      </c>
      <c r="K20" s="46" t="str">
        <f>IF(AND(ISNUMBER($G$20),ISNUMBER($H$20)),IF(ABS($H$20-$G$20)&lt;=$J$20,"PASS","FAIL"),"FAIL")</f>
        <v>PASS</v>
      </c>
    </row>
    <row r="21" spans="2:12" ht="16.2" customHeight="1">
      <c r="B21" s="67">
        <v>11</v>
      </c>
      <c r="C21" s="64" t="s">
        <v>215</v>
      </c>
      <c r="D21" s="64"/>
      <c r="E21" s="64"/>
      <c r="F21" s="64"/>
      <c r="G21" s="68">
        <v>0.075</v>
      </c>
      <c r="H21" s="38">
        <f>$F$62</f>
        <v>0.075</v>
      </c>
      <c r="I21" s="69">
        <f>IF(AND(ISNUMBER($G$21),ISNUMBER($H$21)),ABS($H$21-$G$21),"")</f>
        <v>0</v>
      </c>
      <c r="J21" s="70">
        <v>1E-09</v>
      </c>
      <c r="K21" s="46" t="str">
        <f>IF(AND(ISNUMBER($G$21),ISNUMBER($H$21)),IF(ABS($H$21-$G$21)&lt;=$J$21,"PASS","FAIL"),"FAIL")</f>
        <v>PASS</v>
      </c>
    </row>
    <row r="22" spans="2:12" ht="16.2" customHeight="1">
      <c r="B22" s="67">
        <v>12</v>
      </c>
      <c r="C22" s="64" t="s">
        <v>216</v>
      </c>
      <c r="D22" s="64"/>
      <c r="E22" s="64"/>
      <c r="F22" s="64"/>
      <c r="G22" s="71">
        <v>-128374.9999999999</v>
      </c>
      <c r="H22" s="43">
        <f>$G$68</f>
        <v>-128375</v>
      </c>
      <c r="I22" s="69">
        <f>IF(AND(ISNUMBER($G$22),ISNUMBER($H$22)),ABS($H$22-$G$22),"")</f>
        <v>0</v>
      </c>
      <c r="J22" s="70">
        <v>1E-06</v>
      </c>
      <c r="K22" s="46" t="str">
        <f>IF(AND(ISNUMBER($G$22),ISNUMBER($H$22)),IF(ABS($H$22-$G$22)&lt;=$J$22,"PASS","FAIL"),"FAIL")</f>
        <v>PASS</v>
      </c>
    </row>
    <row r="23" spans="2:12" ht="16.2" customHeight="1">
      <c r="B23" s="67">
        <v>13</v>
      </c>
      <c r="C23" s="64" t="s">
        <v>217</v>
      </c>
      <c r="D23" s="64"/>
      <c r="E23" s="64"/>
      <c r="F23" s="64"/>
      <c r="G23" s="72">
        <v>9.092344119968434</v>
      </c>
      <c r="H23" s="45">
        <f>$G$70</f>
        <v>9.09234411996843</v>
      </c>
      <c r="I23" s="69">
        <f>IF(AND(ISNUMBER($G$23),ISNUMBER($H$23)),ABS($H$23-$G$23),"")</f>
        <v>0</v>
      </c>
      <c r="J23" s="70">
        <v>1E-09</v>
      </c>
      <c r="K23" s="46" t="str">
        <f>IF(AND(ISNUMBER($G$23),ISNUMBER($H$23)),IF(ABS($H$23-$G$23)&lt;=$J$23,"PASS","FAIL"),"FAIL")</f>
        <v>PASS</v>
      </c>
    </row>
    <row r="24" spans="2:12" ht="16.2" customHeight="1">
      <c r="B24" s="67">
        <v>14</v>
      </c>
      <c r="C24" s="64" t="s">
        <v>218</v>
      </c>
      <c r="D24" s="64"/>
      <c r="E24" s="64"/>
      <c r="F24" s="64"/>
      <c r="G24" s="73">
        <v>-0.02311163101604269</v>
      </c>
      <c r="H24" s="42">
        <f>$G$71</f>
        <v>-0.0231116310160427</v>
      </c>
      <c r="I24" s="69">
        <f>IF(AND(ISNUMBER($G$24),ISNUMBER($H$24)),ABS($H$24-$G$24),"")</f>
        <v>0</v>
      </c>
      <c r="J24" s="70">
        <v>1E-09</v>
      </c>
      <c r="K24" s="46" t="str">
        <f>IF(AND(ISNUMBER($G$24),ISNUMBER($H$24)),IF(ABS($H$24-$G$24)&lt;=$J$24,"PASS","FAIL"),"FAIL")</f>
        <v>PASS</v>
      </c>
    </row>
    <row r="25" spans="2:12" ht="16.2" customHeight="1">
      <c r="B25" s="67">
        <v>15</v>
      </c>
      <c r="C25" s="64" t="s">
        <v>219</v>
      </c>
      <c r="D25" s="64"/>
      <c r="E25" s="64"/>
      <c r="F25" s="64"/>
      <c r="G25" s="73">
        <v>0.1583389037433152</v>
      </c>
      <c r="H25" s="42">
        <f>$H$71</f>
        <v>0.158338903743315</v>
      </c>
      <c r="I25" s="69">
        <f>IF(AND(ISNUMBER($G$25),ISNUMBER($H$25)),ABS($H$25-$G$25),"")</f>
        <v>0</v>
      </c>
      <c r="J25" s="70">
        <v>1E-09</v>
      </c>
      <c r="K25" s="46" t="str">
        <f>IF(AND(ISNUMBER($G$25),ISNUMBER($H$25)),IF(ABS($H$25-$G$25)&lt;=$J$25,"PASS","FAIL"),"FAIL")</f>
        <v>PASS</v>
      </c>
    </row>
    <row r="26" spans="2:12" ht="16.2" customHeight="1">
      <c r="B26" s="67">
        <v>16</v>
      </c>
      <c r="C26" s="64" t="s">
        <v>220</v>
      </c>
      <c r="D26" s="64"/>
      <c r="E26" s="64"/>
      <c r="F26" s="64"/>
      <c r="G26" s="63" t="s">
        <v>221</v>
      </c>
      <c r="H26" s="74" t="str">
        <f>$I$70</f>
        <v>No payback</v>
      </c>
      <c r="I26" s="74"/>
      <c r="J26" s="65" t="s">
        <v>222</v>
      </c>
      <c r="K26" s="46" t="str">
        <f>IF($H$26&amp;""=$G$26&amp;"","PASS","FAIL")</f>
        <v>PASS</v>
      </c>
    </row>
    <row r="27" spans="2:12" ht="16.2" customHeight="1">
      <c r="B27" s="67">
        <v>17</v>
      </c>
      <c r="C27" s="64" t="s">
        <v>223</v>
      </c>
      <c r="D27" s="64"/>
      <c r="E27" s="64"/>
      <c r="F27" s="64"/>
      <c r="G27" s="63" t="s">
        <v>224</v>
      </c>
      <c r="H27" s="74" t="str">
        <f>$G$72</f>
        <v>Lowest</v>
      </c>
      <c r="I27" s="74"/>
      <c r="J27" s="65" t="s">
        <v>222</v>
      </c>
      <c r="K27" s="46" t="str">
        <f>IF($H$27&amp;""=$G$27&amp;"","PASS","FAIL")</f>
        <v>PASS</v>
      </c>
    </row>
    <row r="28" spans="2:12" ht="29.4" customHeight="1">
      <c r="B28" s="67">
        <v>18</v>
      </c>
      <c r="C28" s="64" t="s">
        <v>225</v>
      </c>
      <c r="D28" s="64"/>
      <c r="E28" s="64"/>
      <c r="F28" s="64"/>
      <c r="G28" s="68">
        <v>13.21519230769231</v>
      </c>
      <c r="H28" s="38">
        <f>$G$65</f>
        <v>13.2151923076923</v>
      </c>
      <c r="I28" s="69">
        <f>IF(AND(ISNUMBER($G$28),ISNUMBER($H$28)),ABS($H$28-$G$28),"")</f>
        <v>0</v>
      </c>
      <c r="J28" s="70">
        <v>1E-09</v>
      </c>
      <c r="K28" s="46" t="str">
        <f>IF(AND(ISNUMBER($G$28),ISNUMBER($H$28)),IF(ABS($H$28-$G$28)&lt;=$J$28,"PASS","FAIL"),"FAIL")</f>
        <v>PASS</v>
      </c>
    </row>
    <row r="30" spans="2:12" ht="21" customHeight="1">
      <c r="B30" s="8" t="s">
        <v>226</v>
      </c>
      <c r="C30" s="8"/>
      <c r="D30" s="8"/>
      <c r="E30" s="8"/>
      <c r="F30" s="8"/>
      <c r="G30" s="8"/>
      <c r="H30" s="8"/>
      <c r="I30" s="8"/>
      <c r="J30" s="8"/>
      <c r="K30" s="8"/>
      <c r="L30" s="8"/>
    </row>
    <row r="31" spans="2:12" ht="5" customHeight="1"/>
    <row r="32" spans="2:12">
      <c r="B32" s="21" t="s">
        <v>227</v>
      </c>
      <c r="C32" s="21"/>
      <c r="D32" s="21"/>
      <c r="E32" s="21"/>
      <c r="F32" s="21"/>
      <c r="G32" s="21"/>
      <c r="H32" s="21"/>
      <c r="I32" s="21"/>
      <c r="J32" s="21"/>
      <c r="K32" s="21"/>
      <c r="L32" s="21"/>
    </row>
    <row r="33" spans="2:12">
      <c r="B33" s="55" t="s">
        <v>228</v>
      </c>
      <c r="C33" s="55"/>
      <c r="D33" s="55"/>
      <c r="E33" s="55"/>
      <c r="F33" s="55"/>
    </row>
    <row r="34" spans="2:12">
      <c r="B34" s="27" t="s">
        <v>65</v>
      </c>
      <c r="C34" s="27"/>
      <c r="D34" s="27"/>
      <c r="E34" s="73">
        <v>0.2</v>
      </c>
      <c r="F34" s="7"/>
    </row>
    <row r="35" spans="2:12">
      <c r="B35" s="27" t="s">
        <v>229</v>
      </c>
      <c r="C35" s="27"/>
      <c r="D35" s="27"/>
      <c r="E35" s="72">
        <v>4</v>
      </c>
      <c r="F35" s="7"/>
    </row>
    <row r="36" spans="2:12">
      <c r="B36" s="27" t="s">
        <v>230</v>
      </c>
      <c r="C36" s="27"/>
      <c r="D36" s="27"/>
      <c r="E36" s="63" t="s">
        <v>231</v>
      </c>
      <c r="F36" s="63"/>
    </row>
    <row r="38" spans="2:12">
      <c r="B38" s="55" t="s">
        <v>232</v>
      </c>
      <c r="C38" s="55"/>
      <c r="D38" s="55"/>
      <c r="E38" s="55"/>
      <c r="F38" s="55"/>
      <c r="G38" s="55"/>
      <c r="H38" s="55"/>
      <c r="I38" s="55"/>
      <c r="J38" s="55"/>
      <c r="K38" s="55"/>
      <c r="L38" s="55"/>
    </row>
    <row r="39" spans="2:12">
      <c r="B39" s="27" t="s">
        <v>74</v>
      </c>
      <c r="C39" s="27"/>
      <c r="D39" s="27"/>
      <c r="E39" s="63" t="s">
        <v>233</v>
      </c>
      <c r="F39" s="63"/>
    </row>
    <row r="40" spans="2:12">
      <c r="B40" s="27" t="s">
        <v>76</v>
      </c>
      <c r="C40" s="27"/>
      <c r="D40" s="27"/>
      <c r="E40" s="75">
        <v>50000</v>
      </c>
      <c r="F40" s="7" t="s">
        <v>77</v>
      </c>
    </row>
    <row r="41" spans="2:12">
      <c r="B41" s="27" t="s">
        <v>78</v>
      </c>
      <c r="C41" s="27"/>
      <c r="D41" s="27"/>
      <c r="E41" s="68">
        <v>25</v>
      </c>
      <c r="F41" s="7" t="str">
        <f>Currency&amp;"/unit"</f>
        <v>USD/unit</v>
      </c>
    </row>
    <row r="43" spans="2:12">
      <c r="B43" s="55" t="s">
        <v>234</v>
      </c>
      <c r="C43" s="55"/>
      <c r="D43" s="55"/>
      <c r="E43" s="55"/>
      <c r="F43" s="55"/>
      <c r="G43" s="55"/>
      <c r="H43" s="55"/>
      <c r="I43" s="55"/>
      <c r="J43" s="55"/>
      <c r="K43" s="55"/>
      <c r="L43" s="55"/>
    </row>
    <row r="44" spans="2:12">
      <c r="B44" s="35" t="s">
        <v>80</v>
      </c>
      <c r="C44" s="35"/>
      <c r="D44" s="35"/>
      <c r="E44" s="36" t="s">
        <v>81</v>
      </c>
      <c r="F44" s="63" t="s">
        <v>235</v>
      </c>
      <c r="G44" s="63" t="s">
        <v>236</v>
      </c>
      <c r="H44" s="63" t="s">
        <v>237</v>
      </c>
      <c r="I44" s="63" t="s">
        <v>238</v>
      </c>
    </row>
    <row r="45" spans="2:12">
      <c r="B45" s="27" t="s">
        <v>86</v>
      </c>
      <c r="C45" s="27"/>
      <c r="D45" s="27"/>
      <c r="E45" s="7" t="str">
        <f>Currency&amp;"/unit"</f>
        <v>USD/unit</v>
      </c>
      <c r="F45" s="68">
        <v>10</v>
      </c>
      <c r="G45" s="68">
        <v>11.5</v>
      </c>
      <c r="H45" s="68">
        <v>13</v>
      </c>
      <c r="I45" s="68">
        <v>16</v>
      </c>
    </row>
    <row r="46" spans="2:12">
      <c r="B46" s="27" t="s">
        <v>87</v>
      </c>
      <c r="C46" s="27"/>
      <c r="D46" s="27"/>
      <c r="E46" s="7" t="str">
        <f>Currency&amp;"/unit"</f>
        <v>USD/unit</v>
      </c>
      <c r="F46" s="68">
        <v>1</v>
      </c>
      <c r="G46" s="68">
        <v>0.4</v>
      </c>
      <c r="H46" s="68">
        <v>0.1</v>
      </c>
      <c r="I46" s="68">
        <v>0.2</v>
      </c>
    </row>
    <row r="47" spans="2:12">
      <c r="B47" s="27" t="s">
        <v>88</v>
      </c>
      <c r="C47" s="27"/>
      <c r="D47" s="27"/>
      <c r="E47" s="7" t="str">
        <f>Currency&amp;"/unit"</f>
        <v>USD/unit</v>
      </c>
      <c r="F47" s="68">
        <v>0.3</v>
      </c>
      <c r="G47" s="68">
        <v>0.1</v>
      </c>
      <c r="H47" s="68">
        <v>0</v>
      </c>
      <c r="I47" s="68">
        <v>0</v>
      </c>
    </row>
    <row r="48" spans="2:12">
      <c r="B48" s="27" t="s">
        <v>89</v>
      </c>
      <c r="C48" s="27"/>
      <c r="D48" s="27"/>
      <c r="E48" s="7" t="str">
        <f>Currency&amp;"/unit"</f>
        <v>USD/unit</v>
      </c>
      <c r="F48" s="68">
        <v>0.2</v>
      </c>
      <c r="G48" s="68">
        <v>0.15</v>
      </c>
      <c r="H48" s="68">
        <v>0.1</v>
      </c>
      <c r="I48" s="68">
        <v>0.1</v>
      </c>
    </row>
    <row r="49" spans="2:9">
      <c r="B49" s="27" t="s">
        <v>90</v>
      </c>
      <c r="C49" s="27"/>
      <c r="D49" s="27"/>
      <c r="E49" s="7" t="s">
        <v>91</v>
      </c>
      <c r="F49" s="73">
        <v>0.05</v>
      </c>
      <c r="G49" s="73">
        <v>0</v>
      </c>
      <c r="H49" s="73">
        <v>0</v>
      </c>
      <c r="I49" s="73">
        <v>0</v>
      </c>
    </row>
    <row r="50" spans="2:9">
      <c r="B50" s="27" t="s">
        <v>92</v>
      </c>
      <c r="C50" s="27"/>
      <c r="D50" s="27"/>
      <c r="E50" s="7" t="s">
        <v>91</v>
      </c>
      <c r="F50" s="73">
        <v>0.2</v>
      </c>
      <c r="G50" s="73">
        <v>0</v>
      </c>
      <c r="H50" s="73">
        <v>0</v>
      </c>
      <c r="I50" s="73">
        <v>0</v>
      </c>
    </row>
    <row r="51" spans="2:9">
      <c r="B51" s="27" t="s">
        <v>93</v>
      </c>
      <c r="C51" s="27"/>
      <c r="D51" s="27"/>
      <c r="E51" s="7" t="s">
        <v>94</v>
      </c>
      <c r="F51" s="72">
        <v>8</v>
      </c>
      <c r="G51" s="72">
        <v>1</v>
      </c>
      <c r="H51" s="72">
        <v>0</v>
      </c>
      <c r="I51" s="72">
        <v>1</v>
      </c>
    </row>
    <row r="52" spans="2:9">
      <c r="B52" s="27" t="s">
        <v>95</v>
      </c>
      <c r="C52" s="27"/>
      <c r="D52" s="27"/>
      <c r="E52" s="7" t="s">
        <v>96</v>
      </c>
      <c r="F52" s="72">
        <v>4</v>
      </c>
      <c r="G52" s="72">
        <v>2</v>
      </c>
      <c r="H52" s="72">
        <v>1</v>
      </c>
      <c r="I52" s="72">
        <v>1</v>
      </c>
    </row>
    <row r="53" spans="2:9">
      <c r="B53" s="27" t="s">
        <v>97</v>
      </c>
      <c r="C53" s="27"/>
      <c r="D53" s="27"/>
      <c r="E53" s="7" t="s">
        <v>98</v>
      </c>
      <c r="F53" s="75">
        <v>3000</v>
      </c>
      <c r="G53" s="75">
        <v>1000</v>
      </c>
      <c r="H53" s="75">
        <v>500</v>
      </c>
      <c r="I53" s="75">
        <v>500</v>
      </c>
    </row>
    <row r="54" spans="2:9">
      <c r="B54" s="27" t="s">
        <v>99</v>
      </c>
      <c r="C54" s="27"/>
      <c r="D54" s="27"/>
      <c r="E54" s="7" t="str">
        <f>Currency&amp;"/yr"</f>
        <v>USD/yr</v>
      </c>
      <c r="F54" s="75">
        <v>25000</v>
      </c>
      <c r="G54" s="75">
        <v>10000</v>
      </c>
      <c r="H54" s="75">
        <v>0</v>
      </c>
      <c r="I54" s="75">
        <v>5000</v>
      </c>
    </row>
    <row r="55" spans="2:9">
      <c r="B55" s="27" t="s">
        <v>100</v>
      </c>
      <c r="C55" s="27"/>
      <c r="D55" s="27"/>
      <c r="E55" s="7" t="str">
        <f>Currency&amp;"/yr"</f>
        <v>USD/yr</v>
      </c>
      <c r="F55" s="75">
        <v>15000</v>
      </c>
      <c r="G55" s="75">
        <v>5000</v>
      </c>
      <c r="H55" s="75">
        <v>2000</v>
      </c>
      <c r="I55" s="75">
        <v>1000</v>
      </c>
    </row>
    <row r="56" spans="2:9">
      <c r="B56" s="27" t="s">
        <v>101</v>
      </c>
      <c r="C56" s="27"/>
      <c r="D56" s="27"/>
      <c r="E56" s="7" t="str">
        <f>Currency</f>
        <v>USD</v>
      </c>
      <c r="F56" s="75">
        <v>0</v>
      </c>
      <c r="G56" s="75">
        <v>120000</v>
      </c>
      <c r="H56" s="75">
        <v>400000</v>
      </c>
      <c r="I56" s="75">
        <v>50000</v>
      </c>
    </row>
    <row r="57" spans="2:9">
      <c r="B57" s="27" t="s">
        <v>102</v>
      </c>
      <c r="C57" s="27"/>
      <c r="D57" s="27"/>
      <c r="E57" s="7" t="str">
        <f>Currency&amp;"/unit"</f>
        <v>USD/unit</v>
      </c>
      <c r="F57" s="38">
        <f>IF($F$45="","",$F$45+IF($E$36="CIF value",$F$46,0))</f>
        <v>11</v>
      </c>
      <c r="G57" s="38">
        <f>IF($G$45="","",$G$45+IF($E$36="CIF value",$G$46,0))</f>
        <v>11.9</v>
      </c>
      <c r="H57" s="38">
        <f>IF($H$45="","",$H$45+IF($E$36="CIF value",$H$46,0))</f>
        <v>13.1</v>
      </c>
      <c r="I57" s="38">
        <f>IF($I$45="","",$I$45+IF($E$36="CIF value",$I$46,0))</f>
        <v>16.2</v>
      </c>
    </row>
    <row r="58" spans="2:9">
      <c r="B58" s="27" t="s">
        <v>103</v>
      </c>
      <c r="C58" s="27"/>
      <c r="D58" s="27"/>
      <c r="E58" s="7" t="str">
        <f>Currency&amp;"/unit"</f>
        <v>USD/unit</v>
      </c>
      <c r="F58" s="38">
        <f>IF($F$57="","",$F$57*$F$49)</f>
        <v>0.55</v>
      </c>
      <c r="G58" s="38">
        <f>IF($G$57="","",$G$57*$G$49)</f>
        <v>0</v>
      </c>
      <c r="H58" s="38">
        <f>IF($H$57="","",$H$57*$H$49)</f>
        <v>0</v>
      </c>
      <c r="I58" s="38">
        <f>IF($I$57="","",$I$57*$I$49)</f>
        <v>0</v>
      </c>
    </row>
    <row r="59" spans="2:9">
      <c r="B59" s="27" t="s">
        <v>104</v>
      </c>
      <c r="C59" s="27"/>
      <c r="D59" s="27"/>
      <c r="E59" s="7" t="str">
        <f>Currency&amp;"/unit"</f>
        <v>USD/unit</v>
      </c>
      <c r="F59" s="38">
        <f>IF($F$57="","",$F$57*$F$50)</f>
        <v>2.2</v>
      </c>
      <c r="G59" s="38">
        <f>IF($G$57="","",$G$57*$G$50)</f>
        <v>0</v>
      </c>
      <c r="H59" s="38">
        <f>IF($H$57="","",$H$57*$H$50)</f>
        <v>0</v>
      </c>
      <c r="I59" s="38">
        <f>IF($I$57="","",$I$57*$I$50)</f>
        <v>0</v>
      </c>
    </row>
    <row r="60" spans="2:9">
      <c r="B60" s="27" t="s">
        <v>105</v>
      </c>
      <c r="C60" s="27"/>
      <c r="D60" s="27"/>
      <c r="E60" s="7" t="str">
        <f>Currency&amp;"/unit"</f>
        <v>USD/unit</v>
      </c>
      <c r="F60" s="39">
        <f>IF($F$45="","",$F$45+$F$46+$F$47+$F$48+$F$58+$F$59)</f>
        <v>14.25</v>
      </c>
      <c r="G60" s="39">
        <f>IF($G$45="","",$G$45+$G$46+$G$47+$G$48+$G$58+$G$59)</f>
        <v>12.15</v>
      </c>
      <c r="H60" s="39">
        <f>IF($H$45="","",$H$45+$H$46+$H$47+$H$48+$H$58+$H$59)</f>
        <v>13.2</v>
      </c>
      <c r="I60" s="39">
        <f>IF($I$45="","",$I$45+$I$46+$I$47+$I$48+$I$58+$I$59)</f>
        <v>16.3</v>
      </c>
    </row>
    <row r="61" spans="2:9">
      <c r="B61" s="27" t="s">
        <v>106</v>
      </c>
      <c r="C61" s="27"/>
      <c r="D61" s="27"/>
      <c r="E61" s="7" t="str">
        <f>Currency&amp;"/unit"</f>
        <v>USD/unit</v>
      </c>
      <c r="F61" s="38">
        <f>IF($F$60="","",$F$60*($F$51+$F$52)/52*$E$34)</f>
        <v>0.657692307692308</v>
      </c>
      <c r="G61" s="38">
        <f>IF($G$60="","",$G$60*($G$51+$G$52)/52*$E$34)</f>
        <v>0.140192307692308</v>
      </c>
      <c r="H61" s="38">
        <f>IF($H$60="","",$H$60*($H$51+$H$52)/52*$E$34)</f>
        <v>0.0507692307692308</v>
      </c>
      <c r="I61" s="38">
        <f>IF($I$60="","",$I$60*($I$51+$I$52)/52*$E$34)</f>
        <v>0.125384615384615</v>
      </c>
    </row>
    <row r="62" spans="2:9">
      <c r="B62" s="27" t="s">
        <v>107</v>
      </c>
      <c r="C62" s="27"/>
      <c r="D62" s="27"/>
      <c r="E62" s="7" t="str">
        <f>Currency&amp;"/unit"</f>
        <v>USD/unit</v>
      </c>
      <c r="F62" s="38">
        <f>IF($F$45="","",$F$53/1000000*$E$41)</f>
        <v>0.075</v>
      </c>
      <c r="G62" s="38">
        <f>IF($G$45="","",$G$53/1000000*$E$41)</f>
        <v>0.025</v>
      </c>
      <c r="H62" s="38">
        <f>IF($H$45="","",$H$53/1000000*$E$41)</f>
        <v>0.0125</v>
      </c>
      <c r="I62" s="38">
        <f>IF($I$45="","",$I$53/1000000*$E$41)</f>
        <v>0.0125</v>
      </c>
    </row>
    <row r="63" spans="2:9">
      <c r="B63" s="27" t="s">
        <v>108</v>
      </c>
      <c r="C63" s="27"/>
      <c r="D63" s="27"/>
      <c r="E63" s="7" t="str">
        <f>Currency&amp;"/unit"</f>
        <v>USD/unit</v>
      </c>
      <c r="F63" s="38">
        <f>IF($F$45="","",($F$54+$F$55)/$E$40)</f>
        <v>0.8</v>
      </c>
      <c r="G63" s="38">
        <f>IF($G$45="","",($G$54+$G$55)/$E$40)</f>
        <v>0.3</v>
      </c>
      <c r="H63" s="38">
        <f>IF($H$45="","",($H$54+$H$55)/$E$40)</f>
        <v>0.04</v>
      </c>
      <c r="I63" s="38">
        <f>IF($I$45="","",($I$54+$I$55)/$E$40)</f>
        <v>0.12</v>
      </c>
    </row>
    <row r="64" spans="2:9">
      <c r="B64" s="27" t="s">
        <v>109</v>
      </c>
      <c r="C64" s="27"/>
      <c r="D64" s="27"/>
      <c r="E64" s="7" t="str">
        <f>Currency&amp;"/unit"</f>
        <v>USD/unit</v>
      </c>
      <c r="F64" s="38">
        <f>IF($F$45="","",$F$56/$E$35/$E$40)</f>
        <v>0</v>
      </c>
      <c r="G64" s="38">
        <f>IF($G$45="","",$G$56/$E$35/$E$40)</f>
        <v>0.6</v>
      </c>
      <c r="H64" s="38">
        <f>IF($H$45="","",$H$56/$E$35/$E$40)</f>
        <v>2</v>
      </c>
      <c r="I64" s="38">
        <f>IF($I$45="","",$I$56/$E$35/$E$40)</f>
        <v>0.25</v>
      </c>
    </row>
    <row r="65" spans="2:9">
      <c r="B65" s="27" t="s">
        <v>110</v>
      </c>
      <c r="C65" s="27"/>
      <c r="D65" s="27"/>
      <c r="E65" s="7" t="str">
        <f>Currency&amp;"/unit"</f>
        <v>USD/unit</v>
      </c>
      <c r="F65" s="40">
        <f>IF($F$45="","",$F$60+$F$61+$F$62+$F$63+$F$64)</f>
        <v>15.7826923076923</v>
      </c>
      <c r="G65" s="40">
        <f>IF($G$45="","",$G$60+$G$61+$G$62+$G$63+$G$64)</f>
        <v>13.2151923076923</v>
      </c>
      <c r="H65" s="40">
        <f>IF($H$45="","",$H$60+$H$61+$H$62+$H$63+$H$64)</f>
        <v>15.3032692307692</v>
      </c>
      <c r="I65" s="40">
        <f>IF($I$45="","",$I$60+$I$61+$I$62+$I$63+$I$64)</f>
        <v>16.8078846153846</v>
      </c>
    </row>
    <row r="66" spans="2:9">
      <c r="B66" s="27" t="s">
        <v>111</v>
      </c>
      <c r="C66" s="27"/>
      <c r="D66" s="27"/>
      <c r="E66" s="7" t="str">
        <f>Currency&amp;"/yr"</f>
        <v>USD/yr</v>
      </c>
      <c r="F66" s="41">
        <f>IF($F$65="","",$F$65*$E$40)</f>
        <v>789134.615384615</v>
      </c>
      <c r="G66" s="41">
        <f>IF($G$65="","",$G$65*$E$40)</f>
        <v>660759.615384616</v>
      </c>
      <c r="H66" s="41">
        <f>IF($H$65="","",$H$65*$E$40)</f>
        <v>765163.461538461</v>
      </c>
      <c r="I66" s="41">
        <f>IF($I$65="","",$I$65*$E$40)</f>
        <v>840394.230769231</v>
      </c>
    </row>
    <row r="67" spans="2:9">
      <c r="B67" s="27" t="s">
        <v>112</v>
      </c>
      <c r="C67" s="27"/>
      <c r="D67" s="27"/>
      <c r="E67" s="7" t="s">
        <v>113</v>
      </c>
      <c r="F67" s="42">
        <f>IF(OR($F$65="",$F$45=0),"",$F$65/$F$45-1)</f>
        <v>0.578269230769231</v>
      </c>
      <c r="G67" s="42">
        <f>IF(OR($G$65="",$G$45=0),"",$G$65/$G$45-1)</f>
        <v>0.149147157190636</v>
      </c>
      <c r="H67" s="42">
        <f>IF(OR($H$65="",$H$45=0),"",$H$65/$H$45-1)</f>
        <v>0.177174556213018</v>
      </c>
      <c r="I67" s="42">
        <f>IF(OR($I$65="",$I$45=0),"",$I$65/$I$45-1)</f>
        <v>0.0504927884615385</v>
      </c>
    </row>
    <row r="68" spans="2:9">
      <c r="B68" s="27" t="s">
        <v>114</v>
      </c>
      <c r="C68" s="27"/>
      <c r="D68" s="27"/>
      <c r="E68" s="7" t="str">
        <f>Currency&amp;"/yr"</f>
        <v>USD/yr</v>
      </c>
      <c r="F68" s="43">
        <f>IF(OR($F$65="",INDEX($F$65:$I$65,1)=""),"",$F$66-INDEX($F$66:$I$66,1))</f>
        <v>0</v>
      </c>
      <c r="G68" s="43">
        <f>IF(OR($G$65="",INDEX($F$65:$I$65,1)=""),"",$G$66-INDEX($F$66:$I$66,1))</f>
        <v>-128375</v>
      </c>
      <c r="H68" s="43">
        <f>IF(OR($H$65="",INDEX($F$65:$I$65,1)=""),"",$H$66-INDEX($F$66:$I$66,1))</f>
        <v>-23971.153846154</v>
      </c>
      <c r="I68" s="43">
        <f>IF(OR($I$65="",INDEX($F$65:$I$65,1)=""),"",$I$66-INDEX($F$66:$I$66,1))</f>
        <v>51259.6153846154</v>
      </c>
    </row>
    <row r="69" spans="2:9">
      <c r="B69" s="27" t="s">
        <v>115</v>
      </c>
      <c r="C69" s="27"/>
      <c r="D69" s="27"/>
      <c r="E69" s="7" t="s">
        <v>116</v>
      </c>
      <c r="F69" s="44">
        <f>IF(OR($F$65="",INDEX($F$65:$I$65,1)=""),"",$F$65/INDEX($F$65:$I$65,1)-1)</f>
        <v>0</v>
      </c>
      <c r="G69" s="44">
        <f>IF(OR($G$65="",INDEX($F$65:$I$65,1)=""),"",$G$65/INDEX($F$65:$I$65,1)-1)</f>
        <v>-0.162678201535275</v>
      </c>
      <c r="H69" s="44">
        <f>IF(OR($H$65="",INDEX($F$65:$I$65,1)=""),"",$H$65/INDEX($F$65:$I$65,1)-1)</f>
        <v>-0.0303765078591448</v>
      </c>
      <c r="I69" s="44">
        <f>IF(OR($I$65="",INDEX($F$65:$I$65,1)=""),"",$I$65/INDEX($F$65:$I$65,1)-1)</f>
        <v>0.0649567442427197</v>
      </c>
    </row>
    <row r="70" spans="2:9">
      <c r="B70" s="27" t="s">
        <v>117</v>
      </c>
      <c r="C70" s="27"/>
      <c r="D70" s="27"/>
      <c r="E70" s="7" t="s">
        <v>118</v>
      </c>
      <c r="F70" s="45">
        <f>IF(OR($F$65="",INDEX($F$65:$I$65,1)="",$F$56&lt;=0),"",IF((INDEX($F$65:$I$65,1)-INDEX($F$64:$I$64,1)-($F$65-$F$64))&gt;0,$F$56/((INDEX($F$65:$I$65,1)-INDEX($F$64:$I$64,1)-($F$65-$F$64))*$E$40)*12,"No payback"))</f>
        <v/>
      </c>
      <c r="G70" s="45">
        <f>IF(OR($G$65="",INDEX($F$65:$I$65,1)="",$G$56&lt;=0),"",IF((INDEX($F$65:$I$65,1)-INDEX($F$64:$I$64,1)-($G$65-$G$64))&gt;0,$G$56/((INDEX($F$65:$I$65,1)-INDEX($F$64:$I$64,1)-($G$65-$G$64))*$E$40)*12,"No payback"))</f>
        <v>9.09234411996843</v>
      </c>
      <c r="H70" s="45">
        <f>IF(OR($H$65="",INDEX($F$65:$I$65,1)="",$H$56&lt;=0),"",IF((INDEX($F$65:$I$65,1)-INDEX($F$64:$I$64,1)-($H$65-$H$64))&gt;0,$H$56/((INDEX($F$65:$I$65,1)-INDEX($F$64:$I$64,1)-($H$65-$H$64))*$E$40)*12,"No payback"))</f>
        <v>38.7186845575118</v>
      </c>
      <c r="I70" s="45" t="str">
        <f>IF(OR($I$65="",INDEX($F$65:$I$65,1)="",$I$56&lt;=0),"",IF((INDEX($F$65:$I$65,1)-INDEX($F$64:$I$64,1)-($I$65-$I$64))&gt;0,$I$56/((INDEX($F$65:$I$65,1)-INDEX($F$64:$I$64,1)-($I$65-$I$64))*$E$40)*12,"No payback"))</f>
        <v>No payback</v>
      </c>
    </row>
    <row r="71" spans="2:9">
      <c r="B71" s="27" t="s">
        <v>119</v>
      </c>
      <c r="C71" s="27"/>
      <c r="D71" s="27"/>
      <c r="E71" s="7" t="s">
        <v>91</v>
      </c>
      <c r="F71" s="42">
        <f>IF(OR(1=1,$F$65="",INDEX($F$65:$I$65,1)=""),"",INDEX($F$50:$I$50,1)+($F$65-INDEX($F$65:$I$65,1))/(INDEX($F$57:$I$57,1)*(1+$E$34*(INDEX($F$51:$I$51,1)+INDEX($F$52:$I$52,1))/52)))</f>
        <v/>
      </c>
      <c r="G71" s="42">
        <f>IF(OR(2=1,$G$65="",INDEX($F$65:$I$65,1)=""),"",INDEX($F$50:$I$50,1)+($G$65-INDEX($F$65:$I$65,1))/(INDEX($F$57:$I$57,1)*(1+$E$34*(INDEX($F$51:$I$51,1)+INDEX($F$52:$I$52,1))/52)))</f>
        <v>-0.0231116310160427</v>
      </c>
      <c r="H71" s="42">
        <f>IF(OR(3=1,$H$65="",INDEX($F$65:$I$65,1)=""),"",INDEX($F$50:$I$50,1)+($H$65-INDEX($F$65:$I$65,1))/(INDEX($F$57:$I$57,1)*(1+$E$34*(INDEX($F$51:$I$51,1)+INDEX($F$52:$I$52,1))/52)))</f>
        <v>0.158338903743315</v>
      </c>
      <c r="I71" s="42">
        <f>IF(OR(4=1,$I$65="",INDEX($F$65:$I$65,1)=""),"",INDEX($F$50:$I$50,1)+($I$65-INDEX($F$65:$I$65,1))/(INDEX($F$57:$I$57,1)*(1+$E$34*(INDEX($F$51:$I$51,1)+INDEX($F$52:$I$52,1))/52)))</f>
        <v>0.28908756684492</v>
      </c>
    </row>
    <row r="72" spans="2:9">
      <c r="B72" s="27" t="s">
        <v>120</v>
      </c>
      <c r="C72" s="27"/>
      <c r="D72" s="27"/>
      <c r="E72" s="7"/>
      <c r="F72" s="46" t="str">
        <f>IF($F$65="","",IF($F$65=MIN($F$65:$I$65),"Lowest",RANK($F$65,$F$65:$I$65,1)&amp;" of "&amp;COUNT($F$65:$I$65)))</f>
        <v>3 of 4</v>
      </c>
      <c r="G72" s="46" t="str">
        <f>IF($G$65="","",IF($G$65=MIN($F$65:$I$65),"Lowest",RANK($G$65,$F$65:$I$65,1)&amp;" of "&amp;COUNT($F$65:$I$65)))</f>
        <v>Lowest</v>
      </c>
      <c r="H72" s="46" t="str">
        <f>IF($H$65="","",IF($H$65=MIN($F$65:$I$65),"Lowest",RANK($H$65,$F$65:$I$65,1)&amp;" of "&amp;COUNT($F$65:$I$65)))</f>
        <v>2 of 4</v>
      </c>
      <c r="I72" s="46" t="str">
        <f>IF($I$65="","",IF($I$65=MIN($F$65:$I$65),"Lowest",RANK($I$65,$F$65:$I$65,1)&amp;" of "&amp;COUNT($F$65:$I$65)))</f>
        <v>4 of 4</v>
      </c>
    </row>
  </sheetData>
  <sheetProtection sheet="1" formatColumns="0" formatRows="0"/>
  <mergeCells count="68">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5:D35"/>
    <mergeCell ref="B36:D36"/>
    <mergeCell ref="E36:F36"/>
    <mergeCell ref="B38:L38"/>
    <mergeCell ref="B39:D39"/>
    <mergeCell ref="E39:F39"/>
    <mergeCell ref="B40:D40"/>
    <mergeCell ref="B41:D41"/>
    <mergeCell ref="B43:L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Reshoring Total Cost of Ownership&amp;R&amp;8&amp;A</oddHeader>
    <oddFooter>&amp;L&amp;8mfgcalcs.com - free manufacturing templates&amp;R&amp;8Page &amp;P of &amp;N</oddFooter>
  </headerFooter>
  <rowBreaks count="2" manualBreakCount="2">
    <brk id="27" max="16383" man="1"/>
    <brk id="4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22</vt:i4>
      </vt:variant>
    </vt:vector>
  </HeadingPairs>
  <TitlesOfParts>
    <vt:vector size="28" baseType="lpstr">
      <vt:lpstr>Start Here</vt:lpstr>
      <vt:lpstr>Setup</vt:lpstr>
      <vt:lpstr>TCO Model</vt:lpstr>
      <vt:lpstr>Dashboard</vt:lpstr>
      <vt:lpstr>Method</vt:lpstr>
      <vt:lpstr>Verify</vt:lpstr>
      <vt:lpstr>BestIdx</vt:lpstr>
      <vt:lpstr>CarryRate</vt:lpstr>
      <vt:lpstr>CoName</vt:lpstr>
      <vt:lpstr>Currency</vt:lpstr>
      <vt:lpstr>DefectCost</vt:lpstr>
      <vt:lpstr>DutyBase</vt:lpstr>
      <vt:lpstr>Horizon</vt:lpstr>
      <vt:lpstr>KpiBest</vt:lpstr>
      <vt:lpstr>KpiCur</vt:lpstr>
      <vt:lpstr>KpiPayback</vt:lpstr>
      <vt:lpstr>KpiSaving</vt:lpstr>
      <vt:lpstr>PartName</vt:lpstr>
      <vt:lpstr>Dashboard!Print_Area</vt:lpstr>
      <vt:lpstr>Method!Print_Area</vt:lpstr>
      <vt:lpstr>Setup!Print_Area</vt:lpstr>
      <vt:lpstr>'Start Here'!Print_Area</vt:lpstr>
      <vt:lpstr>'TCO Model'!Print_Area</vt:lpstr>
      <vt:lpstr>Verify!Print_Area</vt:lpstr>
      <vt:lpstr>Method!Print_Titles</vt:lpstr>
      <vt:lpstr>SelfCheck</vt:lpstr>
      <vt:lpstr>SelfCheckSummary</vt:lpstr>
      <vt:lpstr>Volume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Reshoring Total Cost of Ownership - free Excel template from MFG Calcs</dc:title>
  <dc:subject>Compare offshore, nearshore and reshored sources for a part on total cost of ownership, with payback and the tariff at which each option wins.</dc:subject>
  <dc:creator>MFG Calcs</dc:creator>
  <cp:keywords>reshoring, nearshoring, total cost of ownership, TCO, landed cost, tariff, sourcing decision, supplier comparison</cp:keywords>
  <dc:description>https://www.mfgcalcs.com/templates/reshoring-tco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reshoring-tco</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https://www.mfgcalcs.com/templates/reshoring-tco</vt:lpwstr>
  </property>
  <property fmtid="{D5CDD505-2E9C-101B-9397-08002B2CF9AE}" pid="7" name="Template sheet roles">
    <vt:lpwstr>Start Here=start;Setup=setup;TCO Model=form;Dashboard=dashboard;Method=method;Verify=verify</vt:lpwstr>
  </property>
</Properties>
</file>