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Hours Log" sheetId="3" r:id="rId3"/>
    <sheet name="Incident Log" sheetId="4" r:id="rId4"/>
    <sheet name="Dashboard" sheetId="5" r:id="rId5"/>
    <sheet name="Method" sheetId="6" r:id="rId6"/>
    <sheet name="Verify" sheetId="7" r:id="rId7"/>
  </sheets>
  <definedNames>
    <definedName name="AsOf">Setup!$C$7</definedName>
    <definedName name="DashDept">Dashboard!$D$4</definedName>
    <definedName name="DashEnd">Dashboard!$I$4</definedName>
    <definedName name="Departments">tblDepartments[Department]</definedName>
    <definedName name="EventTypes">tblEventTypes[Event type]</definedName>
    <definedName name="FDept">IF(DashDept="","&lt;&gt;",DashDept)</definedName>
    <definedName name="FEnd">IF(DashEnd="",IF(COUNT(tblHours[Month start])=0,0,MAX(tblHours[Month start])),DATE(YEAR(DashEnd),MONTH(DashEnd),1))</definedName>
    <definedName name="FStart">IF(FEnd=0,0,EDATE(FEnd,-11))</definedName>
    <definedName name="KpiDART">Dashboard!$D$9</definedName>
    <definedName name="KpiDays">Dashboard!$B$31</definedName>
    <definedName name="KpiLTIFR">Dashboard!$G$9</definedName>
    <definedName name="KpiOverdue">Dashboard!$G$31</definedName>
    <definedName name="KpiRec">Dashboard!$J$9</definedName>
    <definedName name="KpiReports">Dashboard!$D$31</definedName>
    <definedName name="KpiSince">Dashboard!$J$31</definedName>
    <definedName name="KpiTRIR">Dashboard!$B$9</definedName>
    <definedName name="_xlnm.Print_Area" localSheetId="4">Dashboard!$A$1:$L$95</definedName>
    <definedName name="_xlnm.Print_Area" localSheetId="2">'Hours Log'!$A$1:$I$101</definedName>
    <definedName name="_xlnm.Print_Area" localSheetId="3">'Incident Log'!$A$1:$T$129</definedName>
    <definedName name="_xlnm.Print_Area" localSheetId="5">Method!$A$1:$D$61</definedName>
    <definedName name="_xlnm.Print_Area" localSheetId="1">Setup!$A$1:$E$45</definedName>
    <definedName name="_xlnm.Print_Area" localSheetId="0">'Start Here'!$A$1:$F$57</definedName>
    <definedName name="_xlnm.Print_Area" localSheetId="6">Verify!$A$1:$T$63</definedName>
    <definedName name="_xlnm.Print_Titles" localSheetId="2">'Hours Log'!$1:$5</definedName>
    <definedName name="_xlnm.Print_Titles" localSheetId="3">'Incident Log'!$1:$5</definedName>
    <definedName name="_xlnm.Print_Titles" localSheetId="5">Method!$1:$2</definedName>
    <definedName name="SelfCheck">Verify!$D$4</definedName>
    <definedName name="SelfCheckSummary">Verify!$F$4</definedName>
    <definedName name="ShowFrom">Dashboard!$D$5</definedName>
    <definedName name="ShowTo">Dashboard!$I$5</definedName>
    <definedName name="SiteName">Setup!$C$6</definedName>
    <definedName name="TargetDART">Setup!$C$9</definedName>
    <definedName name="TargetTRIR">Setup!$C$8</definedName>
  </definedNames>
  <calcPr calcId="124519" fullCalcOnLoad="1"/>
</workbook>
</file>

<file path=xl/sharedStrings.xml><?xml version="1.0" encoding="utf-8"?>
<sst xmlns="http://schemas.openxmlformats.org/spreadsheetml/2006/main" count="1734" uniqueCount="532">
  <si>
    <t>Safety Incident Log with TRIR and DART</t>
  </si>
  <si>
    <t>Read this first: what the workbook does and how to use it.</t>
  </si>
  <si>
    <t>mfgcalcs.com</t>
  </si>
  <si>
    <t>Log every incident and the hours worked, and see rolling 12-month TRIR, DART and lost-time rates, open corrective actions and what hurts people most.</t>
  </si>
  <si>
    <t>For: EHS managers, plant managers, HR and safety committee members in manufacturing plants of any size.</t>
  </si>
  <si>
    <t>Version 1.0.0  ·  updated 15 October 2026</t>
  </si>
  <si>
    <t>Quick start</t>
  </si>
  <si>
    <t>1.</t>
  </si>
  <si>
    <t>On Setup, type your site name, the status date and your own TRIR and DART targets, then replace the example departments and event types.</t>
  </si>
  <si>
    <t>2.</t>
  </si>
  <si>
    <t>On Hours Log, add the hours worked each month for each department, from payroll (employees and supervised temporary workers).</t>
  </si>
  <si>
    <t>3.</t>
  </si>
  <si>
    <t>On Incident Log, add one row per event, from near miss to fatality, with its classification, days away or restricted and the corrective action.</t>
  </si>
  <si>
    <t>4.</t>
  </si>
  <si>
    <t>Read the Check column: anything other than OK names the problem in words.</t>
  </si>
  <si>
    <t>5.</t>
  </si>
  <si>
    <t>Open the Dashboard; pick a department or a different 12-month window at the top.</t>
  </si>
  <si>
    <t>What is in this workbook</t>
  </si>
  <si>
    <t>Start Here</t>
  </si>
  <si>
    <t>Setup</t>
  </si>
  <si>
    <t>Your site, status date, rate targets, and the department and event-type lists.</t>
  </si>
  <si>
    <t>Hours Log</t>
  </si>
  <si>
    <t>Hours worked per department per month: the denominator of every rate.</t>
  </si>
  <si>
    <t>Incident Log</t>
  </si>
  <si>
    <t>One row per incident, near miss to fatality: classification, days lost and the corrective action.</t>
  </si>
  <si>
    <t>Dashboard</t>
  </si>
  <si>
    <t>Rolling 12-month injury rates, cases by month and type, departments, event types and open actions.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</si>
  <si>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</si>
  <si>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</si>
  <si>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</si>
  <si>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</si>
  <si>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</si>
  <si>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</si>
  <si>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</si>
  <si>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</si>
  <si>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</si>
  <si>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</si>
  <si>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</si>
  <si>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</si>
  <si>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</si>
  <si>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</si>
  <si>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</si>
  <si>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</si>
  <si>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</si>
  <si>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</si>
  <si>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</si>
  <si>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</si>
  <si>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TRIR Calculator on mfgcalcs.com</t>
  </si>
  <si>
    <t>Latest version</t>
  </si>
  <si>
    <t>mfgcalcs.com/templates/safety-incident-log</t>
  </si>
  <si>
    <t>More free templates</t>
  </si>
  <si>
    <t>mfgcalcs.com/templates</t>
  </si>
  <si>
    <t>Version</t>
  </si>
  <si>
    <t>1.0.0 (updated 15 October 2026)</t>
  </si>
  <si>
    <t>About the example data</t>
  </si>
  <si>
    <t>Every number already in this workbook is example data for Kestrel Metal Works, a fictional business invented for this template, so the dashboard and charts show something meaningful on day one. It covers a 210-person metal fabrication plant with four departments over 24 months (October 2024 to September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</si>
  <si>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</si>
  <si>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</si>
  <si>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</si>
  <si>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</si>
  <si>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</si>
  <si>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</si>
  <si>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</si>
  <si>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</si>
  <si>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Department</t>
  </si>
  <si>
    <t>Lead</t>
  </si>
  <si>
    <t>Description</t>
  </si>
  <si>
    <t>Event type</t>
  </si>
  <si>
    <t>Hazard group</t>
  </si>
  <si>
    <t>Examples</t>
  </si>
  <si>
    <t>Site and targets</t>
  </si>
  <si>
    <t>Site name</t>
  </si>
  <si>
    <t>Kestrel Metal Works (example)</t>
  </si>
  <si>
    <t>Status as of</t>
  </si>
  <si>
    <t>TRIR target</t>
  </si>
  <si>
    <t>per 200,000 h</t>
  </si>
  <si>
    <t>DART rate target</t>
  </si>
  <si>
    <t>Targets are yours to set; nothing in this workbook assumes an industry benchmark. A rate is 'Near target' when it is no more than 5% above its target (up to 3.15 against a 3.00 TRIR target), 'Above target' beyond that.</t>
  </si>
  <si>
    <t>How each incident is classified</t>
  </si>
  <si>
    <t>The Classification column takes one of six fixed words (the formulas read them, so do not rename them). Record each case once, at its most serious outcome, following OSHA 29 CFR 1904 or your own jurisdiction's rules.</t>
  </si>
  <si>
    <t>Classification</t>
  </si>
  <si>
    <t>What it means, and what it counts in</t>
  </si>
  <si>
    <t>Near miss</t>
  </si>
  <si>
    <t>No injury or illness. Counted as a report; never in a rate.</t>
  </si>
  <si>
    <t>First aid</t>
  </si>
  <si>
    <t>First-aid treatment only (29 CFR 1904.7(b)(5)). Not recordable.</t>
  </si>
  <si>
    <t>Other recordable</t>
  </si>
  <si>
    <t>Medical treatment beyond first aid, loss of consciousness or a significant diagnosed injury or illness, with no days away and no restriction. Recordable.</t>
  </si>
  <si>
    <t>Restricted or transfer</t>
  </si>
  <si>
    <t>Restricted work or job transfer, no days away. Recordable; a DART case.</t>
  </si>
  <si>
    <t>Days away</t>
  </si>
  <si>
    <t>At least one day away from work after the day of injury. Recordable; a DART case; lost time.</t>
  </si>
  <si>
    <t>Fatality</t>
  </si>
  <si>
    <t>Recordable and lost time. Not in the DART rate, which counts days-away, restricted and transfer cases.</t>
  </si>
  <si>
    <t>Lists that feed the dropdowns</t>
  </si>
  <si>
    <t>Edit, add or remove rows; the logs' dropdowns read these lists. Keep names unique. If you add departments or event types, see Method for extending the Dashboard blocks.</t>
  </si>
  <si>
    <t>Departments</t>
  </si>
  <si>
    <t>Press and fab</t>
  </si>
  <si>
    <t>Fabrication supervisor</t>
  </si>
  <si>
    <t>Laser cutting, punching, press brakes</t>
  </si>
  <si>
    <t>Welding</t>
  </si>
  <si>
    <t>Welding supervisor</t>
  </si>
  <si>
    <t>MIG and TIG cells, grinding and finishing</t>
  </si>
  <si>
    <t>Paint and assembly</t>
  </si>
  <si>
    <t>Assembly supervisor</t>
  </si>
  <si>
    <t>Powder coat line and final assembly</t>
  </si>
  <si>
    <t>Warehouse</t>
  </si>
  <si>
    <t>Logistics supervisor</t>
  </si>
  <si>
    <t>Receiving, stores, shipping and forklifts</t>
  </si>
  <si>
    <t>Event types (how the injury or near miss happened)</t>
  </si>
  <si>
    <t>Cut or laceration</t>
  </si>
  <si>
    <t>Contact with objects</t>
  </si>
  <si>
    <t>Sheet edges, burrs, knives, blades</t>
  </si>
  <si>
    <t>Burn or hot spatter</t>
  </si>
  <si>
    <t>Harmful exposure</t>
  </si>
  <si>
    <t>Weld spatter, hot parts, cure oven</t>
  </si>
  <si>
    <t>Overexertion or lifting</t>
  </si>
  <si>
    <t>Bodily reaction</t>
  </si>
  <si>
    <t>Manual handling, awkward reach, push and pull</t>
  </si>
  <si>
    <t>Struck by object</t>
  </si>
  <si>
    <t>Falling parts, swinging loads, tools</t>
  </si>
  <si>
    <t>Foreign body in eye</t>
  </si>
  <si>
    <t>Grinding dust, metal particles</t>
  </si>
  <si>
    <t>Slip, trip or fall</t>
  </si>
  <si>
    <t>Falls, slips, trips</t>
  </si>
  <si>
    <t>Wet floors, cables, steps, same level</t>
  </si>
  <si>
    <t>Caught in or between</t>
  </si>
  <si>
    <t>Press tooling, rollers, pallets</t>
  </si>
  <si>
    <t>Forklift or vehicle</t>
  </si>
  <si>
    <t>Transportation</t>
  </si>
  <si>
    <t>Forklifts, pallet trucks, yard vehicles</t>
  </si>
  <si>
    <t>Chemical or fume exposure</t>
  </si>
  <si>
    <t>Weld fume, solvents, powder coat</t>
  </si>
  <si>
    <t>Other</t>
  </si>
  <si>
    <t>Anything else; describe it in What happened</t>
  </si>
  <si>
    <t>Month</t>
  </si>
  <si>
    <t>Employees</t>
  </si>
  <si>
    <t>Hours worked</t>
  </si>
  <si>
    <t>Month start</t>
  </si>
  <si>
    <t>Hours per employee</t>
  </si>
  <si>
    <t>Check</t>
  </si>
  <si>
    <t>Notes</t>
  </si>
  <si>
    <t>Example data for Kestrel Metal Works (fictional). Replace it with your own: select the example rows, right-click, Delete &gt; Table Rows. One row per department per month.</t>
  </si>
  <si>
    <t/>
  </si>
  <si>
    <t>Case no.</t>
  </si>
  <si>
    <t>Date</t>
  </si>
  <si>
    <t>Job title</t>
  </si>
  <si>
    <t>Injury or illness</t>
  </si>
  <si>
    <t>Days restricted</t>
  </si>
  <si>
    <t>Recordable</t>
  </si>
  <si>
    <t>DART</t>
  </si>
  <si>
    <t>Lost time</t>
  </si>
  <si>
    <t>Days lost</t>
  </si>
  <si>
    <t>What happened</t>
  </si>
  <si>
    <t>Corrective action</t>
  </si>
  <si>
    <t>Action due</t>
  </si>
  <si>
    <t>Action closed</t>
  </si>
  <si>
    <t>Action status</t>
  </si>
  <si>
    <t>Example data for Kestrel Metal Works (fictional). Replace it with your own: select the example rows, right-click, Delete &gt; Table Rows. Record job titles, not names.</t>
  </si>
  <si>
    <t>2024-001</t>
  </si>
  <si>
    <t>Tool setter</t>
  </si>
  <si>
    <t>Laceration, forearm</t>
  </si>
  <si>
    <t>Knife slipped opening a carton</t>
  </si>
  <si>
    <t>Deburr before handling</t>
  </si>
  <si>
    <t>2024-002</t>
  </si>
  <si>
    <t>Press brake operator</t>
  </si>
  <si>
    <t>Switch to safety knives</t>
  </si>
  <si>
    <t>2024-003</t>
  </si>
  <si>
    <t>Order picker</t>
  </si>
  <si>
    <t>Part slid off a bench</t>
  </si>
  <si>
    <t>Shadow board at the cell</t>
  </si>
  <si>
    <t>2024-004</t>
  </si>
  <si>
    <t>Cut, right index finger</t>
  </si>
  <si>
    <t>Sheet edge handled without gloves</t>
  </si>
  <si>
    <t>2024-005</t>
  </si>
  <si>
    <t>Material handler</t>
  </si>
  <si>
    <t>Shoulder strain</t>
  </si>
  <si>
    <t>Pushed a loaded cart over a sill</t>
  </si>
  <si>
    <t>Raise bin height on the rack</t>
  </si>
  <si>
    <t>2024-006</t>
  </si>
  <si>
    <t>TIG welder</t>
  </si>
  <si>
    <t>Spatter burn, neck</t>
  </si>
  <si>
    <t>Touched the cure oven door frame</t>
  </si>
  <si>
    <t>Mark a hot-part cooling zone</t>
  </si>
  <si>
    <t>2024-007</t>
  </si>
  <si>
    <t>Lower back strain</t>
  </si>
  <si>
    <t>Lifted a frame alone, hoist unused</t>
  </si>
  <si>
    <t>Lift assist at the frame station</t>
  </si>
  <si>
    <t>2024-008</t>
  </si>
  <si>
    <t>MIG welder</t>
  </si>
  <si>
    <t>Grinding dust, left eye</t>
  </si>
  <si>
    <t>Fixture blown clean with air</t>
  </si>
  <si>
    <t>2024-009</t>
  </si>
  <si>
    <t>Bruised foot</t>
  </si>
  <si>
    <t>Walked into a forklift aisle</t>
  </si>
  <si>
    <t>Forklift refresher for drivers</t>
  </si>
  <si>
    <t>2024-010</t>
  </si>
  <si>
    <t>Extraction arm out of position</t>
  </si>
  <si>
    <t>Pump dispensers for solvent</t>
  </si>
  <si>
    <t>2024-011</t>
  </si>
  <si>
    <t>Burn, forearm</t>
  </si>
  <si>
    <t>2024-012</t>
  </si>
  <si>
    <t>Welding cell lead</t>
  </si>
  <si>
    <t>Grinding without a face shield</t>
  </si>
  <si>
    <t>Vacuum instead of air blow-off</t>
  </si>
  <si>
    <t>2024-013</t>
  </si>
  <si>
    <t>Laceration, left hand</t>
  </si>
  <si>
    <t>2025-001</t>
  </si>
  <si>
    <t>Assembly lead</t>
  </si>
  <si>
    <t>Reached past a burr on a blank</t>
  </si>
  <si>
    <t>2025-002</t>
  </si>
  <si>
    <t>Picked up a part before it cooled</t>
  </si>
  <si>
    <t>Sleeve covers for welders</t>
  </si>
  <si>
    <t>2025-003</t>
  </si>
  <si>
    <t>Punch press operator</t>
  </si>
  <si>
    <t>Swinging load touched the operator</t>
  </si>
  <si>
    <t>Review rigging and tag lines</t>
  </si>
  <si>
    <t>2025-004</t>
  </si>
  <si>
    <t>Cut-level gloves at the brakes</t>
  </si>
  <si>
    <t>2025-005</t>
  </si>
  <si>
    <t>Burn, back of hand</t>
  </si>
  <si>
    <t>2025-006</t>
  </si>
  <si>
    <t>Assembler</t>
  </si>
  <si>
    <t>Wrist sprain</t>
  </si>
  <si>
    <t>Awkward reach into a deep bin</t>
  </si>
  <si>
    <t>2025-007</t>
  </si>
  <si>
    <t>Finger between part and back gauge</t>
  </si>
  <si>
    <t>Retrain on back gauge clearance</t>
  </si>
  <si>
    <t>2025-008</t>
  </si>
  <si>
    <t>2025-009</t>
  </si>
  <si>
    <t>2025-010</t>
  </si>
  <si>
    <t>2025-011</t>
  </si>
  <si>
    <t>Sprained ankle</t>
  </si>
  <si>
    <t>Slipped on coolant by a machine</t>
  </si>
  <si>
    <t>2025-012</t>
  </si>
  <si>
    <t>Fabricator</t>
  </si>
  <si>
    <t>2025-013</t>
  </si>
  <si>
    <t>Metal particle, right eye</t>
  </si>
  <si>
    <t>2025-014</t>
  </si>
  <si>
    <t>Paint line operator</t>
  </si>
  <si>
    <t>2025-015</t>
  </si>
  <si>
    <t>Route welding leads overhead</t>
  </si>
  <si>
    <t>2025-016</t>
  </si>
  <si>
    <t>Crushed fingertip</t>
  </si>
  <si>
    <t>2025-017</t>
  </si>
  <si>
    <t>2025-018</t>
  </si>
  <si>
    <t>2025-019</t>
  </si>
  <si>
    <t>Hand between pallet and upright</t>
  </si>
  <si>
    <t>Pallet handling gloves</t>
  </si>
  <si>
    <t>2025-020</t>
  </si>
  <si>
    <t>Quality inspector</t>
  </si>
  <si>
    <t>Bruised knee</t>
  </si>
  <si>
    <t>Tripped over a welding lead</t>
  </si>
  <si>
    <t>2025-021</t>
  </si>
  <si>
    <t>Laser operator</t>
  </si>
  <si>
    <t>2025-022</t>
  </si>
  <si>
    <t>Spatter entered a gap in the sleeve</t>
  </si>
  <si>
    <t>Guard the oven door frame</t>
  </si>
  <si>
    <t>2025-023</t>
  </si>
  <si>
    <t>Daily check of extraction arms</t>
  </si>
  <si>
    <t>2025-024</t>
  </si>
  <si>
    <t>2025-025</t>
  </si>
  <si>
    <t>2025-026</t>
  </si>
  <si>
    <t>Grinder and finisher</t>
  </si>
  <si>
    <t>2025-027</t>
  </si>
  <si>
    <t>Face shields required at grinders</t>
  </si>
  <si>
    <t>2025-028</t>
  </si>
  <si>
    <t>Headache after fume exposure</t>
  </si>
  <si>
    <t>Solvent splash while wiping parts</t>
  </si>
  <si>
    <t>2025-029</t>
  </si>
  <si>
    <t>2025-030</t>
  </si>
  <si>
    <t>2025-031</t>
  </si>
  <si>
    <t>2025-032</t>
  </si>
  <si>
    <t>Two-person lift rule for frames</t>
  </si>
  <si>
    <t>2025-033</t>
  </si>
  <si>
    <t>2025-034</t>
  </si>
  <si>
    <t>2025-035</t>
  </si>
  <si>
    <t>2025-036</t>
  </si>
  <si>
    <t>Fix coolant leak, add drip tray</t>
  </si>
  <si>
    <t>2025-037</t>
  </si>
  <si>
    <t>2025-038</t>
  </si>
  <si>
    <t>Shipping clerk</t>
  </si>
  <si>
    <t>2025-039</t>
  </si>
  <si>
    <t>2025-040</t>
  </si>
  <si>
    <t>Contusion, shin</t>
  </si>
  <si>
    <t>Part stops on benches</t>
  </si>
  <si>
    <t>2025-041</t>
  </si>
  <si>
    <t>2025-042</t>
  </si>
  <si>
    <t>2025-043</t>
  </si>
  <si>
    <t>2025-044</t>
  </si>
  <si>
    <t>2025-045</t>
  </si>
  <si>
    <t>2025-046</t>
  </si>
  <si>
    <t>2025-047</t>
  </si>
  <si>
    <t>2025-048</t>
  </si>
  <si>
    <t>2025-049</t>
  </si>
  <si>
    <t>2025-050</t>
  </si>
  <si>
    <t>2025-051</t>
  </si>
  <si>
    <t>2025-052</t>
  </si>
  <si>
    <t>2025-053</t>
  </si>
  <si>
    <t>2025-054</t>
  </si>
  <si>
    <t>2025-055</t>
  </si>
  <si>
    <t>2025-056</t>
  </si>
  <si>
    <t>2025-057</t>
  </si>
  <si>
    <t>2025-058</t>
  </si>
  <si>
    <t>2025-059</t>
  </si>
  <si>
    <t>2025-060</t>
  </si>
  <si>
    <t>2025-061</t>
  </si>
  <si>
    <t>2026-001</t>
  </si>
  <si>
    <t>2026-002</t>
  </si>
  <si>
    <t>2026-003</t>
  </si>
  <si>
    <t>2026-004</t>
  </si>
  <si>
    <t>2026-005</t>
  </si>
  <si>
    <t>2026-006</t>
  </si>
  <si>
    <t>2026-007</t>
  </si>
  <si>
    <t>2026-008</t>
  </si>
  <si>
    <t>2026-009</t>
  </si>
  <si>
    <t>2026-010</t>
  </si>
  <si>
    <t>2026-011</t>
  </si>
  <si>
    <t>2026-012</t>
  </si>
  <si>
    <t>2026-013</t>
  </si>
  <si>
    <t>2026-014</t>
  </si>
  <si>
    <t>Forklift driver</t>
  </si>
  <si>
    <t>2026-015</t>
  </si>
  <si>
    <t>2026-016</t>
  </si>
  <si>
    <t>2026-017</t>
  </si>
  <si>
    <t>2026-018</t>
  </si>
  <si>
    <t>2026-019</t>
  </si>
  <si>
    <t>2026-020</t>
  </si>
  <si>
    <t>2026-021</t>
  </si>
  <si>
    <t>2026-022</t>
  </si>
  <si>
    <t>2026-023</t>
  </si>
  <si>
    <t>Pinched finger</t>
  </si>
  <si>
    <t>2026-024</t>
  </si>
  <si>
    <t>2026-025</t>
  </si>
  <si>
    <t>2026-026</t>
  </si>
  <si>
    <t>2026-027</t>
  </si>
  <si>
    <t>Skin irritation, hands</t>
  </si>
  <si>
    <t>2026-028</t>
  </si>
  <si>
    <t>2026-029</t>
  </si>
  <si>
    <t>2026-030</t>
  </si>
  <si>
    <t>Contusion, hand</t>
  </si>
  <si>
    <t>2026-031</t>
  </si>
  <si>
    <t>2026-032</t>
  </si>
  <si>
    <t>2026-033</t>
  </si>
  <si>
    <t>2026-034</t>
  </si>
  <si>
    <t>2026-035</t>
  </si>
  <si>
    <t>Clamp dropped near the foot</t>
  </si>
  <si>
    <t>2026-036</t>
  </si>
  <si>
    <t>2026-037</t>
  </si>
  <si>
    <t>2026-038</t>
  </si>
  <si>
    <t>2026-039</t>
  </si>
  <si>
    <t>Pallet truck rolled onto a foot</t>
  </si>
  <si>
    <t>2026-040</t>
  </si>
  <si>
    <t>2026-041</t>
  </si>
  <si>
    <t>2026-042</t>
  </si>
  <si>
    <t>Bruised shoulder</t>
  </si>
  <si>
    <t>2026-043</t>
  </si>
  <si>
    <t>2026-044</t>
  </si>
  <si>
    <t>2026-045</t>
  </si>
  <si>
    <t>2026-046</t>
  </si>
  <si>
    <t>2026-047</t>
  </si>
  <si>
    <t>2026-048</t>
  </si>
  <si>
    <t>2026-049</t>
  </si>
  <si>
    <t>2026-050</t>
  </si>
  <si>
    <t>12 months ending</t>
  </si>
  <si>
    <t>First month shown</t>
  </si>
  <si>
    <t>Last month shown</t>
  </si>
  <si>
    <t>TRIR (ROLLING 12 MONTHS)</t>
  </si>
  <si>
    <t>DART RATE (ROLLING 12 MONTHS)</t>
  </si>
  <si>
    <t>LTIFR (PER 1,000,000 H)</t>
  </si>
  <si>
    <t>RECORDABLE CASES</t>
  </si>
  <si>
    <t>Days-away and fatal cases x 1,000,000 / hours</t>
  </si>
  <si>
    <t>In the 12 months shown</t>
  </si>
  <si>
    <t>DAYS AWAY AND RESTRICTED</t>
  </si>
  <si>
    <t>NEAR MISSES AND FIRST AID</t>
  </si>
  <si>
    <t>CORRECTIVE ACTIONS OVERDUE</t>
  </si>
  <si>
    <t>DAYS SINCE LAST RECORDABLE</t>
  </si>
  <si>
    <t>Cases in the 12 months shown</t>
  </si>
  <si>
    <t>Reports in the 12 months shown</t>
  </si>
  <si>
    <t>Counted to the status date on Setup</t>
  </si>
  <si>
    <t>Injuries by event type (first aid and recordable)</t>
  </si>
  <si>
    <t>Rank</t>
  </si>
  <si>
    <t>Injuries</t>
  </si>
  <si>
    <t>Share</t>
  </si>
  <si>
    <t>Cumulative</t>
  </si>
  <si>
    <t>Helper: Event type (list order)</t>
  </si>
  <si>
    <t>Helper: value (-1 = unused slot)</t>
  </si>
  <si>
    <t>Helper: rank, ties by list order</t>
  </si>
  <si>
    <t>cases</t>
  </si>
  <si>
    <t>%</t>
  </si>
  <si>
    <t>Total</t>
  </si>
  <si>
    <t>By month (rolling rates are blank until the Hours Log holds 12 months)</t>
  </si>
  <si>
    <t>DART cases</t>
  </si>
  <si>
    <t>Near misses</t>
  </si>
  <si>
    <t>TRIR, 12 months to here</t>
  </si>
  <si>
    <t>DART rate, 12 months to here</t>
  </si>
  <si>
    <t>By department (12 months shown)</t>
  </si>
  <si>
    <t>TRIR</t>
  </si>
  <si>
    <t>DART rate</t>
  </si>
  <si>
    <t>Calendar-year totals (the case and hours figures an OSHA Form 300A summary asks for)</t>
  </si>
  <si>
    <t>Calendar year</t>
  </si>
  <si>
    <t>Deaths</t>
  </si>
  <si>
    <t>Days-away cases</t>
  </si>
  <si>
    <t>The Dashboard shows the 4 departments and 10 event types of the Setup lists. If you add more, extend the 'By department' and Pareto blocks (see Method) or they will not appear here.</t>
  </si>
  <si>
    <t>What this workbook calculates</t>
  </si>
  <si>
    <t>Injury rates normalise case counts by exposure: cases x a fixed number of hours / hours worked. On the 200,000-hour basis used by OSHA (100 full-time workers x 40 hours x 50 weeks) a TRIR of 3.0 means three recordable cases for every 100 full-time workers in a year. Each incident is logged once with its most serious outcome; the workbook derives whether it is recordable, a DART case or lost time, and every rate on the Dashboard is a rolling 12 months, because one month's hours are too few for a stable rate.</t>
  </si>
  <si>
    <t>Calculations</t>
  </si>
  <si>
    <t>Quantity</t>
  </si>
  <si>
    <t>How it is calculated</t>
  </si>
  <si>
    <t>Units</t>
  </si>
  <si>
    <t>Yes when the classification is Other recordable, Restricted or transfer, Days away or Fatality.</t>
  </si>
  <si>
    <t>Yes/No</t>
  </si>
  <si>
    <t>DART case</t>
  </si>
  <si>
    <t>Yes when the classification is Days away or Restricted or transfer.</t>
  </si>
  <si>
    <t>Yes when the classification is Days away or Fatality.</t>
  </si>
  <si>
    <t>Days away + days restricted. The Check column flags more than 180 days, where OSHA lets you stop counting.</t>
  </si>
  <si>
    <t>days</t>
  </si>
  <si>
    <t>Complete when a closed date is filled in; Overdue when the due date is before the status date on Setup; In progress otherwise; Check when there is no due date.</t>
  </si>
  <si>
    <t>-</t>
  </si>
  <si>
    <t>Hours Log: the first day of the month of the date typed, so hours group by calendar month. Incidents are grouped by their date falling inside the month.</t>
  </si>
  <si>
    <t>date</t>
  </si>
  <si>
    <t>Hours worked / employees for the Hours Log row; the Check column flags more than 300 h, which usually means a typing error.</t>
  </si>
  <si>
    <t>h</t>
  </si>
  <si>
    <t>Recordable cases x 200,000 / hours worked, over the 12 months shown (filtered by department when one is picked).</t>
  </si>
  <si>
    <t>DART cases x 200,000 / hours worked, same months.</t>
  </si>
  <si>
    <t>LTIFR</t>
  </si>
  <si>
    <t>Lost-time cases x 1,000,000 / hours worked. LTIR on the 200,000-hour basis is LTIFR / 5.</t>
  </si>
  <si>
    <t>per 1,000,000 h</t>
  </si>
  <si>
    <t>Rolling 12-month rate</t>
  </si>
  <si>
    <t>For each month on the Dashboard: cases in that month and the 11 before / hours in the same 12 months x 200,000. Blank until the Hours Log holds 12 months.</t>
  </si>
  <si>
    <t>Days since last recordable</t>
  </si>
  <si>
    <t>Status date minus the date of the latest recordable case on or before it.</t>
  </si>
  <si>
    <t>Calendar-year totals</t>
  </si>
  <si>
    <t>Cases by outcome, days away, days restricted and hours worked for each calendar year, with TRIR and DART rate.</t>
  </si>
  <si>
    <t>cases, days, h</t>
  </si>
  <si>
    <t>Pareto</t>
  </si>
  <si>
    <t>First-aid and recordable cases per event type, ranked with COUNTIF (ties keep list order). Helper columns AO:AQ (hidden) hold the unsorted counts and ranks.</t>
  </si>
  <si>
    <t>cases, %</t>
  </si>
  <si>
    <t>Assumptions</t>
  </si>
  <si>
    <t>Hours worked are actual hours (not paid leave or holidays) for everyone whose cases you record, including temporary workers you supervise day to day.</t>
  </si>
  <si>
    <t>Each case is recorded once, at its most serious outcome; if a first-aid case later needs medical treatment, change its classification rather than adding a row.</t>
  </si>
  <si>
    <t>Departments in the Hours Log and the Incident Log use the same names, so department rates divide like by like.</t>
  </si>
  <si>
    <t>Limitations</t>
  </si>
  <si>
    <t>The workbook does not decide recordability; it applies the classification you choose. Use OSHA 29 CFR 1904 (or your own jurisdiction's rules) and your EHS advisor for borderline cases.</t>
  </si>
  <si>
    <t>Small denominators make rates jumpy: a department with 50,000 hours a year moves its TRIR by 4.0 with a single case. Read department rates with their case counts.</t>
  </si>
  <si>
    <t>The Dashboard has fixed blocks for 4 departments and 10 event types; longer lists need the blocks extended (a warning appears on the Dashboard).</t>
  </si>
  <si>
    <t>It is not an OSHA Form 300, 300A or 301 and does not replace them; it holds the numbers you need to complete them.</t>
  </si>
  <si>
    <t>Agreement with the live calculator</t>
  </si>
  <si>
    <t>For one period, this workbook and the live TRIR Calculator use the same formula: TRIR = recordable cases x 200,000 / hours worked; the DART Rate and Lost Time Injury Rate calculators do the same for DART and lost-time cases. The workbook adds the incident register, the monthly hours, rolling 12-month windows and the Dashboard. The template's reference implementation is checked against the calculators' engines for their default examples on every build (5 recordable, 3 DART and 2 lost-time cases in 500,000 hours: TRIR 2.00, DART rate 1.20, LTIR 0.80), and the Verify sheet runs the same case through the workbook's formulas.</t>
  </si>
  <si>
    <t>Open the TRIR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</si>
  <si>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</si>
  <si>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</si>
  <si>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OSHA, 29 CFR Part 1904, Recording and Reporting Occupational Injuries and Illnesses (recording criteria, 1904.7; 180-day cap, 1904.7(b)(3)(vii)).</t>
  </si>
  <si>
    <t>U.S. Bureau of Labor Statistics, Survey of Occupational Injuries and Illnesses: how incidence rates are calculated (200,000-hour basis); industry rates by NAICS code.</t>
  </si>
  <si>
    <t>Lost-time injury frequency rate per 1,000,000 hours: the convention used by many national safety bodies and annual reports outside the US.</t>
  </si>
  <si>
    <t>MFG Calcs TRIR, DART Rate and Lost Time Injury Rate calculators: the same rate formula for one period.</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</si>
  <si>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</si>
  <si>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</si>
  <si>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</si>
  <si>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</si>
  <si>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</si>
  <si>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</si>
  <si>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</si>
  <si>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</si>
  <si>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</si>
  <si>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</si>
  <si>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</si>
  <si>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</si>
  <si>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</si>
  <si>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</si>
  <si>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</si>
  <si>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Case 1 (Days away): recordable</t>
  </si>
  <si>
    <t>Yes</t>
  </si>
  <si>
    <t>exact</t>
  </si>
  <si>
    <t>Case 3 (Restricted or transfer): recordable</t>
  </si>
  <si>
    <t>Case 4 (Other recordable): recordable</t>
  </si>
  <si>
    <t>Case 6 (First aid): recordable</t>
  </si>
  <si>
    <t>No</t>
  </si>
  <si>
    <t>Case 3 (restricted): DART</t>
  </si>
  <si>
    <t>Case 4 (other recordable): DART</t>
  </si>
  <si>
    <t>Case 1 (days away): lost time</t>
  </si>
  <si>
    <t>Case 3 (restricted): lost time</t>
  </si>
  <si>
    <t>Case 1: days lost (12 away + 5 restricted)</t>
  </si>
  <si>
    <t>Case 1: action status</t>
  </si>
  <si>
    <t>Complete</t>
  </si>
  <si>
    <t>Case 2: action status</t>
  </si>
  <si>
    <t>Overdue</t>
  </si>
  <si>
    <t>Case 3: action status</t>
  </si>
  <si>
    <t>In progress</t>
  </si>
  <si>
    <t>Case 4: action status</t>
  </si>
  <si>
    <t>Case 7: Check reports days away on a near miss</t>
  </si>
  <si>
    <t>Days away on a non-days-away case</t>
  </si>
  <si>
    <t>Case 9: Check reports a duplicate case number</t>
  </si>
  <si>
    <t>Duplicate case number</t>
  </si>
  <si>
    <t>Hours row 1: hours per employee</t>
  </si>
  <si>
    <t>Hours row 3: Check reports 400 h per employee</t>
  </si>
  <si>
    <t>Over 300 h per employee</t>
  </si>
  <si>
    <t>Window: hours worked (row 3 is outside the 12 months)</t>
  </si>
  <si>
    <t>Window: TRIR (calculator example: 5 cases, 500,000 h)</t>
  </si>
  <si>
    <t>Window: DART rate (3 cases)</t>
  </si>
  <si>
    <t>Window: LTIFR per 1,000,000 h (2 cases)</t>
  </si>
  <si>
    <t>Window: days away and restricted</t>
  </si>
  <si>
    <t>Days since last recordable (status 30 Jun 2026)</t>
  </si>
  <si>
    <t>Fixed test inputs</t>
  </si>
  <si>
    <t>White cells are fixed test inputs; blue cells are the workbook's formulas evaluated on them.</t>
  </si>
  <si>
    <t>Parameters</t>
  </si>
  <si>
    <t>Filter: department (blank = all)</t>
  </si>
  <si>
    <t>Department criterion (&lt;&gt; = any department)</t>
  </si>
  <si>
    <t>&lt;&gt;</t>
  </si>
  <si>
    <t>Window: first month</t>
  </si>
  <si>
    <t>Window: last month</t>
  </si>
  <si>
    <t>Test table: Hours</t>
  </si>
  <si>
    <t>Line A</t>
  </si>
  <si>
    <t>Line B</t>
  </si>
  <si>
    <t>Test table: Incidents</t>
  </si>
  <si>
    <t>T-1</t>
  </si>
  <si>
    <t>Cut</t>
  </si>
  <si>
    <t>Guard</t>
  </si>
  <si>
    <t>T-2</t>
  </si>
  <si>
    <t>Burn</t>
  </si>
  <si>
    <t>PPE</t>
  </si>
  <si>
    <t>T-3</t>
  </si>
  <si>
    <t>Lift</t>
  </si>
  <si>
    <t>Hoist</t>
  </si>
  <si>
    <t>T-4</t>
  </si>
  <si>
    <t>Gloves</t>
  </si>
  <si>
    <t>T-5</t>
  </si>
  <si>
    <t>Eye</t>
  </si>
  <si>
    <t>T-6</t>
  </si>
  <si>
    <t>Slip</t>
  </si>
  <si>
    <t>T-7</t>
  </si>
  <si>
    <t>T-8</t>
  </si>
</sst>
</file>

<file path=xl/styles.xml><?xml version="1.0" encoding="utf-8"?>
<styleSheet xmlns="http://schemas.openxmlformats.org/spreadsheetml/2006/main">
  <numFmts count="10">
    <numFmt numFmtId="164" formatCode="d mmm yyyy"/>
    <numFmt numFmtId="165" formatCode="#,##0.00"/>
    <numFmt numFmtId="166" formatCode="#,##0"/>
    <numFmt numFmtId="167" formatCode="#,##0.0"/>
    <numFmt numFmtId="168" formatCode="mmm yyyy"/>
    <numFmt numFmtId="169" formatCode="&quot;Target &quot;#,##0.00"/>
    <numFmt numFmtId="170" formatCode="&quot;Target &quot;#,##0"/>
    <numFmt numFmtId="171" formatCode="0.0%"/>
    <numFmt numFmtId="172" formatCode="0.0E+00"/>
    <numFmt numFmtId="173" formatCode="0.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FFFFFF"/>
      <name val="Calibri"/>
      <family val="2"/>
      <scheme val="minor"/>
    </font>
    <font>
      <b/>
      <sz val="10"/>
      <color rgb="FF14386C"/>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thin">
        <color rgb="FFD6DBE3"/>
      </top>
      <bottom style="thin">
        <color rgb="FFD6DBE3"/>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8">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2" borderId="5" xfId="0" applyFont="1" applyFill="1" applyBorder="1" applyAlignment="1">
      <alignment horizontal="left" vertical="center" wrapText="1"/>
    </xf>
    <xf numFmtId="0" fontId="9" fillId="0" borderId="6" xfId="0" applyFont="1" applyBorder="1" applyAlignment="1">
      <alignment vertical="center"/>
    </xf>
    <xf numFmtId="0" fontId="10" fillId="0" borderId="6" xfId="0" applyFont="1" applyBorder="1" applyAlignment="1">
      <alignment vertical="top" wrapText="1"/>
    </xf>
    <xf numFmtId="0" fontId="18" fillId="0" borderId="0" xfId="0" applyFont="1" applyAlignment="1">
      <alignment vertical="center"/>
    </xf>
    <xf numFmtId="0" fontId="17" fillId="2" borderId="5" xfId="0" applyFont="1" applyFill="1" applyBorder="1" applyAlignment="1">
      <alignment horizontal="center" vertical="center" wrapText="1"/>
    </xf>
    <xf numFmtId="0" fontId="19"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20" fillId="4" borderId="3" xfId="0"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10" fillId="3" borderId="2" xfId="0" applyFont="1" applyFill="1" applyBorder="1" applyAlignment="1" applyProtection="1">
      <alignment vertical="top" wrapText="1"/>
      <protection locked="0"/>
    </xf>
    <xf numFmtId="164" fontId="10" fillId="3" borderId="2" xfId="0" applyNumberFormat="1" applyFont="1" applyFill="1" applyBorder="1" applyAlignment="1" applyProtection="1">
      <alignment horizontal="left" vertical="center"/>
      <protection locked="0"/>
    </xf>
    <xf numFmtId="168" fontId="10" fillId="4" borderId="3" xfId="0" applyNumberFormat="1" applyFont="1" applyFill="1" applyBorder="1" applyAlignment="1">
      <alignment vertical="center"/>
    </xf>
    <xf numFmtId="0" fontId="21" fillId="0" borderId="0" xfId="0" applyFont="1" applyAlignment="1">
      <alignment vertical="center"/>
    </xf>
    <xf numFmtId="0" fontId="22" fillId="9" borderId="7" xfId="0" applyFont="1" applyFill="1" applyBorder="1" applyAlignment="1">
      <alignment vertical="center" wrapText="1"/>
    </xf>
    <xf numFmtId="165" fontId="4" fillId="9" borderId="8" xfId="0" applyNumberFormat="1" applyFont="1" applyFill="1" applyBorder="1" applyAlignment="1">
      <alignment horizontal="left" vertical="center"/>
    </xf>
    <xf numFmtId="166" fontId="4" fillId="9" borderId="8" xfId="0" applyNumberFormat="1" applyFont="1" applyFill="1" applyBorder="1" applyAlignment="1">
      <alignment horizontal="left" vertical="center"/>
    </xf>
    <xf numFmtId="169" fontId="23" fillId="9" borderId="8" xfId="0" applyNumberFormat="1" applyFont="1" applyFill="1" applyBorder="1" applyAlignment="1">
      <alignment horizontal="left" vertical="center"/>
    </xf>
    <xf numFmtId="0" fontId="23" fillId="9" borderId="8" xfId="0" applyFont="1" applyFill="1" applyBorder="1" applyAlignment="1">
      <alignment vertical="center"/>
    </xf>
    <xf numFmtId="0" fontId="22" fillId="9" borderId="9" xfId="0" applyFont="1" applyFill="1" applyBorder="1" applyAlignment="1">
      <alignment vertical="center"/>
    </xf>
    <xf numFmtId="170" fontId="23" fillId="9" borderId="8" xfId="0" applyNumberFormat="1" applyFont="1" applyFill="1" applyBorder="1" applyAlignment="1">
      <alignment horizontal="left" vertical="center"/>
    </xf>
    <xf numFmtId="0" fontId="21" fillId="0" borderId="0" xfId="0" applyFont="1" applyAlignment="1">
      <alignment horizontal="center" vertical="center"/>
    </xf>
    <xf numFmtId="166" fontId="9" fillId="0" borderId="6" xfId="0" applyNumberFormat="1" applyFont="1" applyBorder="1" applyAlignment="1">
      <alignment horizontal="center" vertical="center"/>
    </xf>
    <xf numFmtId="0" fontId="10" fillId="4" borderId="3" xfId="0" applyFont="1" applyFill="1" applyBorder="1" applyAlignment="1">
      <alignment vertical="center"/>
    </xf>
    <xf numFmtId="171" fontId="10" fillId="4" borderId="3" xfId="0" applyNumberFormat="1" applyFont="1" applyFill="1" applyBorder="1" applyAlignment="1">
      <alignment vertical="center"/>
    </xf>
    <xf numFmtId="166" fontId="10" fillId="0" borderId="0" xfId="0" applyNumberFormat="1" applyFont="1" applyAlignment="1">
      <alignment vertical="center"/>
    </xf>
    <xf numFmtId="0" fontId="9" fillId="4" borderId="10" xfId="0" applyFont="1" applyFill="1" applyBorder="1" applyAlignment="1">
      <alignment vertical="center"/>
    </xf>
    <xf numFmtId="166" fontId="9" fillId="4" borderId="10" xfId="0" applyNumberFormat="1" applyFont="1" applyFill="1" applyBorder="1" applyAlignment="1">
      <alignment vertical="center"/>
    </xf>
    <xf numFmtId="168" fontId="9" fillId="0" borderId="6" xfId="0" applyNumberFormat="1" applyFont="1" applyBorder="1" applyAlignment="1">
      <alignment vertical="center"/>
    </xf>
    <xf numFmtId="165" fontId="10" fillId="4" borderId="3" xfId="0" applyNumberFormat="1" applyFont="1" applyFill="1" applyBorder="1" applyAlignment="1">
      <alignment vertical="center"/>
    </xf>
    <xf numFmtId="165" fontId="10" fillId="0" borderId="6" xfId="0" applyNumberFormat="1" applyFont="1" applyBorder="1" applyAlignment="1">
      <alignment vertical="center"/>
    </xf>
    <xf numFmtId="0" fontId="13" fillId="0" borderId="0" xfId="0" applyFont="1" applyAlignment="1">
      <alignment vertical="center"/>
    </xf>
    <xf numFmtId="0" fontId="9" fillId="0" borderId="6" xfId="0" applyFont="1" applyBorder="1" applyAlignment="1">
      <alignment vertical="top" wrapText="1"/>
    </xf>
    <xf numFmtId="0" fontId="10" fillId="0" borderId="6" xfId="0" applyFont="1" applyBorder="1" applyAlignment="1">
      <alignment horizontal="center" vertical="top"/>
    </xf>
    <xf numFmtId="0" fontId="10" fillId="0" borderId="6" xfId="0" applyFont="1" applyBorder="1" applyAlignment="1">
      <alignment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8" fillId="0" borderId="0" xfId="0" applyFont="1" applyAlignment="1">
      <alignment vertical="center"/>
    </xf>
    <xf numFmtId="166" fontId="10" fillId="0" borderId="6"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6" xfId="0" applyNumberFormat="1" applyFont="1" applyBorder="1" applyAlignment="1">
      <alignment vertical="center"/>
    </xf>
    <xf numFmtId="167" fontId="10" fillId="0" borderId="6" xfId="0" applyNumberFormat="1" applyFont="1" applyBorder="1" applyAlignment="1">
      <alignment vertical="center"/>
    </xf>
    <xf numFmtId="173" fontId="10" fillId="0" borderId="6" xfId="0" applyNumberFormat="1" applyFont="1" applyBorder="1" applyAlignment="1">
      <alignment vertical="center"/>
    </xf>
    <xf numFmtId="173" fontId="10" fillId="4" borderId="3" xfId="0" applyNumberFormat="1" applyFont="1" applyFill="1" applyBorder="1" applyAlignment="1">
      <alignment vertical="center"/>
    </xf>
    <xf numFmtId="164" fontId="10" fillId="0" borderId="6"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Rolling 12-month TRIR and DART rate</a:t>
            </a:r>
          </a:p>
        </c:rich>
      </c:tx>
      <c:layout/>
    </c:title>
    <c:plotArea>
      <c:layout/>
      <c:barChart>
        <c:barDir val="col"/>
        <c:grouping val="clustered"/>
        <c:ser>
          <c:idx val="0"/>
          <c:order val="0"/>
          <c:tx>
            <c:v>TRIR</c:v>
          </c:tx>
          <c:spPr>
            <a:solidFill>
              <a:srgbClr val="3B64D8"/>
            </a:solidFill>
            <a:ln w="9525">
              <a:solidFill>
                <a:srgbClr val="FFFFFF"/>
              </a:solidFill>
            </a:ln>
          </c:spPr>
          <c:cat>
            <c:numRef>
              <c:f>Dashboard!$B$69:$B$80</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Dashboard!$H$69:$H$80</c:f>
              <c:numCache>
                <c:formatCode>General</c:formatCode>
                <c:ptCount val="12"/>
                <c:pt idx="0">
                  <c:v>3.77056134231984</c:v>
                </c:pt>
                <c:pt idx="1">
                  <c:v>3.77065020149412</c:v>
                </c:pt>
                <c:pt idx="2">
                  <c:v>3.30680019840801</c:v>
                </c:pt>
                <c:pt idx="3">
                  <c:v>3.28307107848885</c:v>
                </c:pt>
                <c:pt idx="4">
                  <c:v>3.27861174211377</c:v>
                </c:pt>
                <c:pt idx="5">
                  <c:v>3.26957658983162</c:v>
                </c:pt>
                <c:pt idx="6">
                  <c:v>2.80000933336444</c:v>
                </c:pt>
                <c:pt idx="7">
                  <c:v>2.79037321241716</c:v>
                </c:pt>
                <c:pt idx="8">
                  <c:v>2.31663809479683</c:v>
                </c:pt>
                <c:pt idx="9">
                  <c:v>2.7654229944922</c:v>
                </c:pt>
                <c:pt idx="10">
                  <c:v>2.75570660910302</c:v>
                </c:pt>
                <c:pt idx="11">
                  <c:v>2.75475769610431</c:v>
                </c:pt>
              </c:numCache>
            </c:numRef>
          </c:val>
        </c:ser>
        <c:ser>
          <c:idx val="1"/>
          <c:order val="1"/>
          <c:tx>
            <c:v>DART rate</c:v>
          </c:tx>
          <c:spPr>
            <a:solidFill>
              <a:srgbClr val="E8702A"/>
            </a:solidFill>
            <a:ln w="9525">
              <a:solidFill>
                <a:srgbClr val="FFFFFF"/>
              </a:solidFill>
            </a:ln>
          </c:spPr>
          <c:cat>
            <c:numRef>
              <c:f>Dashboard!$B$69:$B$80</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Dashboard!$I$69:$I$80</c:f>
              <c:numCache>
                <c:formatCode>General</c:formatCode>
                <c:ptCount val="12"/>
                <c:pt idx="0">
                  <c:v>2.3566008389499</c:v>
                </c:pt>
                <c:pt idx="1">
                  <c:v>2.35665637593383</c:v>
                </c:pt>
                <c:pt idx="2">
                  <c:v>1.88960011337601</c:v>
                </c:pt>
                <c:pt idx="3">
                  <c:v>1.87604061627934</c:v>
                </c:pt>
                <c:pt idx="4">
                  <c:v>1.87349242406501</c:v>
                </c:pt>
                <c:pt idx="5">
                  <c:v>1.86832947990378</c:v>
                </c:pt>
                <c:pt idx="6">
                  <c:v>1.86667288890963</c:v>
                </c:pt>
                <c:pt idx="7">
                  <c:v>1.39518660620858</c:v>
                </c:pt>
                <c:pt idx="8">
                  <c:v>0.926655237918732</c:v>
                </c:pt>
                <c:pt idx="9">
                  <c:v>1.3827114972461</c:v>
                </c:pt>
                <c:pt idx="10">
                  <c:v>1.37785330455151</c:v>
                </c:pt>
                <c:pt idx="11">
                  <c:v>1.37737884805216</c:v>
                </c:pt>
              </c:numCache>
            </c:numRef>
          </c:val>
        </c:ser>
        <c:gapWidth val="60"/>
        <c:overlap val="-10"/>
        <c:axId val="50010001"/>
        <c:axId val="50010002"/>
      </c:barChart>
      <c:lineChart>
        <c:grouping val="standard"/>
        <c:ser>
          <c:idx val="2"/>
          <c:order val="2"/>
          <c:tx>
            <c:v>TRIR target</c:v>
          </c:tx>
          <c:spPr>
            <a:ln w="19050">
              <a:solidFill>
                <a:srgbClr val="4A5361"/>
              </a:solidFill>
              <a:prstDash val="dash"/>
            </a:ln>
          </c:spPr>
          <c:marker>
            <c:symbol val="none"/>
          </c:marker>
          <c:cat>
            <c:numRef>
              <c:f>Dashboard!$B$69:$B$80</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Dashboard!$J$69:$J$80</c:f>
              <c:numCache>
                <c:formatCode>General</c:formatCode>
                <c:ptCount val="12"/>
                <c:pt idx="0">
                  <c:v>3</c:v>
                </c:pt>
                <c:pt idx="1">
                  <c:v>3</c:v>
                </c:pt>
                <c:pt idx="2">
                  <c:v>3</c:v>
                </c:pt>
                <c:pt idx="3">
                  <c:v>3</c:v>
                </c:pt>
                <c:pt idx="4">
                  <c:v>3</c:v>
                </c:pt>
                <c:pt idx="5">
                  <c:v>3</c:v>
                </c:pt>
                <c:pt idx="6">
                  <c:v>3</c:v>
                </c:pt>
                <c:pt idx="7">
                  <c:v>3</c:v>
                </c:pt>
                <c:pt idx="8">
                  <c:v>3</c:v>
                </c:pt>
                <c:pt idx="9">
                  <c:v>3</c:v>
                </c:pt>
                <c:pt idx="10">
                  <c:v>3</c:v>
                </c:pt>
                <c:pt idx="11">
                  <c:v>3</c:v>
                </c:pt>
              </c:numCache>
            </c:numRef>
          </c:val>
        </c:ser>
        <c:marker val="1"/>
        <c:axId val="50010001"/>
        <c:axId val="50010002"/>
      </c:line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Cases by month and type</a:t>
            </a:r>
          </a:p>
        </c:rich>
      </c:tx>
      <c:layout/>
    </c:title>
    <c:plotArea>
      <c:layout/>
      <c:barChart>
        <c:barDir val="col"/>
        <c:grouping val="stacked"/>
        <c:ser>
          <c:idx val="0"/>
          <c:order val="0"/>
          <c:tx>
            <c:v>DART cases</c:v>
          </c:tx>
          <c:spPr>
            <a:solidFill>
              <a:srgbClr val="3B64D8"/>
            </a:solidFill>
            <a:ln w="9525">
              <a:solidFill>
                <a:srgbClr val="FFFFFF"/>
              </a:solidFill>
            </a:ln>
          </c:spPr>
          <c:cat>
            <c:numRef>
              <c:f>Dashboard!$B$69:$B$80</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Dashboard!$D$69:$D$80</c:f>
              <c:numCache>
                <c:formatCode>General</c:formatCode>
                <c:ptCount val="12"/>
                <c:pt idx="0">
                  <c:v>0</c:v>
                </c:pt>
                <c:pt idx="1">
                  <c:v>1</c:v>
                </c:pt>
                <c:pt idx="2">
                  <c:v>0</c:v>
                </c:pt>
                <c:pt idx="3">
                  <c:v>0</c:v>
                </c:pt>
                <c:pt idx="4">
                  <c:v>0</c:v>
                </c:pt>
                <c:pt idx="5">
                  <c:v>1</c:v>
                </c:pt>
                <c:pt idx="6">
                  <c:v>0</c:v>
                </c:pt>
                <c:pt idx="7">
                  <c:v>0</c:v>
                </c:pt>
                <c:pt idx="8">
                  <c:v>0</c:v>
                </c:pt>
                <c:pt idx="9">
                  <c:v>1</c:v>
                </c:pt>
                <c:pt idx="10">
                  <c:v>0</c:v>
                </c:pt>
                <c:pt idx="11">
                  <c:v>0</c:v>
                </c:pt>
              </c:numCache>
            </c:numRef>
          </c:val>
        </c:ser>
        <c:ser>
          <c:idx val="1"/>
          <c:order val="1"/>
          <c:tx>
            <c:v>Other recordable</c:v>
          </c:tx>
          <c:spPr>
            <a:solidFill>
              <a:srgbClr val="E8702A"/>
            </a:solidFill>
            <a:ln w="9525">
              <a:solidFill>
                <a:srgbClr val="FFFFFF"/>
              </a:solidFill>
            </a:ln>
          </c:spPr>
          <c:cat>
            <c:numRef>
              <c:f>Dashboard!$B$69:$B$80</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Dashboard!$E$69:$E$80</c:f>
              <c:numCache>
                <c:formatCode>General</c:formatCode>
                <c:ptCount val="12"/>
                <c:pt idx="0">
                  <c:v>0</c:v>
                </c:pt>
                <c:pt idx="1">
                  <c:v>0</c:v>
                </c:pt>
                <c:pt idx="2">
                  <c:v>0</c:v>
                </c:pt>
                <c:pt idx="3">
                  <c:v>1</c:v>
                </c:pt>
                <c:pt idx="4">
                  <c:v>0</c:v>
                </c:pt>
                <c:pt idx="5">
                  <c:v>0</c:v>
                </c:pt>
                <c:pt idx="6">
                  <c:v>0</c:v>
                </c:pt>
                <c:pt idx="7">
                  <c:v>1</c:v>
                </c:pt>
                <c:pt idx="8">
                  <c:v>0</c:v>
                </c:pt>
                <c:pt idx="9">
                  <c:v>0</c:v>
                </c:pt>
                <c:pt idx="10">
                  <c:v>1</c:v>
                </c:pt>
                <c:pt idx="11">
                  <c:v>0</c:v>
                </c:pt>
              </c:numCache>
            </c:numRef>
          </c:val>
        </c:ser>
        <c:ser>
          <c:idx val="2"/>
          <c:order val="2"/>
          <c:tx>
            <c:v>First aid</c:v>
          </c:tx>
          <c:spPr>
            <a:solidFill>
              <a:srgbClr val="1BA37A"/>
            </a:solidFill>
            <a:ln w="9525">
              <a:solidFill>
                <a:srgbClr val="FFFFFF"/>
              </a:solidFill>
            </a:ln>
          </c:spPr>
          <c:cat>
            <c:numRef>
              <c:f>Dashboard!$B$69:$B$80</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Dashboard!$F$69:$F$80</c:f>
              <c:numCache>
                <c:formatCode>General</c:formatCode>
                <c:ptCount val="12"/>
                <c:pt idx="0">
                  <c:v>2</c:v>
                </c:pt>
                <c:pt idx="1">
                  <c:v>2</c:v>
                </c:pt>
                <c:pt idx="2">
                  <c:v>1</c:v>
                </c:pt>
                <c:pt idx="3">
                  <c:v>2</c:v>
                </c:pt>
                <c:pt idx="4">
                  <c:v>3</c:v>
                </c:pt>
                <c:pt idx="5">
                  <c:v>1</c:v>
                </c:pt>
                <c:pt idx="6">
                  <c:v>2</c:v>
                </c:pt>
                <c:pt idx="7">
                  <c:v>2</c:v>
                </c:pt>
                <c:pt idx="8">
                  <c:v>3</c:v>
                </c:pt>
                <c:pt idx="9">
                  <c:v>2</c:v>
                </c:pt>
                <c:pt idx="10">
                  <c:v>1</c:v>
                </c:pt>
                <c:pt idx="11">
                  <c:v>2</c:v>
                </c:pt>
              </c:numCache>
            </c:numRef>
          </c:val>
        </c:ser>
        <c:ser>
          <c:idx val="3"/>
          <c:order val="3"/>
          <c:tx>
            <c:v>Near misses</c:v>
          </c:tx>
          <c:spPr>
            <a:solidFill>
              <a:srgbClr val="E0A100"/>
            </a:solidFill>
            <a:ln w="9525">
              <a:solidFill>
                <a:srgbClr val="FFFFFF"/>
              </a:solidFill>
            </a:ln>
          </c:spPr>
          <c:cat>
            <c:numRef>
              <c:f>Dashboard!$B$69:$B$80</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Dashboard!$G$69:$G$80</c:f>
              <c:numCache>
                <c:formatCode>General</c:formatCode>
                <c:ptCount val="12"/>
                <c:pt idx="0">
                  <c:v>5</c:v>
                </c:pt>
                <c:pt idx="1">
                  <c:v>3</c:v>
                </c:pt>
                <c:pt idx="2">
                  <c:v>3</c:v>
                </c:pt>
                <c:pt idx="3">
                  <c:v>2</c:v>
                </c:pt>
                <c:pt idx="4">
                  <c:v>2</c:v>
                </c:pt>
                <c:pt idx="5">
                  <c:v>3</c:v>
                </c:pt>
                <c:pt idx="6">
                  <c:v>4</c:v>
                </c:pt>
                <c:pt idx="7">
                  <c:v>3</c:v>
                </c:pt>
                <c:pt idx="8">
                  <c:v>2</c:v>
                </c:pt>
                <c:pt idx="9">
                  <c:v>3</c:v>
                </c:pt>
                <c:pt idx="10">
                  <c:v>5</c:v>
                </c:pt>
                <c:pt idx="11">
                  <c:v>3</c:v>
                </c:pt>
              </c:numCache>
            </c:numRef>
          </c:val>
        </c:ser>
        <c:gapWidth val="60"/>
        <c:overlap val="100"/>
        <c:axId val="50020001"/>
        <c:axId val="50020002"/>
      </c:bar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TRIR by department</a:t>
            </a:r>
          </a:p>
        </c:rich>
      </c:tx>
      <c:layout/>
    </c:title>
    <c:plotArea>
      <c:layout/>
      <c:barChart>
        <c:barDir val="col"/>
        <c:grouping val="clustered"/>
        <c:ser>
          <c:idx val="0"/>
          <c:order val="0"/>
          <c:tx>
            <c:v>TRIR</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strRef>
              <c:f>Dashboard!$B$84:$B$87</c:f>
              <c:strCache>
                <c:ptCount val="4"/>
                <c:pt idx="0">
                  <c:v>Press and fab</c:v>
                </c:pt>
                <c:pt idx="1">
                  <c:v>Welding</c:v>
                </c:pt>
                <c:pt idx="2">
                  <c:v>Paint and assembly</c:v>
                </c:pt>
                <c:pt idx="3">
                  <c:v>Warehouse</c:v>
                </c:pt>
              </c:strCache>
            </c:strRef>
          </c:cat>
          <c:val>
            <c:numRef>
              <c:f>Dashboard!$I$84:$I$87</c:f>
              <c:numCache>
                <c:formatCode>General</c:formatCode>
                <c:ptCount val="4"/>
                <c:pt idx="0">
                  <c:v>1.58428390367554</c:v>
                </c:pt>
                <c:pt idx="1">
                  <c:v>5.85594378293968</c:v>
                </c:pt>
                <c:pt idx="2">
                  <c:v>1.36407038603192</c:v>
                </c:pt>
                <c:pt idx="3">
                  <c:v>3.31729971802952</c:v>
                </c:pt>
              </c:numCache>
            </c:numRef>
          </c:val>
        </c:ser>
        <c:gapWidth val="60"/>
        <c:overlap val="-10"/>
        <c:axId val="50030001"/>
        <c:axId val="50030002"/>
      </c:barChart>
      <c:lineChart>
        <c:grouping val="standard"/>
        <c:ser>
          <c:idx val="1"/>
          <c:order val="1"/>
          <c:tx>
            <c:v>TRIR target</c:v>
          </c:tx>
          <c:spPr>
            <a:ln w="19050">
              <a:solidFill>
                <a:srgbClr val="4A5361"/>
              </a:solidFill>
              <a:prstDash val="dash"/>
            </a:ln>
          </c:spPr>
          <c:marker>
            <c:symbol val="none"/>
          </c:marker>
          <c:cat>
            <c:strRef>
              <c:f>Dashboard!$B$84:$B$87</c:f>
              <c:strCache>
                <c:ptCount val="4"/>
                <c:pt idx="0">
                  <c:v>Press and fab</c:v>
                </c:pt>
                <c:pt idx="1">
                  <c:v>Welding</c:v>
                </c:pt>
                <c:pt idx="2">
                  <c:v>Paint and assembly</c:v>
                </c:pt>
                <c:pt idx="3">
                  <c:v>Warehouse</c:v>
                </c:pt>
              </c:strCache>
            </c:strRef>
          </c:cat>
          <c:val>
            <c:numRef>
              <c:f>Dashboard!$K$84:$K$87</c:f>
              <c:numCache>
                <c:formatCode>General</c:formatCode>
                <c:ptCount val="4"/>
                <c:pt idx="0">
                  <c:v>3</c:v>
                </c:pt>
                <c:pt idx="1">
                  <c:v>3</c:v>
                </c:pt>
                <c:pt idx="2">
                  <c:v>3</c:v>
                </c:pt>
                <c:pt idx="3">
                  <c:v>3</c:v>
                </c:pt>
              </c:numCache>
            </c:numRef>
          </c:val>
        </c:ser>
        <c:marker val="1"/>
        <c:axId val="50030001"/>
        <c:axId val="5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Injuries by event type</a:t>
            </a:r>
          </a:p>
        </c:rich>
      </c:tx>
      <c:layout/>
    </c:title>
    <c:plotArea>
      <c:layout/>
      <c:barChart>
        <c:barDir val="col"/>
        <c:grouping val="clustered"/>
        <c:ser>
          <c:idx val="0"/>
          <c:order val="0"/>
          <c:tx>
            <c:v>Injuries</c:v>
          </c:tx>
          <c:spPr>
            <a:solidFill>
              <a:srgbClr val="3B64D8"/>
            </a:solidFill>
            <a:ln w="9525">
              <a:solidFill>
                <a:srgbClr val="FFFFFF"/>
              </a:solidFill>
            </a:ln>
          </c:spPr>
          <c:cat>
            <c:strRef>
              <c:f>Dashboard!$C$55:$C$64</c:f>
              <c:strCache>
                <c:ptCount val="10"/>
                <c:pt idx="0">
                  <c:v>Foreign body in eye</c:v>
                </c:pt>
                <c:pt idx="1">
                  <c:v>Overexertion or lifting</c:v>
                </c:pt>
                <c:pt idx="2">
                  <c:v>Burn or hot spatter</c:v>
                </c:pt>
                <c:pt idx="3">
                  <c:v>Struck by object</c:v>
                </c:pt>
                <c:pt idx="4">
                  <c:v>Slip, trip or fall</c:v>
                </c:pt>
                <c:pt idx="5">
                  <c:v>Cut or laceration</c:v>
                </c:pt>
                <c:pt idx="6">
                  <c:v>Caught in or between</c:v>
                </c:pt>
                <c:pt idx="7">
                  <c:v>Chemical or fume exposure</c:v>
                </c:pt>
                <c:pt idx="8">
                  <c:v>Forklift or vehicle</c:v>
                </c:pt>
                <c:pt idx="9">
                  <c:v>Other</c:v>
                </c:pt>
              </c:strCache>
            </c:strRef>
          </c:cat>
          <c:val>
            <c:numRef>
              <c:f>Dashboard!$E$55:$E$64</c:f>
              <c:numCache>
                <c:formatCode>General</c:formatCode>
                <c:ptCount val="10"/>
                <c:pt idx="0">
                  <c:v>7</c:v>
                </c:pt>
                <c:pt idx="1">
                  <c:v>6</c:v>
                </c:pt>
                <c:pt idx="2">
                  <c:v>5</c:v>
                </c:pt>
                <c:pt idx="3">
                  <c:v>5</c:v>
                </c:pt>
                <c:pt idx="4">
                  <c:v>3</c:v>
                </c:pt>
                <c:pt idx="5">
                  <c:v>1</c:v>
                </c:pt>
                <c:pt idx="6">
                  <c:v>1</c:v>
                </c:pt>
                <c:pt idx="7">
                  <c:v>1</c:v>
                </c:pt>
                <c:pt idx="8">
                  <c:v>0</c:v>
                </c:pt>
                <c:pt idx="9">
                  <c:v>0</c:v>
                </c:pt>
              </c:numCache>
            </c:numRef>
          </c:val>
        </c:ser>
        <c:gapWidth val="40"/>
        <c:axId val="50040001"/>
        <c:axId val="5004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Dashboard!$C$55:$C$64</c:f>
              <c:strCache>
                <c:ptCount val="10"/>
                <c:pt idx="0">
                  <c:v>Foreign body in eye</c:v>
                </c:pt>
                <c:pt idx="1">
                  <c:v>Overexertion or lifting</c:v>
                </c:pt>
                <c:pt idx="2">
                  <c:v>Burn or hot spatter</c:v>
                </c:pt>
                <c:pt idx="3">
                  <c:v>Struck by object</c:v>
                </c:pt>
                <c:pt idx="4">
                  <c:v>Slip, trip or fall</c:v>
                </c:pt>
                <c:pt idx="5">
                  <c:v>Cut or laceration</c:v>
                </c:pt>
                <c:pt idx="6">
                  <c:v>Caught in or between</c:v>
                </c:pt>
                <c:pt idx="7">
                  <c:v>Chemical or fume exposure</c:v>
                </c:pt>
                <c:pt idx="8">
                  <c:v>Forklift or vehicle</c:v>
                </c:pt>
                <c:pt idx="9">
                  <c:v>Other</c:v>
                </c:pt>
              </c:strCache>
            </c:strRef>
          </c:cat>
          <c:val>
            <c:numRef>
              <c:f>Dashboard!$G$55:$G$64</c:f>
              <c:numCache>
                <c:formatCode>General</c:formatCode>
                <c:ptCount val="10"/>
                <c:pt idx="0">
                  <c:v>0.241379310344828</c:v>
                </c:pt>
                <c:pt idx="1">
                  <c:v>0.448275862068966</c:v>
                </c:pt>
                <c:pt idx="2">
                  <c:v>0.620689655172414</c:v>
                </c:pt>
                <c:pt idx="3">
                  <c:v>0.793103448275862</c:v>
                </c:pt>
                <c:pt idx="4">
                  <c:v>0.896551724137931</c:v>
                </c:pt>
                <c:pt idx="5">
                  <c:v>0.931034482758621</c:v>
                </c:pt>
                <c:pt idx="6">
                  <c:v>0.96551724137931</c:v>
                </c:pt>
                <c:pt idx="7">
                  <c:v>1</c:v>
                </c:pt>
                <c:pt idx="8">
                  <c:v>1</c:v>
                </c:pt>
                <c:pt idx="9">
                  <c:v>1</c:v>
                </c:pt>
              </c:numCache>
            </c:numRef>
          </c:val>
        </c:ser>
        <c:marker val="1"/>
        <c:axId val="60040001"/>
        <c:axId val="60040002"/>
      </c:line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valAx>
        <c:axId val="6004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40001"/>
        <c:crosses val="max"/>
        <c:crossBetween val="between"/>
        <c:majorUnit val="0.2"/>
      </c:valAx>
      <c:catAx>
        <c:axId val="60040001"/>
        <c:scaling>
          <c:orientation val="minMax"/>
        </c:scaling>
        <c:delete val="1"/>
        <c:axPos val="b"/>
        <c:tickLblPos val="none"/>
        <c:crossAx val="6004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13</xdr:row>
      <xdr:rowOff>38100</xdr:rowOff>
    </xdr:from>
    <xdr:to>
      <xdr:col>5</xdr:col>
      <xdr:colOff>676275</xdr:colOff>
      <xdr:row>27</xdr:row>
      <xdr:rowOff>152400</xdr:rowOff>
    </xdr:to>
    <xdr:graphicFrame macro="">
      <xdr:nvGraphicFramePr>
        <xdr:cNvPr id="2" name="Chart 1" descr="Column chart of the rolling 12-month TRIR and DART rate at each month in view, with the TRIR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13</xdr:row>
      <xdr:rowOff>38100</xdr:rowOff>
    </xdr:from>
    <xdr:to>
      <xdr:col>11</xdr:col>
      <xdr:colOff>676275</xdr:colOff>
      <xdr:row>27</xdr:row>
      <xdr:rowOff>152400</xdr:rowOff>
    </xdr:to>
    <xdr:graphicFrame macro="">
      <xdr:nvGraphicFramePr>
        <xdr:cNvPr id="3" name="Chart 2" descr="Stacked column chart of incidents per month split into DART cases, other recordable cases, first-aid cases and near miss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35</xdr:row>
      <xdr:rowOff>38100</xdr:rowOff>
    </xdr:from>
    <xdr:to>
      <xdr:col>5</xdr:col>
      <xdr:colOff>676275</xdr:colOff>
      <xdr:row>49</xdr:row>
      <xdr:rowOff>152400</xdr:rowOff>
    </xdr:to>
    <xdr:graphicFrame macro="">
      <xdr:nvGraphicFramePr>
        <xdr:cNvPr id="4" name="Chart 3" descr="Column chart of each department's TRIR over the 12 months shown, with the TRIR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35</xdr:row>
      <xdr:rowOff>38100</xdr:rowOff>
    </xdr:from>
    <xdr:to>
      <xdr:col>11</xdr:col>
      <xdr:colOff>676275</xdr:colOff>
      <xdr:row>49</xdr:row>
      <xdr:rowOff>152400</xdr:rowOff>
    </xdr:to>
    <xdr:graphicFrame macro="">
      <xdr:nvGraphicFramePr>
        <xdr:cNvPr id="5" name="Chart 4" descr="Pareto chart of first-aid and recordable injuries by event type,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Departments" displayName="tblDepartments" ref="B28:D32" totalsRowShown="0">
  <autoFilter ref="B28:D32"/>
  <tableColumns count="3">
    <tableColumn id="1" name="Department"/>
    <tableColumn id="2" name="Lead"/>
    <tableColumn id="3" name="Description"/>
  </tableColumns>
  <tableStyleInfo name="TableStyleLight1" showFirstColumn="0" showLastColumn="0" showRowStripes="0" showColumnStripes="0"/>
</table>
</file>

<file path=xl/tables/table2.xml><?xml version="1.0" encoding="utf-8"?>
<table xmlns="http://schemas.openxmlformats.org/spreadsheetml/2006/main" id="2" name="tblEventTypes" displayName="tblEventTypes" ref="B35:D45" totalsRowShown="0">
  <autoFilter ref="B35:D45"/>
  <tableColumns count="3">
    <tableColumn id="1" name="Event type"/>
    <tableColumn id="2" name="Hazard group"/>
    <tableColumn id="3" name="Examples"/>
  </tableColumns>
  <tableStyleInfo name="TableStyleLight1" showFirstColumn="0" showLastColumn="0" showRowStripes="0" showColumnStripes="0"/>
</table>
</file>

<file path=xl/tables/table3.xml><?xml version="1.0" encoding="utf-8"?>
<table xmlns="http://schemas.openxmlformats.org/spreadsheetml/2006/main" id="3" name="tblHours" displayName="tblHours" ref="B5:I101" totalsRowShown="0">
  <autoFilter ref="B5:I101"/>
  <tableColumns count="8">
    <tableColumn id="1" name="Month"/>
    <tableColumn id="2" name="Department"/>
    <tableColumn id="3" name="Employees"/>
    <tableColumn id="4" name="Hours worked"/>
    <tableColumn id="5" name="Month start">
      <calculatedColumnFormula>IF(tblHours[[#This Row],[Month]]="","",DATE(YEAR(tblHours[[#This Row],[Month]]),MONTH(tblHours[[#This Row],[Month]]),1))</calculatedColumnFormula>
    </tableColumn>
    <tableColumn id="6" name="Hours per employee">
      <calculatedColumnFormula>IF(tblHours[[#This Row],[Month]]="","",IF(N(tblHours[[#This Row],[Employees]])&gt;0,tblHours[[#This Row],[Hours worked]]/tblHours[[#This Row],[Employees]],""))</calculatedColumnFormula>
    </tableColumn>
    <tableColumn id="7" name="Check">
      <calculatedColumnFormula>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calculatedColumnFormula>
    </tableColumn>
    <tableColumn id="8" name="Notes"/>
  </tableColumns>
  <tableStyleInfo name="TableStyleLight1" showFirstColumn="0" showLastColumn="0" showRowStripes="0" showColumnStripes="0"/>
</table>
</file>

<file path=xl/tables/table4.xml><?xml version="1.0" encoding="utf-8"?>
<table xmlns="http://schemas.openxmlformats.org/spreadsheetml/2006/main" id="4" name="tblIncidents" displayName="tblIncidents" ref="B5:T129" totalsRowShown="0">
  <autoFilter ref="B5:T129"/>
  <tableColumns count="19">
    <tableColumn id="1" name="Case no."/>
    <tableColumn id="2" name="Date"/>
    <tableColumn id="3" name="Department"/>
    <tableColumn id="4" name="Job title"/>
    <tableColumn id="5" name="Event type"/>
    <tableColumn id="6" name="Classification"/>
    <tableColumn id="7" name="Injury or illness"/>
    <tableColumn id="8" name="Days away"/>
    <tableColumn id="9" name="Days restricted"/>
    <tableColumn id="10" name="Recordable">
      <calculatedColumnFormula>IF(tblIncidents[[#This Row],[Date]]="","",IF(OR(tblIncidents[[#This Row],[Classification]]="Other recordable",tblIncidents[[#This Row],[Classification]]="Restricted or transfer",tblIncidents[[#This Row],[Classification]]="Days away",tblIncidents[[#This Row],[Classification]]="Fatality"),"Yes","No"))</calculatedColumnFormula>
    </tableColumn>
    <tableColumn id="11" name="DART">
      <calculatedColumnFormula>IF(tblIncidents[[#This Row],[Date]]="","",IF(OR(tblIncidents[[#This Row],[Classification]]="Restricted or transfer",tblIncidents[[#This Row],[Classification]]="Days away"),"Yes","No"))</calculatedColumnFormula>
    </tableColumn>
    <tableColumn id="12" name="Lost time">
      <calculatedColumnFormula>IF(tblIncidents[[#This Row],[Date]]="","",IF(OR(tblIncidents[[#This Row],[Classification]]="Days away",tblIncidents[[#This Row],[Classification]]="Fatality"),"Yes","No"))</calculatedColumnFormula>
    </tableColumn>
    <tableColumn id="13" name="Days lost">
      <calculatedColumnFormula>IF(tblIncidents[[#This Row],[Date]]="","",N(tblIncidents[[#This Row],[Days away]])+N(tblIncidents[[#This Row],[Days restricted]]))</calculatedColumnFormula>
    </tableColumn>
    <tableColumn id="14" name="What happened"/>
    <tableColumn id="15" name="Corrective action"/>
    <tableColumn id="16" name="Action due"/>
    <tableColumn id="17" name="Action closed"/>
    <tableColumn id="18" name="Action status">
      <calculatedColumnFormula>IF(tblIncidents[[#This Row],[Date]]="","",IF(tblIncidents[[#This Row],[Corrective action]]="","",IF(N(tblIncidents[[#This Row],[Action closed]])&gt;0,"Complete",IF(N(tblIncidents[[#This Row],[Action due]])=0,"Check",IF(tblIncidents[[#This Row],[Action due]]&lt;AsOf,"Overdue","In progress")))))</calculatedColumnFormula>
    </tableColumn>
    <tableColumn id="19" name="Check">
      <calculatedColumnFormula>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VerifyHours" displayName="tblVerifyHours" ref="B48:I51" totalsRowShown="0">
  <tableColumns count="8">
    <tableColumn id="1" name="Month"/>
    <tableColumn id="2" name="Department"/>
    <tableColumn id="3" name="Employees"/>
    <tableColumn id="4" name="Hours worked"/>
    <tableColumn id="5" name="Month start">
      <calculatedColumnFormula>IF(tblVerifyHours[[#This Row],[Month]]="","",DATE(YEAR(tblVerifyHours[[#This Row],[Month]]),MONTH(tblVerifyHours[[#This Row],[Month]]),1))</calculatedColumnFormula>
    </tableColumn>
    <tableColumn id="6" name="Hours per employee">
      <calculatedColumnFormula>IF(tblVerifyHours[[#This Row],[Month]]="","",IF(N(tblVerifyHours[[#This Row],[Employees]])&gt;0,tblVerifyHours[[#This Row],[Hours worked]]/tblVerifyHours[[#This Row],[Employees]],""))</calculatedColumnFormula>
    </tableColumn>
    <tableColumn id="7" name="Check">
      <calculatedColumnFormula>IF(tblVerifyHours[[#This Row],[Month]]="","",IF(tblVerifyHours[[#This Row],[Department]]="","Missing department",IF(tblVerifyHours[[#This Row],[Employees]]="","Missing employees",IF(tblVerifyHours[[#This Row],[Hours worked]]="","Missing hours worked",IF(COUNTIFS(tblVerifyHours[Month start],tblVerifyHours[[#This Row],[Month start]],tblVerifyHours[Department],tblVerifyHours[[#This Row],[Department]])&gt;1,"Duplicate month and department",IF(AND(N(tblVerifyHours[[#This Row],[Employees]])&gt;0,tblVerifyHours[[#This Row],[Hours worked]]/tblVerifyHours[[#This Row],[Employees]]&gt;300),"Over 300 h per employee",IF(tblVerifyHours[[#This Row],[Month start]]&gt;$E$39,"Month after the as-of date","OK")))))))</calculatedColumnFormula>
    </tableColumn>
    <tableColumn id="8" name="Notes"/>
  </tableColumns>
  <tableStyleInfo name="TableStyleLight1" showFirstColumn="0" showLastColumn="0" showRowStripes="0" showColumnStripes="0"/>
</table>
</file>

<file path=xl/tables/table6.xml><?xml version="1.0" encoding="utf-8"?>
<table xmlns="http://schemas.openxmlformats.org/spreadsheetml/2006/main" id="6" name="tblVerifyIncidents" displayName="tblVerifyIncidents" ref="B54:T63" totalsRowShown="0">
  <tableColumns count="19">
    <tableColumn id="1" name="Case no."/>
    <tableColumn id="2" name="Date"/>
    <tableColumn id="3" name="Department"/>
    <tableColumn id="4" name="Job title"/>
    <tableColumn id="5" name="Event type"/>
    <tableColumn id="6" name="Classification"/>
    <tableColumn id="7" name="Injury or illness"/>
    <tableColumn id="8" name="Days away"/>
    <tableColumn id="9" name="Days restricted"/>
    <tableColumn id="10" name="Recordable">
      <calculatedColumnFormula>IF(tblVerifyIncidents[[#This Row],[Date]]="","",IF(OR(tblVerifyIncidents[[#This Row],[Classification]]="Other recordable",tblVerifyIncidents[[#This Row],[Classification]]="Restricted or transfer",tblVerifyIncidents[[#This Row],[Classification]]="Days away",tblVerifyIncidents[[#This Row],[Classification]]="Fatality"),"Yes","No"))</calculatedColumnFormula>
    </tableColumn>
    <tableColumn id="11" name="DART">
      <calculatedColumnFormula>IF(tblVerifyIncidents[[#This Row],[Date]]="","",IF(OR(tblVerifyIncidents[[#This Row],[Classification]]="Restricted or transfer",tblVerifyIncidents[[#This Row],[Classification]]="Days away"),"Yes","No"))</calculatedColumnFormula>
    </tableColumn>
    <tableColumn id="12" name="Lost time">
      <calculatedColumnFormula>IF(tblVerifyIncidents[[#This Row],[Date]]="","",IF(OR(tblVerifyIncidents[[#This Row],[Classification]]="Days away",tblVerifyIncidents[[#This Row],[Classification]]="Fatality"),"Yes","No"))</calculatedColumnFormula>
    </tableColumn>
    <tableColumn id="13" name="Days lost">
      <calculatedColumnFormula>IF(tblVerifyIncidents[[#This Row],[Date]]="","",N(tblVerifyIncidents[[#This Row],[Days away]])+N(tblVerifyIncidents[[#This Row],[Days restricted]]))</calculatedColumnFormula>
    </tableColumn>
    <tableColumn id="14" name="What happened"/>
    <tableColumn id="15" name="Corrective action"/>
    <tableColumn id="16" name="Action due"/>
    <tableColumn id="17" name="Action closed"/>
    <tableColumn id="18" name="Action status">
      <calculatedColumnFormula>IF(tblVerifyIncidents[[#This Row],[Date]]="","",IF(tblVerifyIncidents[[#This Row],[Corrective action]]="","",IF(N(tblVerifyIncidents[[#This Row],[Action closed]])&gt;0,"Complete",IF(N(tblVerifyIncidents[[#This Row],[Action due]])=0,"Check",IF(tblVerifyIncidents[[#This Row],[Action due]]&lt;$E$39,"Overdue","In progress")))))</calculatedColumnFormula>
    </tableColumn>
    <tableColumn id="19" name="Check">
      <calculatedColumnFormula>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incident-log" TargetMode="External"/><Relationship Id="rId2" Type="http://schemas.openxmlformats.org/officeDocument/2006/relationships/hyperlink" Target="https://www.mfgcalcs.com/calculators/safety-compliance-workforce/trir-calculator?utm_source=mfgcalcs-template&amp;utm_medium=xlsx&amp;utm_campaign=safety-incident-log" TargetMode="External"/><Relationship Id="rId3" Type="http://schemas.openxmlformats.org/officeDocument/2006/relationships/hyperlink" Target="https://www.mfgcalcs.com/templates/safety-incident-log?utm_source=mfgcalcs-template&amp;utm_medium=xlsx&amp;utm_campaign=safety-incident-log" TargetMode="External"/><Relationship Id="rId4" Type="http://schemas.openxmlformats.org/officeDocument/2006/relationships/hyperlink" Target="https://www.mfgcalcs.com/templates?utm_source=mfgcalcs-template&amp;utm_medium=xlsx&amp;utm_campaign=safety-incident-lo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incident-log"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incident-log"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incident-log" TargetMode="External"/><Relationship Id="rId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incident-log"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incident-log" TargetMode="External"/><Relationship Id="rId2" Type="http://schemas.openxmlformats.org/officeDocument/2006/relationships/hyperlink" Target="https://www.mfgcalcs.com/calculators/safety-compliance-workforce/trir-calculator?utm_source=mfgcalcs-template&amp;utm_medium=xlsx&amp;utm_campaign=safety-incident-lo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incident-log"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16.2"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23 of 23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Hours Log'!A1" tooltip="Go to Hours Log" display="Hours Log"/>
    <hyperlink ref="C23" location="'Incident Log'!A1" tooltip="Go to Incident Log" display="Incident Log"/>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Safety Incident Log with TRIR and DART&amp;R&amp;8&amp;A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5"/>
  <sheetViews>
    <sheetView showGridLines="0" workbookViewId="0"/>
  </sheetViews>
  <sheetFormatPr defaultRowHeight="15"/>
  <cols>
    <col min="1" max="1" width="2.7109375" customWidth="1"/>
    <col min="2" max="2" width="30.7109375" customWidth="1"/>
    <col min="3" max="3" width="22.7109375" customWidth="1"/>
    <col min="4" max="4" width="40.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70</v>
      </c>
      <c r="C4" s="8"/>
      <c r="D4" s="8"/>
    </row>
    <row r="5" spans="1:5" ht="5" customHeight="1"/>
    <row r="6" spans="1:5">
      <c r="B6" s="27" t="s">
        <v>71</v>
      </c>
      <c r="C6" s="28" t="s">
        <v>72</v>
      </c>
      <c r="D6" s="28"/>
    </row>
    <row r="7" spans="1:5">
      <c r="B7" s="27" t="s">
        <v>73</v>
      </c>
      <c r="C7" s="29">
        <v>46295</v>
      </c>
      <c r="D7" s="7"/>
    </row>
    <row r="8" spans="1:5">
      <c r="B8" s="27" t="s">
        <v>74</v>
      </c>
      <c r="C8" s="30">
        <v>3</v>
      </c>
      <c r="D8" s="7" t="s">
        <v>75</v>
      </c>
    </row>
    <row r="9" spans="1:5">
      <c r="B9" s="27" t="s">
        <v>76</v>
      </c>
      <c r="C9" s="30">
        <v>1.5</v>
      </c>
      <c r="D9" s="7" t="s">
        <v>75</v>
      </c>
    </row>
    <row r="11" spans="1:5" ht="35.4" customHeight="1">
      <c r="B11" s="25" t="s">
        <v>77</v>
      </c>
      <c r="C11" s="25"/>
      <c r="D11" s="25"/>
    </row>
    <row r="13" spans="1:5" ht="21" customHeight="1">
      <c r="B13" s="8" t="s">
        <v>78</v>
      </c>
      <c r="C13" s="8"/>
      <c r="D13" s="8"/>
    </row>
    <row r="14" spans="1:5" ht="5" customHeight="1"/>
    <row r="15" spans="1:5" ht="26.76" customHeight="1">
      <c r="B15" s="21" t="s">
        <v>79</v>
      </c>
      <c r="C15" s="21"/>
      <c r="D15" s="21"/>
    </row>
    <row r="16" spans="1:5" ht="20" customHeight="1">
      <c r="B16" s="31" t="s">
        <v>80</v>
      </c>
      <c r="C16" s="31" t="s">
        <v>81</v>
      </c>
      <c r="D16" s="31"/>
    </row>
    <row r="17" spans="2:4" ht="17.2" customHeight="1">
      <c r="B17" s="32" t="s">
        <v>82</v>
      </c>
      <c r="C17" s="33" t="s">
        <v>83</v>
      </c>
      <c r="D17" s="33"/>
    </row>
    <row r="18" spans="2:4" ht="17.2" customHeight="1">
      <c r="B18" s="32" t="s">
        <v>84</v>
      </c>
      <c r="C18" s="33" t="s">
        <v>85</v>
      </c>
      <c r="D18" s="33"/>
    </row>
    <row r="19" spans="2:4" ht="43.6" customHeight="1">
      <c r="B19" s="32" t="s">
        <v>86</v>
      </c>
      <c r="C19" s="33" t="s">
        <v>87</v>
      </c>
      <c r="D19" s="33"/>
    </row>
    <row r="20" spans="2:4" ht="17.2" customHeight="1">
      <c r="B20" s="32" t="s">
        <v>88</v>
      </c>
      <c r="C20" s="33" t="s">
        <v>89</v>
      </c>
      <c r="D20" s="33"/>
    </row>
    <row r="21" spans="2:4" ht="30.4" customHeight="1">
      <c r="B21" s="32" t="s">
        <v>90</v>
      </c>
      <c r="C21" s="33" t="s">
        <v>91</v>
      </c>
      <c r="D21" s="33"/>
    </row>
    <row r="22" spans="2:4" ht="30.4" customHeight="1">
      <c r="B22" s="32" t="s">
        <v>92</v>
      </c>
      <c r="C22" s="33" t="s">
        <v>93</v>
      </c>
      <c r="D22" s="33"/>
    </row>
    <row r="24" spans="2:4" ht="21" customHeight="1">
      <c r="B24" s="8" t="s">
        <v>94</v>
      </c>
      <c r="C24" s="8"/>
      <c r="D24" s="8"/>
    </row>
    <row r="25" spans="2:4" ht="5" customHeight="1"/>
    <row r="26" spans="2:4" ht="26.76" customHeight="1">
      <c r="B26" s="21" t="s">
        <v>95</v>
      </c>
      <c r="C26" s="21"/>
      <c r="D26" s="21"/>
    </row>
    <row r="27" spans="2:4">
      <c r="B27" s="34" t="s">
        <v>96</v>
      </c>
      <c r="C27" s="34"/>
      <c r="D27" s="34"/>
    </row>
    <row r="28" spans="2:4" ht="20" customHeight="1">
      <c r="B28" s="35" t="s">
        <v>64</v>
      </c>
      <c r="C28" s="35" t="s">
        <v>65</v>
      </c>
      <c r="D28" s="35" t="s">
        <v>66</v>
      </c>
    </row>
    <row r="29" spans="2:4">
      <c r="B29" s="28" t="s">
        <v>97</v>
      </c>
      <c r="C29" s="28" t="s">
        <v>98</v>
      </c>
      <c r="D29" s="28" t="s">
        <v>99</v>
      </c>
    </row>
    <row r="30" spans="2:4">
      <c r="B30" s="28" t="s">
        <v>100</v>
      </c>
      <c r="C30" s="28" t="s">
        <v>101</v>
      </c>
      <c r="D30" s="28" t="s">
        <v>102</v>
      </c>
    </row>
    <row r="31" spans="2:4">
      <c r="B31" s="28" t="s">
        <v>103</v>
      </c>
      <c r="C31" s="28" t="s">
        <v>104</v>
      </c>
      <c r="D31" s="28" t="s">
        <v>105</v>
      </c>
    </row>
    <row r="32" spans="2:4">
      <c r="B32" s="28" t="s">
        <v>106</v>
      </c>
      <c r="C32" s="28" t="s">
        <v>107</v>
      </c>
      <c r="D32" s="28" t="s">
        <v>108</v>
      </c>
    </row>
    <row r="34" spans="2:4">
      <c r="B34" s="34" t="s">
        <v>109</v>
      </c>
      <c r="C34" s="34"/>
      <c r="D34" s="34"/>
    </row>
    <row r="35" spans="2:4" ht="20" customHeight="1">
      <c r="B35" s="35" t="s">
        <v>67</v>
      </c>
      <c r="C35" s="35" t="s">
        <v>68</v>
      </c>
      <c r="D35" s="35" t="s">
        <v>69</v>
      </c>
    </row>
    <row r="36" spans="2:4">
      <c r="B36" s="28" t="s">
        <v>110</v>
      </c>
      <c r="C36" s="28" t="s">
        <v>111</v>
      </c>
      <c r="D36" s="28" t="s">
        <v>112</v>
      </c>
    </row>
    <row r="37" spans="2:4">
      <c r="B37" s="28" t="s">
        <v>113</v>
      </c>
      <c r="C37" s="28" t="s">
        <v>114</v>
      </c>
      <c r="D37" s="28" t="s">
        <v>115</v>
      </c>
    </row>
    <row r="38" spans="2:4">
      <c r="B38" s="28" t="s">
        <v>116</v>
      </c>
      <c r="C38" s="28" t="s">
        <v>117</v>
      </c>
      <c r="D38" s="28" t="s">
        <v>118</v>
      </c>
    </row>
    <row r="39" spans="2:4">
      <c r="B39" s="28" t="s">
        <v>119</v>
      </c>
      <c r="C39" s="28" t="s">
        <v>111</v>
      </c>
      <c r="D39" s="28" t="s">
        <v>120</v>
      </c>
    </row>
    <row r="40" spans="2:4">
      <c r="B40" s="28" t="s">
        <v>121</v>
      </c>
      <c r="C40" s="28" t="s">
        <v>111</v>
      </c>
      <c r="D40" s="28" t="s">
        <v>122</v>
      </c>
    </row>
    <row r="41" spans="2:4">
      <c r="B41" s="28" t="s">
        <v>123</v>
      </c>
      <c r="C41" s="28" t="s">
        <v>124</v>
      </c>
      <c r="D41" s="28" t="s">
        <v>125</v>
      </c>
    </row>
    <row r="42" spans="2:4">
      <c r="B42" s="28" t="s">
        <v>126</v>
      </c>
      <c r="C42" s="28" t="s">
        <v>111</v>
      </c>
      <c r="D42" s="28" t="s">
        <v>127</v>
      </c>
    </row>
    <row r="43" spans="2:4">
      <c r="B43" s="28" t="s">
        <v>128</v>
      </c>
      <c r="C43" s="28" t="s">
        <v>129</v>
      </c>
      <c r="D43" s="28" t="s">
        <v>130</v>
      </c>
    </row>
    <row r="44" spans="2:4">
      <c r="B44" s="28" t="s">
        <v>131</v>
      </c>
      <c r="C44" s="28" t="s">
        <v>114</v>
      </c>
      <c r="D44" s="28" t="s">
        <v>132</v>
      </c>
    </row>
    <row r="45" spans="2:4">
      <c r="B45" s="28" t="s">
        <v>133</v>
      </c>
      <c r="C45" s="28" t="s">
        <v>133</v>
      </c>
      <c r="D45" s="28" t="s">
        <v>134</v>
      </c>
    </row>
  </sheetData>
  <mergeCells count="19">
    <mergeCell ref="A1:E1"/>
    <mergeCell ref="B2:C2"/>
    <mergeCell ref="D2:E2"/>
    <mergeCell ref="B4:D4"/>
    <mergeCell ref="C6:D6"/>
    <mergeCell ref="B11:D11"/>
    <mergeCell ref="B13:D13"/>
    <mergeCell ref="B15:D15"/>
    <mergeCell ref="C16:D16"/>
    <mergeCell ref="C17:D17"/>
    <mergeCell ref="C18:D18"/>
    <mergeCell ref="C19:D19"/>
    <mergeCell ref="C20:D20"/>
    <mergeCell ref="C21:D21"/>
    <mergeCell ref="C22:D22"/>
    <mergeCell ref="B24:D24"/>
    <mergeCell ref="B26:D26"/>
    <mergeCell ref="B27:D27"/>
    <mergeCell ref="B34:D34"/>
  </mergeCells>
  <dataValidations count="10">
    <dataValidation type="textLength" allowBlank="1" showInputMessage="1" showErrorMessage="1" errorTitle="Check this entry" error="Text up to 80 characters." promptTitle="Site name" prompt="Your site or establishment name. Text up to 80 characters." sqref="C6">
      <formula1>0</formula1>
      <formula2>80</formula2>
    </dataValidation>
    <dataValidation type="date" allowBlank="1" showInputMessage="1" showErrorMessage="1" errorTitle="Check this entry" error="Enter a date between 01 Jan 2000 and 31 Dec 2100." promptTitle="Status as of" prompt="The date corrective actions are judged against (Overdue) and days since the last recordable are counted to. A typed date, so the file never changes by itself: update it when you review. Enter a date between 01 Jan 2000 and 31 Dec 2100." sqref="C7">
      <formula1>36526</formula1>
      <formula2>73415</formula2>
    </dataValidation>
    <dataValidation type="decimal" allowBlank="1" showInputMessage="1" showErrorMessage="1" errorTitle="Check this entry" error="Enter a number from 0 to 1,000." promptTitle="TRIR target" prompt="Your own target. For an outside comparison, look up your industry's rate by NAICS code in the BLS Survey of Occupational Injuries and Illnesses. Enter a number from 0 to 1,000." sqref="C8">
      <formula1>0</formula1>
      <formula2>1000</formula2>
    </dataValidation>
    <dataValidation type="decimal" allowBlank="1" showInputMessage="1" showErrorMessage="1" errorTitle="Check this entry" error="Enter a number from 0 to 1,000." promptTitle="DART rate target" prompt="Your own target for cases with days away, restricted work or job transfer. Enter a number from 0 to 1,000." sqref="C9">
      <formula1>0</formula1>
      <formula2>1000</formula2>
    </dataValidation>
    <dataValidation type="textLength" allowBlank="1" showInputMessage="1" showErrorMessage="1" errorTitle="Check this entry" error="Text up to 40 characters." promptTitle="Department" prompt="Text up to 40 characters." sqref="B29:B132">
      <formula1>0</formula1>
      <formula2>40</formula2>
    </dataValidation>
    <dataValidation type="textLength" allowBlank="1" showInputMessage="1" showErrorMessage="1" errorTitle="Check this entry" error="Text up to 60 characters." promptTitle="Lead" prompt="Who owns corrective actions in this department. Text up to 60 characters." sqref="C29:C132">
      <formula1>0</formula1>
      <formula2>60</formula2>
    </dataValidation>
    <dataValidation type="textLength" allowBlank="1" showInputMessage="1" showErrorMessage="1" errorTitle="Check this entry" error="Text up to 120 characters." promptTitle="Description" prompt="Text up to 120 characters." sqref="D29:D132">
      <formula1>0</formula1>
      <formula2>120</formula2>
    </dataValidation>
    <dataValidation type="textLength" allowBlank="1" showInputMessage="1" showErrorMessage="1" errorTitle="Check this entry" error="Text up to 40 characters." promptTitle="Event type" prompt="Text up to 40 characters." sqref="B36:B145">
      <formula1>0</formula1>
      <formula2>40</formula2>
    </dataValidation>
    <dataValidation type="textLength" allowBlank="1" showInputMessage="1" showErrorMessage="1" errorTitle="Check this entry" error="Text up to 40 characters." promptTitle="Hazard group" prompt="A broad group for your own analysis, e.g. the event divisions BLS uses in its injury statistics. Text up to 40 characters." sqref="C36:C145">
      <formula1>0</formula1>
      <formula2>40</formula2>
    </dataValidation>
    <dataValidation type="textLength" allowBlank="1" showInputMessage="1" showErrorMessage="1" errorTitle="Check this entry" error="Text up to 120 characters." promptTitle="Examples" prompt="Text up to 120 characters." sqref="D36:D145">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Safety Incident Log with TRIR and DART&amp;R&amp;8&amp;A</oddHeader>
    <oddFooter>&amp;L&amp;8mfgcalcs.com - free manufacturing templates&amp;R&amp;8Page &amp;P of &amp;N</oddFooter>
  </headerFooter>
  <rowBreaks count="1" manualBreakCount="1">
    <brk id="33"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I101"/>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2.7109375" customWidth="1"/>
    <col min="3" max="3" width="18.7109375" customWidth="1"/>
    <col min="4" max="4" width="11.7109375" customWidth="1"/>
    <col min="5" max="6" width="12.7109375" customWidth="1"/>
    <col min="7" max="7" width="11.7109375" customWidth="1"/>
    <col min="8" max="8" width="26.7109375" customWidth="1"/>
    <col min="9" max="9" width="24.7109375" customWidth="1"/>
  </cols>
  <sheetData>
    <row r="1" spans="1:9" ht="30" customHeight="1">
      <c r="A1" s="1" t="s">
        <v>0</v>
      </c>
      <c r="B1" s="1"/>
      <c r="C1" s="1"/>
      <c r="D1" s="1"/>
      <c r="E1" s="1"/>
      <c r="F1" s="1"/>
      <c r="G1" s="1"/>
      <c r="H1" s="1"/>
      <c r="I1" s="1"/>
    </row>
    <row r="2" spans="1:9" ht="21" customHeight="1">
      <c r="B2" s="2" t="s">
        <v>22</v>
      </c>
      <c r="C2" s="2"/>
      <c r="D2" s="2"/>
      <c r="E2" s="2"/>
      <c r="F2" s="2"/>
      <c r="G2" s="2"/>
      <c r="H2" s="2"/>
      <c r="I2" s="3" t="s">
        <v>2</v>
      </c>
    </row>
    <row r="3" spans="1:9" ht="6" customHeight="1"/>
    <row r="4" spans="1:9" ht="29.76" customHeight="1">
      <c r="B4" s="36" t="s">
        <v>142</v>
      </c>
      <c r="C4" s="36"/>
      <c r="D4" s="36"/>
      <c r="E4" s="36"/>
      <c r="F4" s="36"/>
      <c r="G4" s="36"/>
      <c r="H4" s="36"/>
      <c r="I4" s="36"/>
    </row>
    <row r="5" spans="1:9" ht="32" customHeight="1">
      <c r="B5" s="35" t="s">
        <v>135</v>
      </c>
      <c r="C5" s="35" t="s">
        <v>64</v>
      </c>
      <c r="D5" s="35" t="s">
        <v>136</v>
      </c>
      <c r="E5" s="35" t="s">
        <v>137</v>
      </c>
      <c r="F5" s="35" t="s">
        <v>138</v>
      </c>
      <c r="G5" s="35" t="s">
        <v>139</v>
      </c>
      <c r="H5" s="35" t="s">
        <v>140</v>
      </c>
      <c r="I5" s="35" t="s">
        <v>141</v>
      </c>
    </row>
    <row r="6" spans="1:9">
      <c r="B6" s="29">
        <v>45566</v>
      </c>
      <c r="C6" s="28" t="s">
        <v>97</v>
      </c>
      <c r="D6" s="37">
        <v>61</v>
      </c>
      <c r="E6" s="37">
        <v>10580</v>
      </c>
      <c r="F6" s="38">
        <f>IF(tblHours[[#This Row],[Month]]="","",DATE(YEAR(tblHours[[#This Row],[Month]]),MONTH(tblHours[[#This Row],[Month]]),1))</f>
        <v>45566</v>
      </c>
      <c r="G6" s="39">
        <f>IF(tblHours[[#This Row],[Month]]="","",IF(N(tblHours[[#This Row],[Employees]])&gt;0,tblHours[[#This Row],[Hours worked]]/tblHours[[#This Row],[Employees]],""))</f>
        <v>173.44262295082</v>
      </c>
      <c r="H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 s="28" t="s">
        <v>143</v>
      </c>
    </row>
    <row r="7" spans="1:9">
      <c r="B7" s="29">
        <v>45566</v>
      </c>
      <c r="C7" s="28" t="s">
        <v>100</v>
      </c>
      <c r="D7" s="37">
        <v>47</v>
      </c>
      <c r="E7" s="37">
        <v>7780</v>
      </c>
      <c r="F7" s="38">
        <f>IF(tblHours[[#This Row],[Month]]="","",DATE(YEAR(tblHours[[#This Row],[Month]]),MONTH(tblHours[[#This Row],[Month]]),1))</f>
        <v>45566</v>
      </c>
      <c r="G7" s="39">
        <f>IF(tblHours[[#This Row],[Month]]="","",IF(N(tblHours[[#This Row],[Employees]])&gt;0,tblHours[[#This Row],[Hours worked]]/tblHours[[#This Row],[Employees]],""))</f>
        <v>165.531914893617</v>
      </c>
      <c r="H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 s="28" t="s">
        <v>143</v>
      </c>
    </row>
    <row r="8" spans="1:9">
      <c r="B8" s="29">
        <v>45566</v>
      </c>
      <c r="C8" s="28" t="s">
        <v>103</v>
      </c>
      <c r="D8" s="37">
        <v>70</v>
      </c>
      <c r="E8" s="37">
        <v>12150</v>
      </c>
      <c r="F8" s="38">
        <f>IF(tblHours[[#This Row],[Month]]="","",DATE(YEAR(tblHours[[#This Row],[Month]]),MONTH(tblHours[[#This Row],[Month]]),1))</f>
        <v>45566</v>
      </c>
      <c r="G8" s="39">
        <f>IF(tblHours[[#This Row],[Month]]="","",IF(N(tblHours[[#This Row],[Employees]])&gt;0,tblHours[[#This Row],[Hours worked]]/tblHours[[#This Row],[Employees]],""))</f>
        <v>173.571428571429</v>
      </c>
      <c r="H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 s="28" t="s">
        <v>143</v>
      </c>
    </row>
    <row r="9" spans="1:9">
      <c r="B9" s="29">
        <v>45566</v>
      </c>
      <c r="C9" s="28" t="s">
        <v>106</v>
      </c>
      <c r="D9" s="37">
        <v>30</v>
      </c>
      <c r="E9" s="37">
        <v>5120</v>
      </c>
      <c r="F9" s="38">
        <f>IF(tblHours[[#This Row],[Month]]="","",DATE(YEAR(tblHours[[#This Row],[Month]]),MONTH(tblHours[[#This Row],[Month]]),1))</f>
        <v>45566</v>
      </c>
      <c r="G9" s="39">
        <f>IF(tblHours[[#This Row],[Month]]="","",IF(N(tblHours[[#This Row],[Employees]])&gt;0,tblHours[[#This Row],[Hours worked]]/tblHours[[#This Row],[Employees]],""))</f>
        <v>170.666666666667</v>
      </c>
      <c r="H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 s="28" t="s">
        <v>143</v>
      </c>
    </row>
    <row r="10" spans="1:9">
      <c r="B10" s="29">
        <v>45597</v>
      </c>
      <c r="C10" s="28" t="s">
        <v>97</v>
      </c>
      <c r="D10" s="37">
        <v>62</v>
      </c>
      <c r="E10" s="37">
        <v>10670</v>
      </c>
      <c r="F10" s="38">
        <f>IF(tblHours[[#This Row],[Month]]="","",DATE(YEAR(tblHours[[#This Row],[Month]]),MONTH(tblHours[[#This Row],[Month]]),1))</f>
        <v>45597</v>
      </c>
      <c r="G10" s="39">
        <f>IF(tblHours[[#This Row],[Month]]="","",IF(N(tblHours[[#This Row],[Employees]])&gt;0,tblHours[[#This Row],[Hours worked]]/tblHours[[#This Row],[Employees]],""))</f>
        <v>172.096774193548</v>
      </c>
      <c r="H1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0" s="28" t="s">
        <v>143</v>
      </c>
    </row>
    <row r="11" spans="1:9">
      <c r="B11" s="29">
        <v>45597</v>
      </c>
      <c r="C11" s="28" t="s">
        <v>100</v>
      </c>
      <c r="D11" s="37">
        <v>48</v>
      </c>
      <c r="E11" s="37">
        <v>7910</v>
      </c>
      <c r="F11" s="38">
        <f>IF(tblHours[[#This Row],[Month]]="","",DATE(YEAR(tblHours[[#This Row],[Month]]),MONTH(tblHours[[#This Row],[Month]]),1))</f>
        <v>45597</v>
      </c>
      <c r="G11" s="39">
        <f>IF(tblHours[[#This Row],[Month]]="","",IF(N(tblHours[[#This Row],[Employees]])&gt;0,tblHours[[#This Row],[Hours worked]]/tblHours[[#This Row],[Employees]],""))</f>
        <v>164.791666666667</v>
      </c>
      <c r="H1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1" s="28" t="s">
        <v>143</v>
      </c>
    </row>
    <row r="12" spans="1:9">
      <c r="B12" s="29">
        <v>45597</v>
      </c>
      <c r="C12" s="28" t="s">
        <v>103</v>
      </c>
      <c r="D12" s="37">
        <v>70</v>
      </c>
      <c r="E12" s="37">
        <v>11620</v>
      </c>
      <c r="F12" s="38">
        <f>IF(tblHours[[#This Row],[Month]]="","",DATE(YEAR(tblHours[[#This Row],[Month]]),MONTH(tblHours[[#This Row],[Month]]),1))</f>
        <v>45597</v>
      </c>
      <c r="G12" s="39">
        <f>IF(tblHours[[#This Row],[Month]]="","",IF(N(tblHours[[#This Row],[Employees]])&gt;0,tblHours[[#This Row],[Hours worked]]/tblHours[[#This Row],[Employees]],""))</f>
        <v>166</v>
      </c>
      <c r="H1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2" s="28" t="s">
        <v>143</v>
      </c>
    </row>
    <row r="13" spans="1:9">
      <c r="B13" s="29">
        <v>45597</v>
      </c>
      <c r="C13" s="28" t="s">
        <v>106</v>
      </c>
      <c r="D13" s="37">
        <v>30</v>
      </c>
      <c r="E13" s="37">
        <v>5170</v>
      </c>
      <c r="F13" s="38">
        <f>IF(tblHours[[#This Row],[Month]]="","",DATE(YEAR(tblHours[[#This Row],[Month]]),MONTH(tblHours[[#This Row],[Month]]),1))</f>
        <v>45597</v>
      </c>
      <c r="G13" s="39">
        <f>IF(tblHours[[#This Row],[Month]]="","",IF(N(tblHours[[#This Row],[Employees]])&gt;0,tblHours[[#This Row],[Hours worked]]/tblHours[[#This Row],[Employees]],""))</f>
        <v>172.333333333333</v>
      </c>
      <c r="H1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3" s="28" t="s">
        <v>143</v>
      </c>
    </row>
    <row r="14" spans="1:9">
      <c r="B14" s="29">
        <v>45627</v>
      </c>
      <c r="C14" s="28" t="s">
        <v>97</v>
      </c>
      <c r="D14" s="37">
        <v>62</v>
      </c>
      <c r="E14" s="37">
        <v>9460</v>
      </c>
      <c r="F14" s="38">
        <f>IF(tblHours[[#This Row],[Month]]="","",DATE(YEAR(tblHours[[#This Row],[Month]]),MONTH(tblHours[[#This Row],[Month]]),1))</f>
        <v>45627</v>
      </c>
      <c r="G14" s="39">
        <f>IF(tblHours[[#This Row],[Month]]="","",IF(N(tblHours[[#This Row],[Employees]])&gt;0,tblHours[[#This Row],[Hours worked]]/tblHours[[#This Row],[Employees]],""))</f>
        <v>152.58064516129</v>
      </c>
      <c r="H1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4" s="28" t="s">
        <v>143</v>
      </c>
    </row>
    <row r="15" spans="1:9">
      <c r="B15" s="29">
        <v>45627</v>
      </c>
      <c r="C15" s="28" t="s">
        <v>100</v>
      </c>
      <c r="D15" s="37">
        <v>48</v>
      </c>
      <c r="E15" s="37">
        <v>7310</v>
      </c>
      <c r="F15" s="38">
        <f>IF(tblHours[[#This Row],[Month]]="","",DATE(YEAR(tblHours[[#This Row],[Month]]),MONTH(tblHours[[#This Row],[Month]]),1))</f>
        <v>45627</v>
      </c>
      <c r="G15" s="39">
        <f>IF(tblHours[[#This Row],[Month]]="","",IF(N(tblHours[[#This Row],[Employees]])&gt;0,tblHours[[#This Row],[Hours worked]]/tblHours[[#This Row],[Employees]],""))</f>
        <v>152.291666666667</v>
      </c>
      <c r="H1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5" s="28" t="s">
        <v>143</v>
      </c>
    </row>
    <row r="16" spans="1:9">
      <c r="B16" s="29">
        <v>45627</v>
      </c>
      <c r="C16" s="28" t="s">
        <v>103</v>
      </c>
      <c r="D16" s="37">
        <v>71</v>
      </c>
      <c r="E16" s="37">
        <v>11370</v>
      </c>
      <c r="F16" s="38">
        <f>IF(tblHours[[#This Row],[Month]]="","",DATE(YEAR(tblHours[[#This Row],[Month]]),MONTH(tblHours[[#This Row],[Month]]),1))</f>
        <v>45627</v>
      </c>
      <c r="G16" s="39">
        <f>IF(tblHours[[#This Row],[Month]]="","",IF(N(tblHours[[#This Row],[Employees]])&gt;0,tblHours[[#This Row],[Hours worked]]/tblHours[[#This Row],[Employees]],""))</f>
        <v>160.140845070423</v>
      </c>
      <c r="H1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6" s="28" t="s">
        <v>143</v>
      </c>
    </row>
    <row r="17" spans="2:9">
      <c r="B17" s="29">
        <v>45627</v>
      </c>
      <c r="C17" s="28" t="s">
        <v>106</v>
      </c>
      <c r="D17" s="37">
        <v>30</v>
      </c>
      <c r="E17" s="37">
        <v>4670</v>
      </c>
      <c r="F17" s="38">
        <f>IF(tblHours[[#This Row],[Month]]="","",DATE(YEAR(tblHours[[#This Row],[Month]]),MONTH(tblHours[[#This Row],[Month]]),1))</f>
        <v>45627</v>
      </c>
      <c r="G17" s="39">
        <f>IF(tblHours[[#This Row],[Month]]="","",IF(N(tblHours[[#This Row],[Employees]])&gt;0,tblHours[[#This Row],[Hours worked]]/tblHours[[#This Row],[Employees]],""))</f>
        <v>155.666666666667</v>
      </c>
      <c r="H1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7" s="28" t="s">
        <v>143</v>
      </c>
    </row>
    <row r="18" spans="2:9">
      <c r="B18" s="29">
        <v>45658</v>
      </c>
      <c r="C18" s="28" t="s">
        <v>97</v>
      </c>
      <c r="D18" s="37">
        <v>61</v>
      </c>
      <c r="E18" s="37">
        <v>10470</v>
      </c>
      <c r="F18" s="38">
        <f>IF(tblHours[[#This Row],[Month]]="","",DATE(YEAR(tblHours[[#This Row],[Month]]),MONTH(tblHours[[#This Row],[Month]]),1))</f>
        <v>45658</v>
      </c>
      <c r="G18" s="39">
        <f>IF(tblHours[[#This Row],[Month]]="","",IF(N(tblHours[[#This Row],[Employees]])&gt;0,tblHours[[#This Row],[Hours worked]]/tblHours[[#This Row],[Employees]],""))</f>
        <v>171.639344262295</v>
      </c>
      <c r="H1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8" s="28" t="s">
        <v>143</v>
      </c>
    </row>
    <row r="19" spans="2:9">
      <c r="B19" s="29">
        <v>45658</v>
      </c>
      <c r="C19" s="28" t="s">
        <v>100</v>
      </c>
      <c r="D19" s="37">
        <v>48</v>
      </c>
      <c r="E19" s="37">
        <v>8060</v>
      </c>
      <c r="F19" s="38">
        <f>IF(tblHours[[#This Row],[Month]]="","",DATE(YEAR(tblHours[[#This Row],[Month]]),MONTH(tblHours[[#This Row],[Month]]),1))</f>
        <v>45658</v>
      </c>
      <c r="G19" s="39">
        <f>IF(tblHours[[#This Row],[Month]]="","",IF(N(tblHours[[#This Row],[Employees]])&gt;0,tblHours[[#This Row],[Hours worked]]/tblHours[[#This Row],[Employees]],""))</f>
        <v>167.916666666667</v>
      </c>
      <c r="H1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9" s="28" t="s">
        <v>143</v>
      </c>
    </row>
    <row r="20" spans="2:9">
      <c r="B20" s="29">
        <v>45658</v>
      </c>
      <c r="C20" s="28" t="s">
        <v>103</v>
      </c>
      <c r="D20" s="37">
        <v>70</v>
      </c>
      <c r="E20" s="37">
        <v>11730</v>
      </c>
      <c r="F20" s="38">
        <f>IF(tblHours[[#This Row],[Month]]="","",DATE(YEAR(tblHours[[#This Row],[Month]]),MONTH(tblHours[[#This Row],[Month]]),1))</f>
        <v>45658</v>
      </c>
      <c r="G20" s="39">
        <f>IF(tblHours[[#This Row],[Month]]="","",IF(N(tblHours[[#This Row],[Employees]])&gt;0,tblHours[[#This Row],[Hours worked]]/tblHours[[#This Row],[Employees]],""))</f>
        <v>167.571428571429</v>
      </c>
      <c r="H2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0" s="28" t="s">
        <v>143</v>
      </c>
    </row>
    <row r="21" spans="2:9">
      <c r="B21" s="29">
        <v>45658</v>
      </c>
      <c r="C21" s="28" t="s">
        <v>106</v>
      </c>
      <c r="D21" s="37">
        <v>29</v>
      </c>
      <c r="E21" s="37">
        <v>4940</v>
      </c>
      <c r="F21" s="38">
        <f>IF(tblHours[[#This Row],[Month]]="","",DATE(YEAR(tblHours[[#This Row],[Month]]),MONTH(tblHours[[#This Row],[Month]]),1))</f>
        <v>45658</v>
      </c>
      <c r="G21" s="39">
        <f>IF(tblHours[[#This Row],[Month]]="","",IF(N(tblHours[[#This Row],[Employees]])&gt;0,tblHours[[#This Row],[Hours worked]]/tblHours[[#This Row],[Employees]],""))</f>
        <v>170.344827586207</v>
      </c>
      <c r="H2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1" s="28" t="s">
        <v>143</v>
      </c>
    </row>
    <row r="22" spans="2:9">
      <c r="B22" s="29">
        <v>45689</v>
      </c>
      <c r="C22" s="28" t="s">
        <v>97</v>
      </c>
      <c r="D22" s="37">
        <v>62</v>
      </c>
      <c r="E22" s="37">
        <v>10770</v>
      </c>
      <c r="F22" s="38">
        <f>IF(tblHours[[#This Row],[Month]]="","",DATE(YEAR(tblHours[[#This Row],[Month]]),MONTH(tblHours[[#This Row],[Month]]),1))</f>
        <v>45689</v>
      </c>
      <c r="G22" s="39">
        <f>IF(tblHours[[#This Row],[Month]]="","",IF(N(tblHours[[#This Row],[Employees]])&gt;0,tblHours[[#This Row],[Hours worked]]/tblHours[[#This Row],[Employees]],""))</f>
        <v>173.709677419355</v>
      </c>
      <c r="H2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2" s="28" t="s">
        <v>143</v>
      </c>
    </row>
    <row r="23" spans="2:9">
      <c r="B23" s="29">
        <v>45689</v>
      </c>
      <c r="C23" s="28" t="s">
        <v>100</v>
      </c>
      <c r="D23" s="37">
        <v>48</v>
      </c>
      <c r="E23" s="37">
        <v>8080</v>
      </c>
      <c r="F23" s="38">
        <f>IF(tblHours[[#This Row],[Month]]="","",DATE(YEAR(tblHours[[#This Row],[Month]]),MONTH(tblHours[[#This Row],[Month]]),1))</f>
        <v>45689</v>
      </c>
      <c r="G23" s="39">
        <f>IF(tblHours[[#This Row],[Month]]="","",IF(N(tblHours[[#This Row],[Employees]])&gt;0,tblHours[[#This Row],[Hours worked]]/tblHours[[#This Row],[Employees]],""))</f>
        <v>168.333333333333</v>
      </c>
      <c r="H2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3" s="28" t="s">
        <v>143</v>
      </c>
    </row>
    <row r="24" spans="2:9">
      <c r="B24" s="29">
        <v>45689</v>
      </c>
      <c r="C24" s="28" t="s">
        <v>103</v>
      </c>
      <c r="D24" s="37">
        <v>70</v>
      </c>
      <c r="E24" s="37">
        <v>12430</v>
      </c>
      <c r="F24" s="38">
        <f>IF(tblHours[[#This Row],[Month]]="","",DATE(YEAR(tblHours[[#This Row],[Month]]),MONTH(tblHours[[#This Row],[Month]]),1))</f>
        <v>45689</v>
      </c>
      <c r="G24" s="39">
        <f>IF(tblHours[[#This Row],[Month]]="","",IF(N(tblHours[[#This Row],[Employees]])&gt;0,tblHours[[#This Row],[Hours worked]]/tblHours[[#This Row],[Employees]],""))</f>
        <v>177.571428571429</v>
      </c>
      <c r="H2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4" s="28" t="s">
        <v>143</v>
      </c>
    </row>
    <row r="25" spans="2:9">
      <c r="B25" s="29">
        <v>45689</v>
      </c>
      <c r="C25" s="28" t="s">
        <v>106</v>
      </c>
      <c r="D25" s="37">
        <v>30</v>
      </c>
      <c r="E25" s="37">
        <v>5210</v>
      </c>
      <c r="F25" s="38">
        <f>IF(tblHours[[#This Row],[Month]]="","",DATE(YEAR(tblHours[[#This Row],[Month]]),MONTH(tblHours[[#This Row],[Month]]),1))</f>
        <v>45689</v>
      </c>
      <c r="G25" s="39">
        <f>IF(tblHours[[#This Row],[Month]]="","",IF(N(tblHours[[#This Row],[Employees]])&gt;0,tblHours[[#This Row],[Hours worked]]/tblHours[[#This Row],[Employees]],""))</f>
        <v>173.666666666667</v>
      </c>
      <c r="H2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5" s="28" t="s">
        <v>143</v>
      </c>
    </row>
    <row r="26" spans="2:9">
      <c r="B26" s="29">
        <v>45717</v>
      </c>
      <c r="C26" s="28" t="s">
        <v>97</v>
      </c>
      <c r="D26" s="37">
        <v>63</v>
      </c>
      <c r="E26" s="37">
        <v>10500</v>
      </c>
      <c r="F26" s="38">
        <f>IF(tblHours[[#This Row],[Month]]="","",DATE(YEAR(tblHours[[#This Row],[Month]]),MONTH(tblHours[[#This Row],[Month]]),1))</f>
        <v>45717</v>
      </c>
      <c r="G26" s="39">
        <f>IF(tblHours[[#This Row],[Month]]="","",IF(N(tblHours[[#This Row],[Employees]])&gt;0,tblHours[[#This Row],[Hours worked]]/tblHours[[#This Row],[Employees]],""))</f>
        <v>166.666666666667</v>
      </c>
      <c r="H2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6" s="28" t="s">
        <v>143</v>
      </c>
    </row>
    <row r="27" spans="2:9">
      <c r="B27" s="29">
        <v>45717</v>
      </c>
      <c r="C27" s="28" t="s">
        <v>100</v>
      </c>
      <c r="D27" s="37">
        <v>48</v>
      </c>
      <c r="E27" s="37">
        <v>8130</v>
      </c>
      <c r="F27" s="38">
        <f>IF(tblHours[[#This Row],[Month]]="","",DATE(YEAR(tblHours[[#This Row],[Month]]),MONTH(tblHours[[#This Row],[Month]]),1))</f>
        <v>45717</v>
      </c>
      <c r="G27" s="39">
        <f>IF(tblHours[[#This Row],[Month]]="","",IF(N(tblHours[[#This Row],[Employees]])&gt;0,tblHours[[#This Row],[Hours worked]]/tblHours[[#This Row],[Employees]],""))</f>
        <v>169.375</v>
      </c>
      <c r="H2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7" s="28" t="s">
        <v>143</v>
      </c>
    </row>
    <row r="28" spans="2:9">
      <c r="B28" s="29">
        <v>45717</v>
      </c>
      <c r="C28" s="28" t="s">
        <v>103</v>
      </c>
      <c r="D28" s="37">
        <v>70</v>
      </c>
      <c r="E28" s="37">
        <v>11990</v>
      </c>
      <c r="F28" s="38">
        <f>IF(tblHours[[#This Row],[Month]]="","",DATE(YEAR(tblHours[[#This Row],[Month]]),MONTH(tblHours[[#This Row],[Month]]),1))</f>
        <v>45717</v>
      </c>
      <c r="G28" s="39">
        <f>IF(tblHours[[#This Row],[Month]]="","",IF(N(tblHours[[#This Row],[Employees]])&gt;0,tblHours[[#This Row],[Hours worked]]/tblHours[[#This Row],[Employees]],""))</f>
        <v>171.285714285714</v>
      </c>
      <c r="H2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8" s="28" t="s">
        <v>143</v>
      </c>
    </row>
    <row r="29" spans="2:9">
      <c r="B29" s="29">
        <v>45717</v>
      </c>
      <c r="C29" s="28" t="s">
        <v>106</v>
      </c>
      <c r="D29" s="37">
        <v>30</v>
      </c>
      <c r="E29" s="37">
        <v>5100</v>
      </c>
      <c r="F29" s="38">
        <f>IF(tblHours[[#This Row],[Month]]="","",DATE(YEAR(tblHours[[#This Row],[Month]]),MONTH(tblHours[[#This Row],[Month]]),1))</f>
        <v>45717</v>
      </c>
      <c r="G29" s="39">
        <f>IF(tblHours[[#This Row],[Month]]="","",IF(N(tblHours[[#This Row],[Employees]])&gt;0,tblHours[[#This Row],[Hours worked]]/tblHours[[#This Row],[Employees]],""))</f>
        <v>170</v>
      </c>
      <c r="H2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29" s="28" t="s">
        <v>143</v>
      </c>
    </row>
    <row r="30" spans="2:9">
      <c r="B30" s="29">
        <v>45748</v>
      </c>
      <c r="C30" s="28" t="s">
        <v>97</v>
      </c>
      <c r="D30" s="37">
        <v>63</v>
      </c>
      <c r="E30" s="37">
        <v>10750</v>
      </c>
      <c r="F30" s="38">
        <f>IF(tblHours[[#This Row],[Month]]="","",DATE(YEAR(tblHours[[#This Row],[Month]]),MONTH(tblHours[[#This Row],[Month]]),1))</f>
        <v>45748</v>
      </c>
      <c r="G30" s="39">
        <f>IF(tblHours[[#This Row],[Month]]="","",IF(N(tblHours[[#This Row],[Employees]])&gt;0,tblHours[[#This Row],[Hours worked]]/tblHours[[#This Row],[Employees]],""))</f>
        <v>170.634920634921</v>
      </c>
      <c r="H3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0" s="28" t="s">
        <v>143</v>
      </c>
    </row>
    <row r="31" spans="2:9">
      <c r="B31" s="29">
        <v>45748</v>
      </c>
      <c r="C31" s="28" t="s">
        <v>100</v>
      </c>
      <c r="D31" s="37">
        <v>47</v>
      </c>
      <c r="E31" s="37">
        <v>8360</v>
      </c>
      <c r="F31" s="38">
        <f>IF(tblHours[[#This Row],[Month]]="","",DATE(YEAR(tblHours[[#This Row],[Month]]),MONTH(tblHours[[#This Row],[Month]]),1))</f>
        <v>45748</v>
      </c>
      <c r="G31" s="39">
        <f>IF(tblHours[[#This Row],[Month]]="","",IF(N(tblHours[[#This Row],[Employees]])&gt;0,tblHours[[#This Row],[Hours worked]]/tblHours[[#This Row],[Employees]],""))</f>
        <v>177.872340425532</v>
      </c>
      <c r="H3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1" s="28" t="s">
        <v>143</v>
      </c>
    </row>
    <row r="32" spans="2:9">
      <c r="B32" s="29">
        <v>45748</v>
      </c>
      <c r="C32" s="28" t="s">
        <v>103</v>
      </c>
      <c r="D32" s="37">
        <v>70</v>
      </c>
      <c r="E32" s="37">
        <v>11790</v>
      </c>
      <c r="F32" s="38">
        <f>IF(tblHours[[#This Row],[Month]]="","",DATE(YEAR(tblHours[[#This Row],[Month]]),MONTH(tblHours[[#This Row],[Month]]),1))</f>
        <v>45748</v>
      </c>
      <c r="G32" s="39">
        <f>IF(tblHours[[#This Row],[Month]]="","",IF(N(tblHours[[#This Row],[Employees]])&gt;0,tblHours[[#This Row],[Hours worked]]/tblHours[[#This Row],[Employees]],""))</f>
        <v>168.428571428571</v>
      </c>
      <c r="H3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2" s="28" t="s">
        <v>143</v>
      </c>
    </row>
    <row r="33" spans="2:9">
      <c r="B33" s="29">
        <v>45748</v>
      </c>
      <c r="C33" s="28" t="s">
        <v>106</v>
      </c>
      <c r="D33" s="37">
        <v>31</v>
      </c>
      <c r="E33" s="37">
        <v>5100</v>
      </c>
      <c r="F33" s="38">
        <f>IF(tblHours[[#This Row],[Month]]="","",DATE(YEAR(tblHours[[#This Row],[Month]]),MONTH(tblHours[[#This Row],[Month]]),1))</f>
        <v>45748</v>
      </c>
      <c r="G33" s="39">
        <f>IF(tblHours[[#This Row],[Month]]="","",IF(N(tblHours[[#This Row],[Employees]])&gt;0,tblHours[[#This Row],[Hours worked]]/tblHours[[#This Row],[Employees]],""))</f>
        <v>164.516129032258</v>
      </c>
      <c r="H3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3" s="28" t="s">
        <v>143</v>
      </c>
    </row>
    <row r="34" spans="2:9">
      <c r="B34" s="29">
        <v>45778</v>
      </c>
      <c r="C34" s="28" t="s">
        <v>97</v>
      </c>
      <c r="D34" s="37">
        <v>63</v>
      </c>
      <c r="E34" s="37">
        <v>10540</v>
      </c>
      <c r="F34" s="38">
        <f>IF(tblHours[[#This Row],[Month]]="","",DATE(YEAR(tblHours[[#This Row],[Month]]),MONTH(tblHours[[#This Row],[Month]]),1))</f>
        <v>45778</v>
      </c>
      <c r="G34" s="39">
        <f>IF(tblHours[[#This Row],[Month]]="","",IF(N(tblHours[[#This Row],[Employees]])&gt;0,tblHours[[#This Row],[Hours worked]]/tblHours[[#This Row],[Employees]],""))</f>
        <v>167.301587301587</v>
      </c>
      <c r="H3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4" s="28" t="s">
        <v>143</v>
      </c>
    </row>
    <row r="35" spans="2:9">
      <c r="B35" s="29">
        <v>45778</v>
      </c>
      <c r="C35" s="28" t="s">
        <v>100</v>
      </c>
      <c r="D35" s="37">
        <v>48</v>
      </c>
      <c r="E35" s="37">
        <v>8140</v>
      </c>
      <c r="F35" s="38">
        <f>IF(tblHours[[#This Row],[Month]]="","",DATE(YEAR(tblHours[[#This Row],[Month]]),MONTH(tblHours[[#This Row],[Month]]),1))</f>
        <v>45778</v>
      </c>
      <c r="G35" s="39">
        <f>IF(tblHours[[#This Row],[Month]]="","",IF(N(tblHours[[#This Row],[Employees]])&gt;0,tblHours[[#This Row],[Hours worked]]/tblHours[[#This Row],[Employees]],""))</f>
        <v>169.583333333333</v>
      </c>
      <c r="H3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5" s="28" t="s">
        <v>143</v>
      </c>
    </row>
    <row r="36" spans="2:9">
      <c r="B36" s="29">
        <v>45778</v>
      </c>
      <c r="C36" s="28" t="s">
        <v>103</v>
      </c>
      <c r="D36" s="37">
        <v>69</v>
      </c>
      <c r="E36" s="37">
        <v>12100</v>
      </c>
      <c r="F36" s="38">
        <f>IF(tblHours[[#This Row],[Month]]="","",DATE(YEAR(tblHours[[#This Row],[Month]]),MONTH(tblHours[[#This Row],[Month]]),1))</f>
        <v>45778</v>
      </c>
      <c r="G36" s="39">
        <f>IF(tblHours[[#This Row],[Month]]="","",IF(N(tblHours[[#This Row],[Employees]])&gt;0,tblHours[[#This Row],[Hours worked]]/tblHours[[#This Row],[Employees]],""))</f>
        <v>175.36231884058</v>
      </c>
      <c r="H3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6" s="28" t="s">
        <v>143</v>
      </c>
    </row>
    <row r="37" spans="2:9">
      <c r="B37" s="29">
        <v>45778</v>
      </c>
      <c r="C37" s="28" t="s">
        <v>106</v>
      </c>
      <c r="D37" s="37">
        <v>31</v>
      </c>
      <c r="E37" s="37">
        <v>5370</v>
      </c>
      <c r="F37" s="38">
        <f>IF(tblHours[[#This Row],[Month]]="","",DATE(YEAR(tblHours[[#This Row],[Month]]),MONTH(tblHours[[#This Row],[Month]]),1))</f>
        <v>45778</v>
      </c>
      <c r="G37" s="39">
        <f>IF(tblHours[[#This Row],[Month]]="","",IF(N(tblHours[[#This Row],[Employees]])&gt;0,tblHours[[#This Row],[Hours worked]]/tblHours[[#This Row],[Employees]],""))</f>
        <v>173.225806451613</v>
      </c>
      <c r="H3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7" s="28" t="s">
        <v>143</v>
      </c>
    </row>
    <row r="38" spans="2:9">
      <c r="B38" s="29">
        <v>45809</v>
      </c>
      <c r="C38" s="28" t="s">
        <v>97</v>
      </c>
      <c r="D38" s="37">
        <v>63</v>
      </c>
      <c r="E38" s="37">
        <v>10380</v>
      </c>
      <c r="F38" s="38">
        <f>IF(tblHours[[#This Row],[Month]]="","",DATE(YEAR(tblHours[[#This Row],[Month]]),MONTH(tblHours[[#This Row],[Month]]),1))</f>
        <v>45809</v>
      </c>
      <c r="G38" s="39">
        <f>IF(tblHours[[#This Row],[Month]]="","",IF(N(tblHours[[#This Row],[Employees]])&gt;0,tblHours[[#This Row],[Hours worked]]/tblHours[[#This Row],[Employees]],""))</f>
        <v>164.761904761905</v>
      </c>
      <c r="H3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8" s="28" t="s">
        <v>143</v>
      </c>
    </row>
    <row r="39" spans="2:9">
      <c r="B39" s="29">
        <v>45809</v>
      </c>
      <c r="C39" s="28" t="s">
        <v>100</v>
      </c>
      <c r="D39" s="37">
        <v>48</v>
      </c>
      <c r="E39" s="37">
        <v>8150</v>
      </c>
      <c r="F39" s="38">
        <f>IF(tblHours[[#This Row],[Month]]="","",DATE(YEAR(tblHours[[#This Row],[Month]]),MONTH(tblHours[[#This Row],[Month]]),1))</f>
        <v>45809</v>
      </c>
      <c r="G39" s="39">
        <f>IF(tblHours[[#This Row],[Month]]="","",IF(N(tblHours[[#This Row],[Employees]])&gt;0,tblHours[[#This Row],[Hours worked]]/tblHours[[#This Row],[Employees]],""))</f>
        <v>169.791666666667</v>
      </c>
      <c r="H3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39" s="28" t="s">
        <v>143</v>
      </c>
    </row>
    <row r="40" spans="2:9">
      <c r="B40" s="29">
        <v>45809</v>
      </c>
      <c r="C40" s="28" t="s">
        <v>103</v>
      </c>
      <c r="D40" s="37">
        <v>70</v>
      </c>
      <c r="E40" s="37">
        <v>12030</v>
      </c>
      <c r="F40" s="38">
        <f>IF(tblHours[[#This Row],[Month]]="","",DATE(YEAR(tblHours[[#This Row],[Month]]),MONTH(tblHours[[#This Row],[Month]]),1))</f>
        <v>45809</v>
      </c>
      <c r="G40" s="39">
        <f>IF(tblHours[[#This Row],[Month]]="","",IF(N(tblHours[[#This Row],[Employees]])&gt;0,tblHours[[#This Row],[Hours worked]]/tblHours[[#This Row],[Employees]],""))</f>
        <v>171.857142857143</v>
      </c>
      <c r="H4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0" s="28" t="s">
        <v>143</v>
      </c>
    </row>
    <row r="41" spans="2:9">
      <c r="B41" s="29">
        <v>45809</v>
      </c>
      <c r="C41" s="28" t="s">
        <v>106</v>
      </c>
      <c r="D41" s="37">
        <v>31</v>
      </c>
      <c r="E41" s="37">
        <v>5120</v>
      </c>
      <c r="F41" s="38">
        <f>IF(tblHours[[#This Row],[Month]]="","",DATE(YEAR(tblHours[[#This Row],[Month]]),MONTH(tblHours[[#This Row],[Month]]),1))</f>
        <v>45809</v>
      </c>
      <c r="G41" s="39">
        <f>IF(tblHours[[#This Row],[Month]]="","",IF(N(tblHours[[#This Row],[Employees]])&gt;0,tblHours[[#This Row],[Hours worked]]/tblHours[[#This Row],[Employees]],""))</f>
        <v>165.161290322581</v>
      </c>
      <c r="H4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1" s="28" t="s">
        <v>143</v>
      </c>
    </row>
    <row r="42" spans="2:9">
      <c r="B42" s="29">
        <v>45839</v>
      </c>
      <c r="C42" s="28" t="s">
        <v>97</v>
      </c>
      <c r="D42" s="37">
        <v>61</v>
      </c>
      <c r="E42" s="37">
        <v>10400</v>
      </c>
      <c r="F42" s="38">
        <f>IF(tblHours[[#This Row],[Month]]="","",DATE(YEAR(tblHours[[#This Row],[Month]]),MONTH(tblHours[[#This Row],[Month]]),1))</f>
        <v>45839</v>
      </c>
      <c r="G42" s="39">
        <f>IF(tblHours[[#This Row],[Month]]="","",IF(N(tblHours[[#This Row],[Employees]])&gt;0,tblHours[[#This Row],[Hours worked]]/tblHours[[#This Row],[Employees]],""))</f>
        <v>170.491803278689</v>
      </c>
      <c r="H4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2" s="28" t="s">
        <v>143</v>
      </c>
    </row>
    <row r="43" spans="2:9">
      <c r="B43" s="29">
        <v>45839</v>
      </c>
      <c r="C43" s="28" t="s">
        <v>100</v>
      </c>
      <c r="D43" s="37">
        <v>49</v>
      </c>
      <c r="E43" s="37">
        <v>8360</v>
      </c>
      <c r="F43" s="38">
        <f>IF(tblHours[[#This Row],[Month]]="","",DATE(YEAR(tblHours[[#This Row],[Month]]),MONTH(tblHours[[#This Row],[Month]]),1))</f>
        <v>45839</v>
      </c>
      <c r="G43" s="39">
        <f>IF(tblHours[[#This Row],[Month]]="","",IF(N(tblHours[[#This Row],[Employees]])&gt;0,tblHours[[#This Row],[Hours worked]]/tblHours[[#This Row],[Employees]],""))</f>
        <v>170.612244897959</v>
      </c>
      <c r="H4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3" s="28" t="s">
        <v>143</v>
      </c>
    </row>
    <row r="44" spans="2:9">
      <c r="B44" s="29">
        <v>45839</v>
      </c>
      <c r="C44" s="28" t="s">
        <v>103</v>
      </c>
      <c r="D44" s="37">
        <v>70</v>
      </c>
      <c r="E44" s="37">
        <v>11560</v>
      </c>
      <c r="F44" s="38">
        <f>IF(tblHours[[#This Row],[Month]]="","",DATE(YEAR(tblHours[[#This Row],[Month]]),MONTH(tblHours[[#This Row],[Month]]),1))</f>
        <v>45839</v>
      </c>
      <c r="G44" s="39">
        <f>IF(tblHours[[#This Row],[Month]]="","",IF(N(tblHours[[#This Row],[Employees]])&gt;0,tblHours[[#This Row],[Hours worked]]/tblHours[[#This Row],[Employees]],""))</f>
        <v>165.142857142857</v>
      </c>
      <c r="H4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4" s="28" t="s">
        <v>143</v>
      </c>
    </row>
    <row r="45" spans="2:9">
      <c r="B45" s="29">
        <v>45839</v>
      </c>
      <c r="C45" s="28" t="s">
        <v>106</v>
      </c>
      <c r="D45" s="37">
        <v>29</v>
      </c>
      <c r="E45" s="37">
        <v>4830</v>
      </c>
      <c r="F45" s="38">
        <f>IF(tblHours[[#This Row],[Month]]="","",DATE(YEAR(tblHours[[#This Row],[Month]]),MONTH(tblHours[[#This Row],[Month]]),1))</f>
        <v>45839</v>
      </c>
      <c r="G45" s="39">
        <f>IF(tblHours[[#This Row],[Month]]="","",IF(N(tblHours[[#This Row],[Employees]])&gt;0,tblHours[[#This Row],[Hours worked]]/tblHours[[#This Row],[Employees]],""))</f>
        <v>166.551724137931</v>
      </c>
      <c r="H4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5" s="28" t="s">
        <v>143</v>
      </c>
    </row>
    <row r="46" spans="2:9">
      <c r="B46" s="29">
        <v>45870</v>
      </c>
      <c r="C46" s="28" t="s">
        <v>97</v>
      </c>
      <c r="D46" s="37">
        <v>61</v>
      </c>
      <c r="E46" s="37">
        <v>9890</v>
      </c>
      <c r="F46" s="38">
        <f>IF(tblHours[[#This Row],[Month]]="","",DATE(YEAR(tblHours[[#This Row],[Month]]),MONTH(tblHours[[#This Row],[Month]]),1))</f>
        <v>45870</v>
      </c>
      <c r="G46" s="39">
        <f>IF(tblHours[[#This Row],[Month]]="","",IF(N(tblHours[[#This Row],[Employees]])&gt;0,tblHours[[#This Row],[Hours worked]]/tblHours[[#This Row],[Employees]],""))</f>
        <v>162.131147540984</v>
      </c>
      <c r="H4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6" s="28" t="s">
        <v>143</v>
      </c>
    </row>
    <row r="47" spans="2:9">
      <c r="B47" s="29">
        <v>45870</v>
      </c>
      <c r="C47" s="28" t="s">
        <v>100</v>
      </c>
      <c r="D47" s="37">
        <v>47</v>
      </c>
      <c r="E47" s="37">
        <v>7820</v>
      </c>
      <c r="F47" s="38">
        <f>IF(tblHours[[#This Row],[Month]]="","",DATE(YEAR(tblHours[[#This Row],[Month]]),MONTH(tblHours[[#This Row],[Month]]),1))</f>
        <v>45870</v>
      </c>
      <c r="G47" s="39">
        <f>IF(tblHours[[#This Row],[Month]]="","",IF(N(tblHours[[#This Row],[Employees]])&gt;0,tblHours[[#This Row],[Hours worked]]/tblHours[[#This Row],[Employees]],""))</f>
        <v>166.382978723404</v>
      </c>
      <c r="H4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7" s="28" t="s">
        <v>143</v>
      </c>
    </row>
    <row r="48" spans="2:9">
      <c r="B48" s="29">
        <v>45870</v>
      </c>
      <c r="C48" s="28" t="s">
        <v>103</v>
      </c>
      <c r="D48" s="37">
        <v>69</v>
      </c>
      <c r="E48" s="37">
        <v>10820</v>
      </c>
      <c r="F48" s="38">
        <f>IF(tblHours[[#This Row],[Month]]="","",DATE(YEAR(tblHours[[#This Row],[Month]]),MONTH(tblHours[[#This Row],[Month]]),1))</f>
        <v>45870</v>
      </c>
      <c r="G48" s="39">
        <f>IF(tblHours[[#This Row],[Month]]="","",IF(N(tblHours[[#This Row],[Employees]])&gt;0,tblHours[[#This Row],[Hours worked]]/tblHours[[#This Row],[Employees]],""))</f>
        <v>156.811594202899</v>
      </c>
      <c r="H4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8" s="28" t="s">
        <v>143</v>
      </c>
    </row>
    <row r="49" spans="2:9">
      <c r="B49" s="29">
        <v>45870</v>
      </c>
      <c r="C49" s="28" t="s">
        <v>106</v>
      </c>
      <c r="D49" s="37">
        <v>31</v>
      </c>
      <c r="E49" s="37">
        <v>4790</v>
      </c>
      <c r="F49" s="38">
        <f>IF(tblHours[[#This Row],[Month]]="","",DATE(YEAR(tblHours[[#This Row],[Month]]),MONTH(tblHours[[#This Row],[Month]]),1))</f>
        <v>45870</v>
      </c>
      <c r="G49" s="39">
        <f>IF(tblHours[[#This Row],[Month]]="","",IF(N(tblHours[[#This Row],[Employees]])&gt;0,tblHours[[#This Row],[Hours worked]]/tblHours[[#This Row],[Employees]],""))</f>
        <v>154.516129032258</v>
      </c>
      <c r="H4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49" s="28" t="s">
        <v>143</v>
      </c>
    </row>
    <row r="50" spans="2:9">
      <c r="B50" s="29">
        <v>45901</v>
      </c>
      <c r="C50" s="28" t="s">
        <v>97</v>
      </c>
      <c r="D50" s="37">
        <v>63</v>
      </c>
      <c r="E50" s="37">
        <v>11030</v>
      </c>
      <c r="F50" s="38">
        <f>IF(tblHours[[#This Row],[Month]]="","",DATE(YEAR(tblHours[[#This Row],[Month]]),MONTH(tblHours[[#This Row],[Month]]),1))</f>
        <v>45901</v>
      </c>
      <c r="G50" s="39">
        <f>IF(tblHours[[#This Row],[Month]]="","",IF(N(tblHours[[#This Row],[Employees]])&gt;0,tblHours[[#This Row],[Hours worked]]/tblHours[[#This Row],[Employees]],""))</f>
        <v>175.079365079365</v>
      </c>
      <c r="H5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0" s="28" t="s">
        <v>143</v>
      </c>
    </row>
    <row r="51" spans="2:9">
      <c r="B51" s="29">
        <v>45901</v>
      </c>
      <c r="C51" s="28" t="s">
        <v>100</v>
      </c>
      <c r="D51" s="37">
        <v>47</v>
      </c>
      <c r="E51" s="37">
        <v>8360</v>
      </c>
      <c r="F51" s="38">
        <f>IF(tblHours[[#This Row],[Month]]="","",DATE(YEAR(tblHours[[#This Row],[Month]]),MONTH(tblHours[[#This Row],[Month]]),1))</f>
        <v>45901</v>
      </c>
      <c r="G51" s="39">
        <f>IF(tblHours[[#This Row],[Month]]="","",IF(N(tblHours[[#This Row],[Employees]])&gt;0,tblHours[[#This Row],[Hours worked]]/tblHours[[#This Row],[Employees]],""))</f>
        <v>177.872340425532</v>
      </c>
      <c r="H5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1" s="28" t="s">
        <v>143</v>
      </c>
    </row>
    <row r="52" spans="2:9">
      <c r="B52" s="29">
        <v>45901</v>
      </c>
      <c r="C52" s="28" t="s">
        <v>103</v>
      </c>
      <c r="D52" s="37">
        <v>71</v>
      </c>
      <c r="E52" s="37">
        <v>11680</v>
      </c>
      <c r="F52" s="38">
        <f>IF(tblHours[[#This Row],[Month]]="","",DATE(YEAR(tblHours[[#This Row],[Month]]),MONTH(tblHours[[#This Row],[Month]]),1))</f>
        <v>45901</v>
      </c>
      <c r="G52" s="39">
        <f>IF(tblHours[[#This Row],[Month]]="","",IF(N(tblHours[[#This Row],[Employees]])&gt;0,tblHours[[#This Row],[Hours worked]]/tblHours[[#This Row],[Employees]],""))</f>
        <v>164.507042253521</v>
      </c>
      <c r="H5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2" s="28" t="s">
        <v>143</v>
      </c>
    </row>
    <row r="53" spans="2:9">
      <c r="B53" s="29">
        <v>45901</v>
      </c>
      <c r="C53" s="28" t="s">
        <v>106</v>
      </c>
      <c r="D53" s="37">
        <v>31</v>
      </c>
      <c r="E53" s="37">
        <v>5220</v>
      </c>
      <c r="F53" s="38">
        <f>IF(tblHours[[#This Row],[Month]]="","",DATE(YEAR(tblHours[[#This Row],[Month]]),MONTH(tblHours[[#This Row],[Month]]),1))</f>
        <v>45901</v>
      </c>
      <c r="G53" s="39">
        <f>IF(tblHours[[#This Row],[Month]]="","",IF(N(tblHours[[#This Row],[Employees]])&gt;0,tblHours[[#This Row],[Hours worked]]/tblHours[[#This Row],[Employees]],""))</f>
        <v>168.387096774194</v>
      </c>
      <c r="H5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3" s="28" t="s">
        <v>143</v>
      </c>
    </row>
    <row r="54" spans="2:9">
      <c r="B54" s="29">
        <v>45931</v>
      </c>
      <c r="C54" s="28" t="s">
        <v>97</v>
      </c>
      <c r="D54" s="37">
        <v>62</v>
      </c>
      <c r="E54" s="37">
        <v>10360</v>
      </c>
      <c r="F54" s="38">
        <f>IF(tblHours[[#This Row],[Month]]="","",DATE(YEAR(tblHours[[#This Row],[Month]]),MONTH(tblHours[[#This Row],[Month]]),1))</f>
        <v>45931</v>
      </c>
      <c r="G54" s="39">
        <f>IF(tblHours[[#This Row],[Month]]="","",IF(N(tblHours[[#This Row],[Employees]])&gt;0,tblHours[[#This Row],[Hours worked]]/tblHours[[#This Row],[Employees]],""))</f>
        <v>167.096774193548</v>
      </c>
      <c r="H5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4" s="28" t="s">
        <v>143</v>
      </c>
    </row>
    <row r="55" spans="2:9">
      <c r="B55" s="29">
        <v>45931</v>
      </c>
      <c r="C55" s="28" t="s">
        <v>100</v>
      </c>
      <c r="D55" s="37">
        <v>47</v>
      </c>
      <c r="E55" s="37">
        <v>8220</v>
      </c>
      <c r="F55" s="38">
        <f>IF(tblHours[[#This Row],[Month]]="","",DATE(YEAR(tblHours[[#This Row],[Month]]),MONTH(tblHours[[#This Row],[Month]]),1))</f>
        <v>45931</v>
      </c>
      <c r="G55" s="39">
        <f>IF(tblHours[[#This Row],[Month]]="","",IF(N(tblHours[[#This Row],[Employees]])&gt;0,tblHours[[#This Row],[Hours worked]]/tblHours[[#This Row],[Employees]],""))</f>
        <v>174.893617021277</v>
      </c>
      <c r="H5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5" s="28" t="s">
        <v>143</v>
      </c>
    </row>
    <row r="56" spans="2:9">
      <c r="B56" s="29">
        <v>45931</v>
      </c>
      <c r="C56" s="28" t="s">
        <v>103</v>
      </c>
      <c r="D56" s="37">
        <v>70</v>
      </c>
      <c r="E56" s="37">
        <v>12370</v>
      </c>
      <c r="F56" s="38">
        <f>IF(tblHours[[#This Row],[Month]]="","",DATE(YEAR(tblHours[[#This Row],[Month]]),MONTH(tblHours[[#This Row],[Month]]),1))</f>
        <v>45931</v>
      </c>
      <c r="G56" s="39">
        <f>IF(tblHours[[#This Row],[Month]]="","",IF(N(tblHours[[#This Row],[Employees]])&gt;0,tblHours[[#This Row],[Hours worked]]/tblHours[[#This Row],[Employees]],""))</f>
        <v>176.714285714286</v>
      </c>
      <c r="H5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6" s="28" t="s">
        <v>143</v>
      </c>
    </row>
    <row r="57" spans="2:9">
      <c r="B57" s="29">
        <v>45931</v>
      </c>
      <c r="C57" s="28" t="s">
        <v>106</v>
      </c>
      <c r="D57" s="37">
        <v>30</v>
      </c>
      <c r="E57" s="37">
        <v>5210</v>
      </c>
      <c r="F57" s="38">
        <f>IF(tblHours[[#This Row],[Month]]="","",DATE(YEAR(tblHours[[#This Row],[Month]]),MONTH(tblHours[[#This Row],[Month]]),1))</f>
        <v>45931</v>
      </c>
      <c r="G57" s="39">
        <f>IF(tblHours[[#This Row],[Month]]="","",IF(N(tblHours[[#This Row],[Employees]])&gt;0,tblHours[[#This Row],[Hours worked]]/tblHours[[#This Row],[Employees]],""))</f>
        <v>173.666666666667</v>
      </c>
      <c r="H5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7" s="28" t="s">
        <v>143</v>
      </c>
    </row>
    <row r="58" spans="2:9">
      <c r="B58" s="29">
        <v>45962</v>
      </c>
      <c r="C58" s="28" t="s">
        <v>97</v>
      </c>
      <c r="D58" s="37">
        <v>62</v>
      </c>
      <c r="E58" s="37">
        <v>10570</v>
      </c>
      <c r="F58" s="38">
        <f>IF(tblHours[[#This Row],[Month]]="","",DATE(YEAR(tblHours[[#This Row],[Month]]),MONTH(tblHours[[#This Row],[Month]]),1))</f>
        <v>45962</v>
      </c>
      <c r="G58" s="39">
        <f>IF(tblHours[[#This Row],[Month]]="","",IF(N(tblHours[[#This Row],[Employees]])&gt;0,tblHours[[#This Row],[Hours worked]]/tblHours[[#This Row],[Employees]],""))</f>
        <v>170.483870967742</v>
      </c>
      <c r="H5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8" s="28" t="s">
        <v>143</v>
      </c>
    </row>
    <row r="59" spans="2:9">
      <c r="B59" s="29">
        <v>45962</v>
      </c>
      <c r="C59" s="28" t="s">
        <v>100</v>
      </c>
      <c r="D59" s="37">
        <v>48</v>
      </c>
      <c r="E59" s="37">
        <v>8090</v>
      </c>
      <c r="F59" s="38">
        <f>IF(tblHours[[#This Row],[Month]]="","",DATE(YEAR(tblHours[[#This Row],[Month]]),MONTH(tblHours[[#This Row],[Month]]),1))</f>
        <v>45962</v>
      </c>
      <c r="G59" s="39">
        <f>IF(tblHours[[#This Row],[Month]]="","",IF(N(tblHours[[#This Row],[Employees]])&gt;0,tblHours[[#This Row],[Hours worked]]/tblHours[[#This Row],[Employees]],""))</f>
        <v>168.541666666667</v>
      </c>
      <c r="H5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59" s="28" t="s">
        <v>143</v>
      </c>
    </row>
    <row r="60" spans="2:9">
      <c r="B60" s="29">
        <v>45962</v>
      </c>
      <c r="C60" s="28" t="s">
        <v>103</v>
      </c>
      <c r="D60" s="37">
        <v>71</v>
      </c>
      <c r="E60" s="37">
        <v>11740</v>
      </c>
      <c r="F60" s="38">
        <f>IF(tblHours[[#This Row],[Month]]="","",DATE(YEAR(tblHours[[#This Row],[Month]]),MONTH(tblHours[[#This Row],[Month]]),1))</f>
        <v>45962</v>
      </c>
      <c r="G60" s="39">
        <f>IF(tblHours[[#This Row],[Month]]="","",IF(N(tblHours[[#This Row],[Employees]])&gt;0,tblHours[[#This Row],[Hours worked]]/tblHours[[#This Row],[Employees]],""))</f>
        <v>165.352112676056</v>
      </c>
      <c r="H6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0" s="28" t="s">
        <v>143</v>
      </c>
    </row>
    <row r="61" spans="2:9">
      <c r="B61" s="29">
        <v>45962</v>
      </c>
      <c r="C61" s="28" t="s">
        <v>106</v>
      </c>
      <c r="D61" s="37">
        <v>30</v>
      </c>
      <c r="E61" s="37">
        <v>4960</v>
      </c>
      <c r="F61" s="38">
        <f>IF(tblHours[[#This Row],[Month]]="","",DATE(YEAR(tblHours[[#This Row],[Month]]),MONTH(tblHours[[#This Row],[Month]]),1))</f>
        <v>45962</v>
      </c>
      <c r="G61" s="39">
        <f>IF(tblHours[[#This Row],[Month]]="","",IF(N(tblHours[[#This Row],[Employees]])&gt;0,tblHours[[#This Row],[Hours worked]]/tblHours[[#This Row],[Employees]],""))</f>
        <v>165.333333333333</v>
      </c>
      <c r="H6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1" s="28" t="s">
        <v>143</v>
      </c>
    </row>
    <row r="62" spans="2:9">
      <c r="B62" s="29">
        <v>45992</v>
      </c>
      <c r="C62" s="28" t="s">
        <v>97</v>
      </c>
      <c r="D62" s="37">
        <v>62</v>
      </c>
      <c r="E62" s="37">
        <v>9560</v>
      </c>
      <c r="F62" s="38">
        <f>IF(tblHours[[#This Row],[Month]]="","",DATE(YEAR(tblHours[[#This Row],[Month]]),MONTH(tblHours[[#This Row],[Month]]),1))</f>
        <v>45992</v>
      </c>
      <c r="G62" s="39">
        <f>IF(tblHours[[#This Row],[Month]]="","",IF(N(tblHours[[#This Row],[Employees]])&gt;0,tblHours[[#This Row],[Hours worked]]/tblHours[[#This Row],[Employees]],""))</f>
        <v>154.193548387097</v>
      </c>
      <c r="H6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2" s="28" t="s">
        <v>143</v>
      </c>
    </row>
    <row r="63" spans="2:9">
      <c r="B63" s="29">
        <v>45992</v>
      </c>
      <c r="C63" s="28" t="s">
        <v>100</v>
      </c>
      <c r="D63" s="37">
        <v>48</v>
      </c>
      <c r="E63" s="37">
        <v>7280</v>
      </c>
      <c r="F63" s="38">
        <f>IF(tblHours[[#This Row],[Month]]="","",DATE(YEAR(tblHours[[#This Row],[Month]]),MONTH(tblHours[[#This Row],[Month]]),1))</f>
        <v>45992</v>
      </c>
      <c r="G63" s="39">
        <f>IF(tblHours[[#This Row],[Month]]="","",IF(N(tblHours[[#This Row],[Employees]])&gt;0,tblHours[[#This Row],[Hours worked]]/tblHours[[#This Row],[Employees]],""))</f>
        <v>151.666666666667</v>
      </c>
      <c r="H6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3" s="28" t="s">
        <v>143</v>
      </c>
    </row>
    <row r="64" spans="2:9">
      <c r="B64" s="29">
        <v>45992</v>
      </c>
      <c r="C64" s="28" t="s">
        <v>103</v>
      </c>
      <c r="D64" s="37">
        <v>69</v>
      </c>
      <c r="E64" s="37">
        <v>10730</v>
      </c>
      <c r="F64" s="38">
        <f>IF(tblHours[[#This Row],[Month]]="","",DATE(YEAR(tblHours[[#This Row],[Month]]),MONTH(tblHours[[#This Row],[Month]]),1))</f>
        <v>45992</v>
      </c>
      <c r="G64" s="39">
        <f>IF(tblHours[[#This Row],[Month]]="","",IF(N(tblHours[[#This Row],[Employees]])&gt;0,tblHours[[#This Row],[Hours worked]]/tblHours[[#This Row],[Employees]],""))</f>
        <v>155.507246376812</v>
      </c>
      <c r="H6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4" s="28" t="s">
        <v>143</v>
      </c>
    </row>
    <row r="65" spans="2:9">
      <c r="B65" s="29">
        <v>45992</v>
      </c>
      <c r="C65" s="28" t="s">
        <v>106</v>
      </c>
      <c r="D65" s="37">
        <v>29</v>
      </c>
      <c r="E65" s="37">
        <v>4280</v>
      </c>
      <c r="F65" s="38">
        <f>IF(tblHours[[#This Row],[Month]]="","",DATE(YEAR(tblHours[[#This Row],[Month]]),MONTH(tblHours[[#This Row],[Month]]),1))</f>
        <v>45992</v>
      </c>
      <c r="G65" s="39">
        <f>IF(tblHours[[#This Row],[Month]]="","",IF(N(tblHours[[#This Row],[Employees]])&gt;0,tblHours[[#This Row],[Hours worked]]/tblHours[[#This Row],[Employees]],""))</f>
        <v>147.586206896552</v>
      </c>
      <c r="H6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5" s="28" t="s">
        <v>143</v>
      </c>
    </row>
    <row r="66" spans="2:9">
      <c r="B66" s="29">
        <v>46023</v>
      </c>
      <c r="C66" s="28" t="s">
        <v>97</v>
      </c>
      <c r="D66" s="37">
        <v>62</v>
      </c>
      <c r="E66" s="37">
        <v>11020</v>
      </c>
      <c r="F66" s="38">
        <f>IF(tblHours[[#This Row],[Month]]="","",DATE(YEAR(tblHours[[#This Row],[Month]]),MONTH(tblHours[[#This Row],[Month]]),1))</f>
        <v>46023</v>
      </c>
      <c r="G66" s="39">
        <f>IF(tblHours[[#This Row],[Month]]="","",IF(N(tblHours[[#This Row],[Employees]])&gt;0,tblHours[[#This Row],[Hours worked]]/tblHours[[#This Row],[Employees]],""))</f>
        <v>177.741935483871</v>
      </c>
      <c r="H6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6" s="28" t="s">
        <v>143</v>
      </c>
    </row>
    <row r="67" spans="2:9">
      <c r="B67" s="29">
        <v>46023</v>
      </c>
      <c r="C67" s="28" t="s">
        <v>100</v>
      </c>
      <c r="D67" s="37">
        <v>52</v>
      </c>
      <c r="E67" s="37">
        <v>9010</v>
      </c>
      <c r="F67" s="38">
        <f>IF(tblHours[[#This Row],[Month]]="","",DATE(YEAR(tblHours[[#This Row],[Month]]),MONTH(tblHours[[#This Row],[Month]]),1))</f>
        <v>46023</v>
      </c>
      <c r="G67" s="39">
        <f>IF(tblHours[[#This Row],[Month]]="","",IF(N(tblHours[[#This Row],[Employees]])&gt;0,tblHours[[#This Row],[Hours worked]]/tblHours[[#This Row],[Employees]],""))</f>
        <v>173.269230769231</v>
      </c>
      <c r="H6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7" s="28" t="s">
        <v>143</v>
      </c>
    </row>
    <row r="68" spans="2:9">
      <c r="B68" s="29">
        <v>46023</v>
      </c>
      <c r="C68" s="28" t="s">
        <v>103</v>
      </c>
      <c r="D68" s="37">
        <v>74</v>
      </c>
      <c r="E68" s="37">
        <v>13060</v>
      </c>
      <c r="F68" s="38">
        <f>IF(tblHours[[#This Row],[Month]]="","",DATE(YEAR(tblHours[[#This Row],[Month]]),MONTH(tblHours[[#This Row],[Month]]),1))</f>
        <v>46023</v>
      </c>
      <c r="G68" s="39">
        <f>IF(tblHours[[#This Row],[Month]]="","",IF(N(tblHours[[#This Row],[Employees]])&gt;0,tblHours[[#This Row],[Hours worked]]/tblHours[[#This Row],[Employees]],""))</f>
        <v>176.486486486486</v>
      </c>
      <c r="H6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8" s="28" t="s">
        <v>143</v>
      </c>
    </row>
    <row r="69" spans="2:9">
      <c r="B69" s="29">
        <v>46023</v>
      </c>
      <c r="C69" s="28" t="s">
        <v>106</v>
      </c>
      <c r="D69" s="37">
        <v>30</v>
      </c>
      <c r="E69" s="37">
        <v>5170</v>
      </c>
      <c r="F69" s="38">
        <f>IF(tblHours[[#This Row],[Month]]="","",DATE(YEAR(tblHours[[#This Row],[Month]]),MONTH(tblHours[[#This Row],[Month]]),1))</f>
        <v>46023</v>
      </c>
      <c r="G69" s="39">
        <f>IF(tblHours[[#This Row],[Month]]="","",IF(N(tblHours[[#This Row],[Employees]])&gt;0,tblHours[[#This Row],[Hours worked]]/tblHours[[#This Row],[Employees]],""))</f>
        <v>172.333333333333</v>
      </c>
      <c r="H6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69" s="28" t="s">
        <v>143</v>
      </c>
    </row>
    <row r="70" spans="2:9">
      <c r="B70" s="29">
        <v>46054</v>
      </c>
      <c r="C70" s="28" t="s">
        <v>97</v>
      </c>
      <c r="D70" s="37">
        <v>63</v>
      </c>
      <c r="E70" s="37">
        <v>10850</v>
      </c>
      <c r="F70" s="38">
        <f>IF(tblHours[[#This Row],[Month]]="","",DATE(YEAR(tblHours[[#This Row],[Month]]),MONTH(tblHours[[#This Row],[Month]]),1))</f>
        <v>46054</v>
      </c>
      <c r="G70" s="39">
        <f>IF(tblHours[[#This Row],[Month]]="","",IF(N(tblHours[[#This Row],[Employees]])&gt;0,tblHours[[#This Row],[Hours worked]]/tblHours[[#This Row],[Employees]],""))</f>
        <v>172.222222222222</v>
      </c>
      <c r="H7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0" s="28" t="s">
        <v>143</v>
      </c>
    </row>
    <row r="71" spans="2:9">
      <c r="B71" s="29">
        <v>46054</v>
      </c>
      <c r="C71" s="28" t="s">
        <v>100</v>
      </c>
      <c r="D71" s="37">
        <v>51</v>
      </c>
      <c r="E71" s="37">
        <v>8820</v>
      </c>
      <c r="F71" s="38">
        <f>IF(tblHours[[#This Row],[Month]]="","",DATE(YEAR(tblHours[[#This Row],[Month]]),MONTH(tblHours[[#This Row],[Month]]),1))</f>
        <v>46054</v>
      </c>
      <c r="G71" s="39">
        <f>IF(tblHours[[#This Row],[Month]]="","",IF(N(tblHours[[#This Row],[Employees]])&gt;0,tblHours[[#This Row],[Hours worked]]/tblHours[[#This Row],[Employees]],""))</f>
        <v>172.941176470588</v>
      </c>
      <c r="H7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1" s="28" t="s">
        <v>143</v>
      </c>
    </row>
    <row r="72" spans="2:9">
      <c r="B72" s="29">
        <v>46054</v>
      </c>
      <c r="C72" s="28" t="s">
        <v>103</v>
      </c>
      <c r="D72" s="37">
        <v>73</v>
      </c>
      <c r="E72" s="37">
        <v>12210</v>
      </c>
      <c r="F72" s="38">
        <f>IF(tblHours[[#This Row],[Month]]="","",DATE(YEAR(tblHours[[#This Row],[Month]]),MONTH(tblHours[[#This Row],[Month]]),1))</f>
        <v>46054</v>
      </c>
      <c r="G72" s="39">
        <f>IF(tblHours[[#This Row],[Month]]="","",IF(N(tblHours[[#This Row],[Employees]])&gt;0,tblHours[[#This Row],[Hours worked]]/tblHours[[#This Row],[Employees]],""))</f>
        <v>167.260273972603</v>
      </c>
      <c r="H7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2" s="28" t="s">
        <v>143</v>
      </c>
    </row>
    <row r="73" spans="2:9">
      <c r="B73" s="29">
        <v>46054</v>
      </c>
      <c r="C73" s="28" t="s">
        <v>106</v>
      </c>
      <c r="D73" s="37">
        <v>31</v>
      </c>
      <c r="E73" s="37">
        <v>5190</v>
      </c>
      <c r="F73" s="38">
        <f>IF(tblHours[[#This Row],[Month]]="","",DATE(YEAR(tblHours[[#This Row],[Month]]),MONTH(tblHours[[#This Row],[Month]]),1))</f>
        <v>46054</v>
      </c>
      <c r="G73" s="39">
        <f>IF(tblHours[[#This Row],[Month]]="","",IF(N(tblHours[[#This Row],[Employees]])&gt;0,tblHours[[#This Row],[Hours worked]]/tblHours[[#This Row],[Employees]],""))</f>
        <v>167.41935483871</v>
      </c>
      <c r="H7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3" s="28" t="s">
        <v>143</v>
      </c>
    </row>
    <row r="74" spans="2:9">
      <c r="B74" s="29">
        <v>46082</v>
      </c>
      <c r="C74" s="28" t="s">
        <v>97</v>
      </c>
      <c r="D74" s="37">
        <v>61</v>
      </c>
      <c r="E74" s="37">
        <v>10580</v>
      </c>
      <c r="F74" s="38">
        <f>IF(tblHours[[#This Row],[Month]]="","",DATE(YEAR(tblHours[[#This Row],[Month]]),MONTH(tblHours[[#This Row],[Month]]),1))</f>
        <v>46082</v>
      </c>
      <c r="G74" s="39">
        <f>IF(tblHours[[#This Row],[Month]]="","",IF(N(tblHours[[#This Row],[Employees]])&gt;0,tblHours[[#This Row],[Hours worked]]/tblHours[[#This Row],[Employees]],""))</f>
        <v>173.44262295082</v>
      </c>
      <c r="H7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4" s="28" t="s">
        <v>143</v>
      </c>
    </row>
    <row r="75" spans="2:9">
      <c r="B75" s="29">
        <v>46082</v>
      </c>
      <c r="C75" s="28" t="s">
        <v>100</v>
      </c>
      <c r="D75" s="37">
        <v>51</v>
      </c>
      <c r="E75" s="37">
        <v>8940</v>
      </c>
      <c r="F75" s="38">
        <f>IF(tblHours[[#This Row],[Month]]="","",DATE(YEAR(tblHours[[#This Row],[Month]]),MONTH(tblHours[[#This Row],[Month]]),1))</f>
        <v>46082</v>
      </c>
      <c r="G75" s="39">
        <f>IF(tblHours[[#This Row],[Month]]="","",IF(N(tblHours[[#This Row],[Employees]])&gt;0,tblHours[[#This Row],[Hours worked]]/tblHours[[#This Row],[Employees]],""))</f>
        <v>175.294117647059</v>
      </c>
      <c r="H7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5" s="28" t="s">
        <v>143</v>
      </c>
    </row>
    <row r="76" spans="2:9">
      <c r="B76" s="29">
        <v>46082</v>
      </c>
      <c r="C76" s="28" t="s">
        <v>103</v>
      </c>
      <c r="D76" s="37">
        <v>73</v>
      </c>
      <c r="E76" s="37">
        <v>12470</v>
      </c>
      <c r="F76" s="38">
        <f>IF(tblHours[[#This Row],[Month]]="","",DATE(YEAR(tblHours[[#This Row],[Month]]),MONTH(tblHours[[#This Row],[Month]]),1))</f>
        <v>46082</v>
      </c>
      <c r="G76" s="39">
        <f>IF(tblHours[[#This Row],[Month]]="","",IF(N(tblHours[[#This Row],[Employees]])&gt;0,tblHours[[#This Row],[Hours worked]]/tblHours[[#This Row],[Employees]],""))</f>
        <v>170.821917808219</v>
      </c>
      <c r="H7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6" s="28" t="s">
        <v>143</v>
      </c>
    </row>
    <row r="77" spans="2:9">
      <c r="B77" s="29">
        <v>46082</v>
      </c>
      <c r="C77" s="28" t="s">
        <v>106</v>
      </c>
      <c r="D77" s="37">
        <v>29</v>
      </c>
      <c r="E77" s="37">
        <v>4910</v>
      </c>
      <c r="F77" s="38">
        <f>IF(tblHours[[#This Row],[Month]]="","",DATE(YEAR(tblHours[[#This Row],[Month]]),MONTH(tblHours[[#This Row],[Month]]),1))</f>
        <v>46082</v>
      </c>
      <c r="G77" s="39">
        <f>IF(tblHours[[#This Row],[Month]]="","",IF(N(tblHours[[#This Row],[Employees]])&gt;0,tblHours[[#This Row],[Hours worked]]/tblHours[[#This Row],[Employees]],""))</f>
        <v>169.310344827586</v>
      </c>
      <c r="H7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7" s="28" t="s">
        <v>143</v>
      </c>
    </row>
    <row r="78" spans="2:9">
      <c r="B78" s="29">
        <v>46113</v>
      </c>
      <c r="C78" s="28" t="s">
        <v>97</v>
      </c>
      <c r="D78" s="37">
        <v>63</v>
      </c>
      <c r="E78" s="37">
        <v>10600</v>
      </c>
      <c r="F78" s="38">
        <f>IF(tblHours[[#This Row],[Month]]="","",DATE(YEAR(tblHours[[#This Row],[Month]]),MONTH(tblHours[[#This Row],[Month]]),1))</f>
        <v>46113</v>
      </c>
      <c r="G78" s="39">
        <f>IF(tblHours[[#This Row],[Month]]="","",IF(N(tblHours[[#This Row],[Employees]])&gt;0,tblHours[[#This Row],[Hours worked]]/tblHours[[#This Row],[Employees]],""))</f>
        <v>168.253968253968</v>
      </c>
      <c r="H7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8" s="28" t="s">
        <v>143</v>
      </c>
    </row>
    <row r="79" spans="2:9">
      <c r="B79" s="29">
        <v>46113</v>
      </c>
      <c r="C79" s="28" t="s">
        <v>100</v>
      </c>
      <c r="D79" s="37">
        <v>51</v>
      </c>
      <c r="E79" s="37">
        <v>8870</v>
      </c>
      <c r="F79" s="38">
        <f>IF(tblHours[[#This Row],[Month]]="","",DATE(YEAR(tblHours[[#This Row],[Month]]),MONTH(tblHours[[#This Row],[Month]]),1))</f>
        <v>46113</v>
      </c>
      <c r="G79" s="39">
        <f>IF(tblHours[[#This Row],[Month]]="","",IF(N(tblHours[[#This Row],[Employees]])&gt;0,tblHours[[#This Row],[Hours worked]]/tblHours[[#This Row],[Employees]],""))</f>
        <v>173.921568627451</v>
      </c>
      <c r="H7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79" s="28" t="s">
        <v>143</v>
      </c>
    </row>
    <row r="80" spans="2:9">
      <c r="B80" s="29">
        <v>46113</v>
      </c>
      <c r="C80" s="28" t="s">
        <v>103</v>
      </c>
      <c r="D80" s="37">
        <v>73</v>
      </c>
      <c r="E80" s="37">
        <v>11970</v>
      </c>
      <c r="F80" s="38">
        <f>IF(tblHours[[#This Row],[Month]]="","",DATE(YEAR(tblHours[[#This Row],[Month]]),MONTH(tblHours[[#This Row],[Month]]),1))</f>
        <v>46113</v>
      </c>
      <c r="G80" s="39">
        <f>IF(tblHours[[#This Row],[Month]]="","",IF(N(tblHours[[#This Row],[Employees]])&gt;0,tblHours[[#This Row],[Hours worked]]/tblHours[[#This Row],[Employees]],""))</f>
        <v>163.972602739726</v>
      </c>
      <c r="H8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0" s="28" t="s">
        <v>143</v>
      </c>
    </row>
    <row r="81" spans="2:9">
      <c r="B81" s="29">
        <v>46113</v>
      </c>
      <c r="C81" s="28" t="s">
        <v>106</v>
      </c>
      <c r="D81" s="37">
        <v>30</v>
      </c>
      <c r="E81" s="37">
        <v>4940</v>
      </c>
      <c r="F81" s="38">
        <f>IF(tblHours[[#This Row],[Month]]="","",DATE(YEAR(tblHours[[#This Row],[Month]]),MONTH(tblHours[[#This Row],[Month]]),1))</f>
        <v>46113</v>
      </c>
      <c r="G81" s="39">
        <f>IF(tblHours[[#This Row],[Month]]="","",IF(N(tblHours[[#This Row],[Employees]])&gt;0,tblHours[[#This Row],[Hours worked]]/tblHours[[#This Row],[Employees]],""))</f>
        <v>164.666666666667</v>
      </c>
      <c r="H8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1" s="28" t="s">
        <v>143</v>
      </c>
    </row>
    <row r="82" spans="2:9">
      <c r="B82" s="29">
        <v>46143</v>
      </c>
      <c r="C82" s="28" t="s">
        <v>97</v>
      </c>
      <c r="D82" s="37">
        <v>62</v>
      </c>
      <c r="E82" s="37">
        <v>10890</v>
      </c>
      <c r="F82" s="38">
        <f>IF(tblHours[[#This Row],[Month]]="","",DATE(YEAR(tblHours[[#This Row],[Month]]),MONTH(tblHours[[#This Row],[Month]]),1))</f>
        <v>46143</v>
      </c>
      <c r="G82" s="39">
        <f>IF(tblHours[[#This Row],[Month]]="","",IF(N(tblHours[[#This Row],[Employees]])&gt;0,tblHours[[#This Row],[Hours worked]]/tblHours[[#This Row],[Employees]],""))</f>
        <v>175.645161290323</v>
      </c>
      <c r="H8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2" s="28" t="s">
        <v>143</v>
      </c>
    </row>
    <row r="83" spans="2:9">
      <c r="B83" s="29">
        <v>46143</v>
      </c>
      <c r="C83" s="28" t="s">
        <v>100</v>
      </c>
      <c r="D83" s="37">
        <v>51</v>
      </c>
      <c r="E83" s="37">
        <v>8630</v>
      </c>
      <c r="F83" s="38">
        <f>IF(tblHours[[#This Row],[Month]]="","",DATE(YEAR(tblHours[[#This Row],[Month]]),MONTH(tblHours[[#This Row],[Month]]),1))</f>
        <v>46143</v>
      </c>
      <c r="G83" s="39">
        <f>IF(tblHours[[#This Row],[Month]]="","",IF(N(tblHours[[#This Row],[Employees]])&gt;0,tblHours[[#This Row],[Hours worked]]/tblHours[[#This Row],[Employees]],""))</f>
        <v>169.21568627451</v>
      </c>
      <c r="H8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3" s="28" t="s">
        <v>143</v>
      </c>
    </row>
    <row r="84" spans="2:9">
      <c r="B84" s="29">
        <v>46143</v>
      </c>
      <c r="C84" s="28" t="s">
        <v>103</v>
      </c>
      <c r="D84" s="37">
        <v>74</v>
      </c>
      <c r="E84" s="37">
        <v>12610</v>
      </c>
      <c r="F84" s="38">
        <f>IF(tblHours[[#This Row],[Month]]="","",DATE(YEAR(tblHours[[#This Row],[Month]]),MONTH(tblHours[[#This Row],[Month]]),1))</f>
        <v>46143</v>
      </c>
      <c r="G84" s="39">
        <f>IF(tblHours[[#This Row],[Month]]="","",IF(N(tblHours[[#This Row],[Employees]])&gt;0,tblHours[[#This Row],[Hours worked]]/tblHours[[#This Row],[Employees]],""))</f>
        <v>170.405405405405</v>
      </c>
      <c r="H8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4" s="28" t="s">
        <v>143</v>
      </c>
    </row>
    <row r="85" spans="2:9">
      <c r="B85" s="29">
        <v>46143</v>
      </c>
      <c r="C85" s="28" t="s">
        <v>106</v>
      </c>
      <c r="D85" s="37">
        <v>31</v>
      </c>
      <c r="E85" s="37">
        <v>5500</v>
      </c>
      <c r="F85" s="38">
        <f>IF(tblHours[[#This Row],[Month]]="","",DATE(YEAR(tblHours[[#This Row],[Month]]),MONTH(tblHours[[#This Row],[Month]]),1))</f>
        <v>46143</v>
      </c>
      <c r="G85" s="39">
        <f>IF(tblHours[[#This Row],[Month]]="","",IF(N(tblHours[[#This Row],[Employees]])&gt;0,tblHours[[#This Row],[Hours worked]]/tblHours[[#This Row],[Employees]],""))</f>
        <v>177.41935483871</v>
      </c>
      <c r="H8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5" s="28" t="s">
        <v>143</v>
      </c>
    </row>
    <row r="86" spans="2:9">
      <c r="B86" s="29">
        <v>46174</v>
      </c>
      <c r="C86" s="28" t="s">
        <v>97</v>
      </c>
      <c r="D86" s="37">
        <v>63</v>
      </c>
      <c r="E86" s="37">
        <v>10790</v>
      </c>
      <c r="F86" s="38">
        <f>IF(tblHours[[#This Row],[Month]]="","",DATE(YEAR(tblHours[[#This Row],[Month]]),MONTH(tblHours[[#This Row],[Month]]),1))</f>
        <v>46174</v>
      </c>
      <c r="G86" s="39">
        <f>IF(tblHours[[#This Row],[Month]]="","",IF(N(tblHours[[#This Row],[Employees]])&gt;0,tblHours[[#This Row],[Hours worked]]/tblHours[[#This Row],[Employees]],""))</f>
        <v>171.269841269841</v>
      </c>
      <c r="H8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6" s="28" t="s">
        <v>143</v>
      </c>
    </row>
    <row r="87" spans="2:9">
      <c r="B87" s="29">
        <v>46174</v>
      </c>
      <c r="C87" s="28" t="s">
        <v>100</v>
      </c>
      <c r="D87" s="37">
        <v>51</v>
      </c>
      <c r="E87" s="37">
        <v>8440</v>
      </c>
      <c r="F87" s="38">
        <f>IF(tblHours[[#This Row],[Month]]="","",DATE(YEAR(tblHours[[#This Row],[Month]]),MONTH(tblHours[[#This Row],[Month]]),1))</f>
        <v>46174</v>
      </c>
      <c r="G87" s="39">
        <f>IF(tblHours[[#This Row],[Month]]="","",IF(N(tblHours[[#This Row],[Employees]])&gt;0,tblHours[[#This Row],[Hours worked]]/tblHours[[#This Row],[Employees]],""))</f>
        <v>165.490196078431</v>
      </c>
      <c r="H8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7" s="28" t="s">
        <v>143</v>
      </c>
    </row>
    <row r="88" spans="2:9">
      <c r="B88" s="29">
        <v>46174</v>
      </c>
      <c r="C88" s="28" t="s">
        <v>103</v>
      </c>
      <c r="D88" s="37">
        <v>73</v>
      </c>
      <c r="E88" s="37">
        <v>12890</v>
      </c>
      <c r="F88" s="38">
        <f>IF(tblHours[[#This Row],[Month]]="","",DATE(YEAR(tblHours[[#This Row],[Month]]),MONTH(tblHours[[#This Row],[Month]]),1))</f>
        <v>46174</v>
      </c>
      <c r="G88" s="39">
        <f>IF(tblHours[[#This Row],[Month]]="","",IF(N(tblHours[[#This Row],[Employees]])&gt;0,tblHours[[#This Row],[Hours worked]]/tblHours[[#This Row],[Employees]],""))</f>
        <v>176.575342465753</v>
      </c>
      <c r="H8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8" s="28" t="s">
        <v>143</v>
      </c>
    </row>
    <row r="89" spans="2:9">
      <c r="B89" s="29">
        <v>46174</v>
      </c>
      <c r="C89" s="28" t="s">
        <v>106</v>
      </c>
      <c r="D89" s="37">
        <v>30</v>
      </c>
      <c r="E89" s="37">
        <v>5170</v>
      </c>
      <c r="F89" s="38">
        <f>IF(tblHours[[#This Row],[Month]]="","",DATE(YEAR(tblHours[[#This Row],[Month]]),MONTH(tblHours[[#This Row],[Month]]),1))</f>
        <v>46174</v>
      </c>
      <c r="G89" s="39">
        <f>IF(tblHours[[#This Row],[Month]]="","",IF(N(tblHours[[#This Row],[Employees]])&gt;0,tblHours[[#This Row],[Hours worked]]/tblHours[[#This Row],[Employees]],""))</f>
        <v>172.333333333333</v>
      </c>
      <c r="H8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89" s="28" t="s">
        <v>143</v>
      </c>
    </row>
    <row r="90" spans="2:9">
      <c r="B90" s="29">
        <v>46204</v>
      </c>
      <c r="C90" s="28" t="s">
        <v>97</v>
      </c>
      <c r="D90" s="37">
        <v>61</v>
      </c>
      <c r="E90" s="37">
        <v>10440</v>
      </c>
      <c r="F90" s="38">
        <f>IF(tblHours[[#This Row],[Month]]="","",DATE(YEAR(tblHours[[#This Row],[Month]]),MONTH(tblHours[[#This Row],[Month]]),1))</f>
        <v>46204</v>
      </c>
      <c r="G90" s="39">
        <f>IF(tblHours[[#This Row],[Month]]="","",IF(N(tblHours[[#This Row],[Employees]])&gt;0,tblHours[[#This Row],[Hours worked]]/tblHours[[#This Row],[Employees]],""))</f>
        <v>171.147540983607</v>
      </c>
      <c r="H9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0" s="28" t="s">
        <v>143</v>
      </c>
    </row>
    <row r="91" spans="2:9">
      <c r="B91" s="29">
        <v>46204</v>
      </c>
      <c r="C91" s="28" t="s">
        <v>100</v>
      </c>
      <c r="D91" s="37">
        <v>51</v>
      </c>
      <c r="E91" s="37">
        <v>9060</v>
      </c>
      <c r="F91" s="38">
        <f>IF(tblHours[[#This Row],[Month]]="","",DATE(YEAR(tblHours[[#This Row],[Month]]),MONTH(tblHours[[#This Row],[Month]]),1))</f>
        <v>46204</v>
      </c>
      <c r="G91" s="39">
        <f>IF(tblHours[[#This Row],[Month]]="","",IF(N(tblHours[[#This Row],[Employees]])&gt;0,tblHours[[#This Row],[Hours worked]]/tblHours[[#This Row],[Employees]],""))</f>
        <v>177.647058823529</v>
      </c>
      <c r="H9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1" s="28" t="s">
        <v>143</v>
      </c>
    </row>
    <row r="92" spans="2:9">
      <c r="B92" s="29">
        <v>46204</v>
      </c>
      <c r="C92" s="28" t="s">
        <v>103</v>
      </c>
      <c r="D92" s="37">
        <v>73</v>
      </c>
      <c r="E92" s="37">
        <v>12900</v>
      </c>
      <c r="F92" s="38">
        <f>IF(tblHours[[#This Row],[Month]]="","",DATE(YEAR(tblHours[[#This Row],[Month]]),MONTH(tblHours[[#This Row],[Month]]),1))</f>
        <v>46204</v>
      </c>
      <c r="G92" s="39">
        <f>IF(tblHours[[#This Row],[Month]]="","",IF(N(tblHours[[#This Row],[Employees]])&gt;0,tblHours[[#This Row],[Hours worked]]/tblHours[[#This Row],[Employees]],""))</f>
        <v>176.712328767123</v>
      </c>
      <c r="H92"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2" s="28" t="s">
        <v>143</v>
      </c>
    </row>
    <row r="93" spans="2:9">
      <c r="B93" s="29">
        <v>46204</v>
      </c>
      <c r="C93" s="28" t="s">
        <v>106</v>
      </c>
      <c r="D93" s="37">
        <v>30</v>
      </c>
      <c r="E93" s="37">
        <v>5020</v>
      </c>
      <c r="F93" s="38">
        <f>IF(tblHours[[#This Row],[Month]]="","",DATE(YEAR(tblHours[[#This Row],[Month]]),MONTH(tblHours[[#This Row],[Month]]),1))</f>
        <v>46204</v>
      </c>
      <c r="G93" s="39">
        <f>IF(tblHours[[#This Row],[Month]]="","",IF(N(tblHours[[#This Row],[Employees]])&gt;0,tblHours[[#This Row],[Hours worked]]/tblHours[[#This Row],[Employees]],""))</f>
        <v>167.333333333333</v>
      </c>
      <c r="H93"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3" s="28" t="s">
        <v>143</v>
      </c>
    </row>
    <row r="94" spans="2:9">
      <c r="B94" s="29">
        <v>46235</v>
      </c>
      <c r="C94" s="28" t="s">
        <v>97</v>
      </c>
      <c r="D94" s="37">
        <v>62</v>
      </c>
      <c r="E94" s="37">
        <v>10350</v>
      </c>
      <c r="F94" s="38">
        <f>IF(tblHours[[#This Row],[Month]]="","",DATE(YEAR(tblHours[[#This Row],[Month]]),MONTH(tblHours[[#This Row],[Month]]),1))</f>
        <v>46235</v>
      </c>
      <c r="G94" s="39">
        <f>IF(tblHours[[#This Row],[Month]]="","",IF(N(tblHours[[#This Row],[Employees]])&gt;0,tblHours[[#This Row],[Hours worked]]/tblHours[[#This Row],[Employees]],""))</f>
        <v>166.935483870968</v>
      </c>
      <c r="H94"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4" s="28" t="s">
        <v>143</v>
      </c>
    </row>
    <row r="95" spans="2:9">
      <c r="B95" s="29">
        <v>46235</v>
      </c>
      <c r="C95" s="28" t="s">
        <v>100</v>
      </c>
      <c r="D95" s="37">
        <v>51</v>
      </c>
      <c r="E95" s="37">
        <v>8450</v>
      </c>
      <c r="F95" s="38">
        <f>IF(tblHours[[#This Row],[Month]]="","",DATE(YEAR(tblHours[[#This Row],[Month]]),MONTH(tblHours[[#This Row],[Month]]),1))</f>
        <v>46235</v>
      </c>
      <c r="G95" s="39">
        <f>IF(tblHours[[#This Row],[Month]]="","",IF(N(tblHours[[#This Row],[Employees]])&gt;0,tblHours[[#This Row],[Hours worked]]/tblHours[[#This Row],[Employees]],""))</f>
        <v>165.686274509804</v>
      </c>
      <c r="H95"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5" s="28" t="s">
        <v>143</v>
      </c>
    </row>
    <row r="96" spans="2:9">
      <c r="B96" s="29">
        <v>46235</v>
      </c>
      <c r="C96" s="28" t="s">
        <v>103</v>
      </c>
      <c r="D96" s="37">
        <v>73</v>
      </c>
      <c r="E96" s="37">
        <v>11390</v>
      </c>
      <c r="F96" s="38">
        <f>IF(tblHours[[#This Row],[Month]]="","",DATE(YEAR(tblHours[[#This Row],[Month]]),MONTH(tblHours[[#This Row],[Month]]),1))</f>
        <v>46235</v>
      </c>
      <c r="G96" s="39">
        <f>IF(tblHours[[#This Row],[Month]]="","",IF(N(tblHours[[#This Row],[Employees]])&gt;0,tblHours[[#This Row],[Hours worked]]/tblHours[[#This Row],[Employees]],""))</f>
        <v>156.027397260274</v>
      </c>
      <c r="H96"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6" s="28" t="s">
        <v>143</v>
      </c>
    </row>
    <row r="97" spans="2:9">
      <c r="B97" s="29">
        <v>46235</v>
      </c>
      <c r="C97" s="28" t="s">
        <v>106</v>
      </c>
      <c r="D97" s="37">
        <v>29</v>
      </c>
      <c r="E97" s="37">
        <v>4660</v>
      </c>
      <c r="F97" s="38">
        <f>IF(tblHours[[#This Row],[Month]]="","",DATE(YEAR(tblHours[[#This Row],[Month]]),MONTH(tblHours[[#This Row],[Month]]),1))</f>
        <v>46235</v>
      </c>
      <c r="G97" s="39">
        <f>IF(tblHours[[#This Row],[Month]]="","",IF(N(tblHours[[#This Row],[Employees]])&gt;0,tblHours[[#This Row],[Hours worked]]/tblHours[[#This Row],[Employees]],""))</f>
        <v>160.689655172414</v>
      </c>
      <c r="H97"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7" s="28" t="s">
        <v>143</v>
      </c>
    </row>
    <row r="98" spans="2:9">
      <c r="B98" s="29">
        <v>46266</v>
      </c>
      <c r="C98" s="28" t="s">
        <v>97</v>
      </c>
      <c r="D98" s="37">
        <v>61</v>
      </c>
      <c r="E98" s="37">
        <v>10230</v>
      </c>
      <c r="F98" s="38">
        <f>IF(tblHours[[#This Row],[Month]]="","",DATE(YEAR(tblHours[[#This Row],[Month]]),MONTH(tblHours[[#This Row],[Month]]),1))</f>
        <v>46266</v>
      </c>
      <c r="G98" s="39">
        <f>IF(tblHours[[#This Row],[Month]]="","",IF(N(tblHours[[#This Row],[Employees]])&gt;0,tblHours[[#This Row],[Hours worked]]/tblHours[[#This Row],[Employees]],""))</f>
        <v>167.704918032787</v>
      </c>
      <c r="H98"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8" s="28" t="s">
        <v>143</v>
      </c>
    </row>
    <row r="99" spans="2:9">
      <c r="B99" s="29">
        <v>46266</v>
      </c>
      <c r="C99" s="28" t="s">
        <v>100</v>
      </c>
      <c r="D99" s="37">
        <v>51</v>
      </c>
      <c r="E99" s="37">
        <v>8650</v>
      </c>
      <c r="F99" s="38">
        <f>IF(tblHours[[#This Row],[Month]]="","",DATE(YEAR(tblHours[[#This Row],[Month]]),MONTH(tblHours[[#This Row],[Month]]),1))</f>
        <v>46266</v>
      </c>
      <c r="G99" s="39">
        <f>IF(tblHours[[#This Row],[Month]]="","",IF(N(tblHours[[#This Row],[Employees]])&gt;0,tblHours[[#This Row],[Hours worked]]/tblHours[[#This Row],[Employees]],""))</f>
        <v>169.607843137255</v>
      </c>
      <c r="H99"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99" s="28" t="s">
        <v>143</v>
      </c>
    </row>
    <row r="100" spans="2:9">
      <c r="B100" s="29">
        <v>46266</v>
      </c>
      <c r="C100" s="28" t="s">
        <v>103</v>
      </c>
      <c r="D100" s="37">
        <v>72</v>
      </c>
      <c r="E100" s="37">
        <v>12280</v>
      </c>
      <c r="F100" s="38">
        <f>IF(tblHours[[#This Row],[Month]]="","",DATE(YEAR(tblHours[[#This Row],[Month]]),MONTH(tblHours[[#This Row],[Month]]),1))</f>
        <v>46266</v>
      </c>
      <c r="G100" s="39">
        <f>IF(tblHours[[#This Row],[Month]]="","",IF(N(tblHours[[#This Row],[Employees]])&gt;0,tblHours[[#This Row],[Hours worked]]/tblHours[[#This Row],[Employees]],""))</f>
        <v>170.555555555556</v>
      </c>
      <c r="H100"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00" s="28" t="s">
        <v>143</v>
      </c>
    </row>
    <row r="101" spans="2:9">
      <c r="B101" s="29">
        <v>46266</v>
      </c>
      <c r="C101" s="28" t="s">
        <v>106</v>
      </c>
      <c r="D101" s="37">
        <v>31</v>
      </c>
      <c r="E101" s="37">
        <v>5280</v>
      </c>
      <c r="F101" s="38">
        <f>IF(tblHours[[#This Row],[Month]]="","",DATE(YEAR(tblHours[[#This Row],[Month]]),MONTH(tblHours[[#This Row],[Month]]),1))</f>
        <v>46266</v>
      </c>
      <c r="G101" s="39">
        <f>IF(tblHours[[#This Row],[Month]]="","",IF(N(tblHours[[#This Row],[Employees]])&gt;0,tblHours[[#This Row],[Hours worked]]/tblHours[[#This Row],[Employees]],""))</f>
        <v>170.322580645161</v>
      </c>
      <c r="H101" s="40" t="str">
        <f>IF(tblHours[[#This Row],[Month]]="","",IF(tblHours[[#This Row],[Department]]="","Missing department",IF(tblHours[[#This Row],[Employees]]="","Missing employees",IF(tblHours[[#This Row],[Hours worked]]="","Missing hours worked",IF(COUNTIFS(tblHours[Month start],tblHours[[#This Row],[Month start]],tblHours[Department],tblHours[[#This Row],[Department]])&gt;1,"Duplicate month and department",IF(AND(N(tblHours[[#This Row],[Employees]])&gt;0,tblHours[[#This Row],[Hours worked]]/tblHours[[#This Row],[Employees]]&gt;300),"Over 300 h per employee",IF(tblHours[[#This Row],[Month start]]&gt;AsOf,"Month after the as-of date","OK")))))))</f>
        <v>OK</v>
      </c>
      <c r="I101" s="28" t="s">
        <v>143</v>
      </c>
    </row>
  </sheetData>
  <mergeCells count="3">
    <mergeCell ref="A1:I1"/>
    <mergeCell ref="B2:H2"/>
    <mergeCell ref="B4:I4"/>
  </mergeCells>
  <conditionalFormatting sqref="H6:H601">
    <cfRule type="expression" dxfId="3" priority="1">
      <formula>$H6="OK"</formula>
    </cfRule>
    <cfRule type="expression" dxfId="1" priority="2">
      <formula>AND($H6&lt;&gt;"",$H6&lt;&gt;"OK")</formula>
    </cfRule>
  </conditionalFormatting>
  <dataValidations count="5">
    <dataValidation type="date" allowBlank="1" showInputMessage="1" showErrorMessage="1" errorTitle="Check this entry" error="Enter a date between 01 Jan 2000 and 31 Dec 2100." promptTitle="Month" prompt="Any date in the month; the workbook uses the first of the month. Enter a date between 01 Jan 2000 and 31 Dec 2100." sqref="B6:B601">
      <formula1>36526</formula1>
      <formula2>73415</formula2>
    </dataValidation>
    <dataValidation type="list" allowBlank="1" showInputMessage="1" showErrorMessage="1" errorTitle="Check this entry" error="Pick from the list (edit the list on Setup: Departments)." promptTitle="Department" prompt="Pick from the list (edit the list on Setup: Departments)." sqref="C6:C601">
      <formula1>Departments</formula1>
    </dataValidation>
    <dataValidation type="whole" allowBlank="1" showInputMessage="1" showErrorMessage="1" errorTitle="Check this entry" error="Enter a whole number from 0 to 1,000,000." promptTitle="Employees" prompt="Average number of people on the payroll in the month, including temporary workers you supervise day to day. Enter a whole number from 0 to 1,000,000." sqref="D6:D601">
      <formula1>0</formula1>
      <formula2>1000000</formula2>
    </dataValidation>
    <dataValidation type="whole" allowBlank="1" showInputMessage="1" showErrorMessage="1" errorTitle="Check this entry" error="Enter a whole number from 0 to 100,000,000." promptTitle="Hours worked" prompt="Hours actually worked (not paid leave or holidays), from payroll or time records. Enter a whole number from 0 to 100,000,000." sqref="E6:E601">
      <formula1>0</formula1>
      <formula2>100000000</formula2>
    </dataValidation>
    <dataValidation type="textLength" allowBlank="1" showInputMessage="1" showErrorMessage="1" errorTitle="Check this entry" error="Text up to 255 characters." promptTitle="Notes" prompt="Text up to 255 characters." sqref="I6:I601">
      <formula1>0</formula1>
      <formula2>255</formula2>
    </dataValidation>
  </dataValidations>
  <hyperlinks>
    <hyperlink ref="I2" r:id="rId1" tooltip="Free manufacturing calculators and templates"/>
  </hyperlinks>
  <pageMargins left="0.4" right="0.4" top="0.7" bottom="0.65" header="0.3" footer="0.3"/>
  <pageSetup fitToHeight="0" orientation="landscape"/>
  <headerFooter>
    <oddHeader>&amp;L&amp;8MFG Calcs - Safety Incident Log with TRIR and DART&amp;R&amp;8&amp;A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T12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0.28515625" customWidth="1"/>
    <col min="3" max="3" width="11.7109375" customWidth="1"/>
    <col min="4" max="4" width="16.28515625" customWidth="1"/>
    <col min="5" max="5" width="18.28515625" customWidth="1"/>
    <col min="6" max="6" width="19.7109375" customWidth="1"/>
    <col min="7" max="7" width="17.7109375" customWidth="1"/>
    <col min="8" max="8" width="20.7109375" customWidth="1"/>
    <col min="9" max="9" width="8.28515625" customWidth="1"/>
    <col min="10" max="10" width="9.7109375" customWidth="1"/>
    <col min="11" max="11" width="10.7109375" customWidth="1"/>
    <col min="12" max="12" width="7.28515625" customWidth="1"/>
    <col min="13" max="13" width="8.7109375" customWidth="1"/>
    <col min="14" max="14" width="8.28515625" customWidth="1"/>
    <col min="15" max="16" width="30.7109375" customWidth="1"/>
    <col min="17" max="18" width="11.7109375" customWidth="1"/>
    <col min="19" max="19" width="12.28515625" customWidth="1"/>
    <col min="20" max="20" width="27.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24</v>
      </c>
      <c r="C2" s="2"/>
      <c r="D2" s="2"/>
      <c r="E2" s="2"/>
      <c r="F2" s="2"/>
      <c r="G2" s="2"/>
      <c r="H2" s="2"/>
      <c r="I2" s="2"/>
      <c r="J2" s="2"/>
      <c r="K2" s="2"/>
      <c r="L2" s="2"/>
      <c r="M2" s="2"/>
      <c r="N2" s="2"/>
      <c r="O2" s="2"/>
      <c r="P2" s="2"/>
      <c r="Q2" s="2"/>
      <c r="R2" s="2"/>
      <c r="S2" s="2"/>
      <c r="T2" s="3" t="s">
        <v>2</v>
      </c>
    </row>
    <row r="3" spans="1:20" ht="6" customHeight="1"/>
    <row r="4" spans="1:20" ht="18" customHeight="1">
      <c r="B4" s="36" t="s">
        <v>158</v>
      </c>
      <c r="C4" s="36"/>
      <c r="D4" s="36"/>
      <c r="E4" s="36"/>
      <c r="F4" s="36"/>
      <c r="G4" s="36"/>
      <c r="H4" s="36"/>
      <c r="I4" s="36"/>
      <c r="J4" s="36"/>
      <c r="K4" s="36"/>
      <c r="L4" s="36"/>
      <c r="M4" s="36"/>
      <c r="N4" s="36"/>
      <c r="O4" s="36"/>
      <c r="P4" s="36"/>
      <c r="Q4" s="36"/>
      <c r="R4" s="36"/>
      <c r="S4" s="36"/>
      <c r="T4" s="36"/>
    </row>
    <row r="5" spans="1:20" ht="32" customHeight="1">
      <c r="B5" s="35" t="s">
        <v>144</v>
      </c>
      <c r="C5" s="35" t="s">
        <v>145</v>
      </c>
      <c r="D5" s="35" t="s">
        <v>64</v>
      </c>
      <c r="E5" s="35" t="s">
        <v>146</v>
      </c>
      <c r="F5" s="35" t="s">
        <v>67</v>
      </c>
      <c r="G5" s="35" t="s">
        <v>80</v>
      </c>
      <c r="H5" s="35" t="s">
        <v>147</v>
      </c>
      <c r="I5" s="35" t="s">
        <v>90</v>
      </c>
      <c r="J5" s="35" t="s">
        <v>148</v>
      </c>
      <c r="K5" s="35" t="s">
        <v>149</v>
      </c>
      <c r="L5" s="35" t="s">
        <v>150</v>
      </c>
      <c r="M5" s="35" t="s">
        <v>151</v>
      </c>
      <c r="N5" s="35" t="s">
        <v>152</v>
      </c>
      <c r="O5" s="35" t="s">
        <v>153</v>
      </c>
      <c r="P5" s="35" t="s">
        <v>154</v>
      </c>
      <c r="Q5" s="35" t="s">
        <v>155</v>
      </c>
      <c r="R5" s="35" t="s">
        <v>156</v>
      </c>
      <c r="S5" s="35" t="s">
        <v>157</v>
      </c>
      <c r="T5" s="35" t="s">
        <v>140</v>
      </c>
    </row>
    <row r="6" spans="1:20">
      <c r="B6" s="28" t="s">
        <v>159</v>
      </c>
      <c r="C6" s="29">
        <v>45570</v>
      </c>
      <c r="D6" s="28" t="s">
        <v>97</v>
      </c>
      <c r="E6" s="28" t="s">
        <v>160</v>
      </c>
      <c r="F6" s="28" t="s">
        <v>110</v>
      </c>
      <c r="G6" s="28" t="s">
        <v>84</v>
      </c>
      <c r="H6" s="28" t="s">
        <v>161</v>
      </c>
      <c r="I6" s="37"/>
      <c r="J6" s="37"/>
      <c r="K6" s="41" t="str">
        <f>IF(tblIncidents[[#This Row],[Date]]="","",IF(OR(tblIncidents[[#This Row],[Classification]]="Other recordable",tblIncidents[[#This Row],[Classification]]="Restricted or transfer",tblIncidents[[#This Row],[Classification]]="Days away",tblIncidents[[#This Row],[Classification]]="Fatality"),"Yes","No"))</f>
        <v>No</v>
      </c>
      <c r="L6" s="41" t="str">
        <f>IF(tblIncidents[[#This Row],[Date]]="","",IF(OR(tblIncidents[[#This Row],[Classification]]="Restricted or transfer",tblIncidents[[#This Row],[Classification]]="Days away"),"Yes","No"))</f>
        <v>No</v>
      </c>
      <c r="M6" s="41" t="str">
        <f>IF(tblIncidents[[#This Row],[Date]]="","",IF(OR(tblIncidents[[#This Row],[Classification]]="Days away",tblIncidents[[#This Row],[Classification]]="Fatality"),"Yes","No"))</f>
        <v>No</v>
      </c>
      <c r="N6" s="42">
        <f>IF(tblIncidents[[#This Row],[Date]]="","",N(tblIncidents[[#This Row],[Days away]])+N(tblIncidents[[#This Row],[Days restricted]]))</f>
        <v>0</v>
      </c>
      <c r="O6" s="43" t="s">
        <v>162</v>
      </c>
      <c r="P6" s="43" t="s">
        <v>163</v>
      </c>
      <c r="Q6" s="29">
        <v>45584</v>
      </c>
      <c r="R6" s="29">
        <v>45584</v>
      </c>
      <c r="S6" s="41" t="str">
        <f>IF(tblIncidents[[#This Row],[Date]]="","",IF(tblIncidents[[#This Row],[Corrective action]]="","",IF(N(tblIncidents[[#This Row],[Action closed]])&gt;0,"Complete",IF(N(tblIncidents[[#This Row],[Action due]])=0,"Check",IF(tblIncidents[[#This Row],[Action due]]&lt;AsOf,"Overdue","In progress")))))</f>
        <v>Complete</v>
      </c>
      <c r="T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 spans="1:20">
      <c r="B7" s="28" t="s">
        <v>164</v>
      </c>
      <c r="C7" s="29">
        <v>45574</v>
      </c>
      <c r="D7" s="28" t="s">
        <v>97</v>
      </c>
      <c r="E7" s="28" t="s">
        <v>165</v>
      </c>
      <c r="F7" s="28" t="s">
        <v>110</v>
      </c>
      <c r="G7" s="28" t="s">
        <v>86</v>
      </c>
      <c r="H7" s="28" t="s">
        <v>161</v>
      </c>
      <c r="I7" s="37"/>
      <c r="J7" s="37"/>
      <c r="K7" s="41" t="str">
        <f>IF(tblIncidents[[#This Row],[Date]]="","",IF(OR(tblIncidents[[#This Row],[Classification]]="Other recordable",tblIncidents[[#This Row],[Classification]]="Restricted or transfer",tblIncidents[[#This Row],[Classification]]="Days away",tblIncidents[[#This Row],[Classification]]="Fatality"),"Yes","No"))</f>
        <v>Yes</v>
      </c>
      <c r="L7" s="41" t="str">
        <f>IF(tblIncidents[[#This Row],[Date]]="","",IF(OR(tblIncidents[[#This Row],[Classification]]="Restricted or transfer",tblIncidents[[#This Row],[Classification]]="Days away"),"Yes","No"))</f>
        <v>No</v>
      </c>
      <c r="M7" s="41" t="str">
        <f>IF(tblIncidents[[#This Row],[Date]]="","",IF(OR(tblIncidents[[#This Row],[Classification]]="Days away",tblIncidents[[#This Row],[Classification]]="Fatality"),"Yes","No"))</f>
        <v>No</v>
      </c>
      <c r="N7" s="42">
        <f>IF(tblIncidents[[#This Row],[Date]]="","",N(tblIncidents[[#This Row],[Days away]])+N(tblIncidents[[#This Row],[Days restricted]]))</f>
        <v>0</v>
      </c>
      <c r="O7" s="43" t="s">
        <v>162</v>
      </c>
      <c r="P7" s="43" t="s">
        <v>166</v>
      </c>
      <c r="Q7" s="29">
        <v>45619</v>
      </c>
      <c r="R7" s="29">
        <v>45616</v>
      </c>
      <c r="S7" s="41" t="str">
        <f>IF(tblIncidents[[#This Row],[Date]]="","",IF(tblIncidents[[#This Row],[Corrective action]]="","",IF(N(tblIncidents[[#This Row],[Action closed]])&gt;0,"Complete",IF(N(tblIncidents[[#This Row],[Action due]])=0,"Check",IF(tblIncidents[[#This Row],[Action due]]&lt;AsOf,"Overdue","In progress")))))</f>
        <v>Complete</v>
      </c>
      <c r="T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 spans="1:20">
      <c r="B8" s="28" t="s">
        <v>167</v>
      </c>
      <c r="C8" s="29">
        <v>45589</v>
      </c>
      <c r="D8" s="28" t="s">
        <v>106</v>
      </c>
      <c r="E8" s="28" t="s">
        <v>168</v>
      </c>
      <c r="F8" s="28" t="s">
        <v>119</v>
      </c>
      <c r="G8" s="28" t="s">
        <v>82</v>
      </c>
      <c r="H8" s="28" t="s">
        <v>143</v>
      </c>
      <c r="I8" s="37"/>
      <c r="J8" s="37"/>
      <c r="K8" s="41" t="str">
        <f>IF(tblIncidents[[#This Row],[Date]]="","",IF(OR(tblIncidents[[#This Row],[Classification]]="Other recordable",tblIncidents[[#This Row],[Classification]]="Restricted or transfer",tblIncidents[[#This Row],[Classification]]="Days away",tblIncidents[[#This Row],[Classification]]="Fatality"),"Yes","No"))</f>
        <v>No</v>
      </c>
      <c r="L8" s="41" t="str">
        <f>IF(tblIncidents[[#This Row],[Date]]="","",IF(OR(tblIncidents[[#This Row],[Classification]]="Restricted or transfer",tblIncidents[[#This Row],[Classification]]="Days away"),"Yes","No"))</f>
        <v>No</v>
      </c>
      <c r="M8" s="41" t="str">
        <f>IF(tblIncidents[[#This Row],[Date]]="","",IF(OR(tblIncidents[[#This Row],[Classification]]="Days away",tblIncidents[[#This Row],[Classification]]="Fatality"),"Yes","No"))</f>
        <v>No</v>
      </c>
      <c r="N8" s="42">
        <f>IF(tblIncidents[[#This Row],[Date]]="","",N(tblIncidents[[#This Row],[Days away]])+N(tblIncidents[[#This Row],[Days restricted]]))</f>
        <v>0</v>
      </c>
      <c r="O8" s="43" t="s">
        <v>169</v>
      </c>
      <c r="P8" s="43" t="s">
        <v>170</v>
      </c>
      <c r="Q8" s="29">
        <v>45610</v>
      </c>
      <c r="R8" s="29">
        <v>45605</v>
      </c>
      <c r="S8" s="41" t="str">
        <f>IF(tblIncidents[[#This Row],[Date]]="","",IF(tblIncidents[[#This Row],[Corrective action]]="","",IF(N(tblIncidents[[#This Row],[Action closed]])&gt;0,"Complete",IF(N(tblIncidents[[#This Row],[Action due]])=0,"Check",IF(tblIncidents[[#This Row],[Action due]]&lt;AsOf,"Overdue","In progress")))))</f>
        <v>Complete</v>
      </c>
      <c r="T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 spans="1:20">
      <c r="B9" s="28" t="s">
        <v>171</v>
      </c>
      <c r="C9" s="29">
        <v>45590</v>
      </c>
      <c r="D9" s="28" t="s">
        <v>97</v>
      </c>
      <c r="E9" s="28" t="s">
        <v>165</v>
      </c>
      <c r="F9" s="28" t="s">
        <v>110</v>
      </c>
      <c r="G9" s="28" t="s">
        <v>84</v>
      </c>
      <c r="H9" s="28" t="s">
        <v>172</v>
      </c>
      <c r="I9" s="37"/>
      <c r="J9" s="37"/>
      <c r="K9" s="41" t="str">
        <f>IF(tblIncidents[[#This Row],[Date]]="","",IF(OR(tblIncidents[[#This Row],[Classification]]="Other recordable",tblIncidents[[#This Row],[Classification]]="Restricted or transfer",tblIncidents[[#This Row],[Classification]]="Days away",tblIncidents[[#This Row],[Classification]]="Fatality"),"Yes","No"))</f>
        <v>No</v>
      </c>
      <c r="L9" s="41" t="str">
        <f>IF(tblIncidents[[#This Row],[Date]]="","",IF(OR(tblIncidents[[#This Row],[Classification]]="Restricted or transfer",tblIncidents[[#This Row],[Classification]]="Days away"),"Yes","No"))</f>
        <v>No</v>
      </c>
      <c r="M9" s="41" t="str">
        <f>IF(tblIncidents[[#This Row],[Date]]="","",IF(OR(tblIncidents[[#This Row],[Classification]]="Days away",tblIncidents[[#This Row],[Classification]]="Fatality"),"Yes","No"))</f>
        <v>No</v>
      </c>
      <c r="N9" s="42">
        <f>IF(tblIncidents[[#This Row],[Date]]="","",N(tblIncidents[[#This Row],[Days away]])+N(tblIncidents[[#This Row],[Days restricted]]))</f>
        <v>0</v>
      </c>
      <c r="O9" s="43" t="s">
        <v>173</v>
      </c>
      <c r="P9" s="43" t="s">
        <v>143</v>
      </c>
      <c r="Q9" s="29"/>
      <c r="R9" s="29"/>
      <c r="S9" s="41">
        <f>IF(tblIncidents[[#This Row],[Date]]="","",IF(tblIncidents[[#This Row],[Corrective action]]="","",IF(N(tblIncidents[[#This Row],[Action closed]])&gt;0,"Complete",IF(N(tblIncidents[[#This Row],[Action due]])=0,"Check",IF(tblIncidents[[#This Row],[Action due]]&lt;AsOf,"Overdue","In progress")))))</f>
        <v/>
      </c>
      <c r="T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 spans="1:20">
      <c r="B10" s="28" t="s">
        <v>174</v>
      </c>
      <c r="C10" s="29">
        <v>45598</v>
      </c>
      <c r="D10" s="28" t="s">
        <v>106</v>
      </c>
      <c r="E10" s="28" t="s">
        <v>175</v>
      </c>
      <c r="F10" s="28" t="s">
        <v>116</v>
      </c>
      <c r="G10" s="28" t="s">
        <v>84</v>
      </c>
      <c r="H10" s="28" t="s">
        <v>176</v>
      </c>
      <c r="I10" s="37"/>
      <c r="J10" s="37"/>
      <c r="K10" s="41" t="str">
        <f>IF(tblIncidents[[#This Row],[Date]]="","",IF(OR(tblIncidents[[#This Row],[Classification]]="Other recordable",tblIncidents[[#This Row],[Classification]]="Restricted or transfer",tblIncidents[[#This Row],[Classification]]="Days away",tblIncidents[[#This Row],[Classification]]="Fatality"),"Yes","No"))</f>
        <v>No</v>
      </c>
      <c r="L10" s="41" t="str">
        <f>IF(tblIncidents[[#This Row],[Date]]="","",IF(OR(tblIncidents[[#This Row],[Classification]]="Restricted or transfer",tblIncidents[[#This Row],[Classification]]="Days away"),"Yes","No"))</f>
        <v>No</v>
      </c>
      <c r="M10" s="41" t="str">
        <f>IF(tblIncidents[[#This Row],[Date]]="","",IF(OR(tblIncidents[[#This Row],[Classification]]="Days away",tblIncidents[[#This Row],[Classification]]="Fatality"),"Yes","No"))</f>
        <v>No</v>
      </c>
      <c r="N10" s="42">
        <f>IF(tblIncidents[[#This Row],[Date]]="","",N(tblIncidents[[#This Row],[Days away]])+N(tblIncidents[[#This Row],[Days restricted]]))</f>
        <v>0</v>
      </c>
      <c r="O10" s="43" t="s">
        <v>177</v>
      </c>
      <c r="P10" s="43" t="s">
        <v>178</v>
      </c>
      <c r="Q10" s="29">
        <v>45628</v>
      </c>
      <c r="R10" s="29">
        <v>45626</v>
      </c>
      <c r="S10" s="41" t="str">
        <f>IF(tblIncidents[[#This Row],[Date]]="","",IF(tblIncidents[[#This Row],[Corrective action]]="","",IF(N(tblIncidents[[#This Row],[Action closed]])&gt;0,"Complete",IF(N(tblIncidents[[#This Row],[Action due]])=0,"Check",IF(tblIncidents[[#This Row],[Action due]]&lt;AsOf,"Overdue","In progress")))))</f>
        <v>Complete</v>
      </c>
      <c r="T1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 spans="1:20">
      <c r="B11" s="28" t="s">
        <v>179</v>
      </c>
      <c r="C11" s="29">
        <v>45610</v>
      </c>
      <c r="D11" s="28" t="s">
        <v>100</v>
      </c>
      <c r="E11" s="28" t="s">
        <v>180</v>
      </c>
      <c r="F11" s="28" t="s">
        <v>113</v>
      </c>
      <c r="G11" s="28" t="s">
        <v>88</v>
      </c>
      <c r="H11" s="28" t="s">
        <v>181</v>
      </c>
      <c r="I11" s="37"/>
      <c r="J11" s="37">
        <v>6</v>
      </c>
      <c r="K11" s="41" t="str">
        <f>IF(tblIncidents[[#This Row],[Date]]="","",IF(OR(tblIncidents[[#This Row],[Classification]]="Other recordable",tblIncidents[[#This Row],[Classification]]="Restricted or transfer",tblIncidents[[#This Row],[Classification]]="Days away",tblIncidents[[#This Row],[Classification]]="Fatality"),"Yes","No"))</f>
        <v>Yes</v>
      </c>
      <c r="L11" s="41" t="str">
        <f>IF(tblIncidents[[#This Row],[Date]]="","",IF(OR(tblIncidents[[#This Row],[Classification]]="Restricted or transfer",tblIncidents[[#This Row],[Classification]]="Days away"),"Yes","No"))</f>
        <v>Yes</v>
      </c>
      <c r="M11" s="41" t="str">
        <f>IF(tblIncidents[[#This Row],[Date]]="","",IF(OR(tblIncidents[[#This Row],[Classification]]="Days away",tblIncidents[[#This Row],[Classification]]="Fatality"),"Yes","No"))</f>
        <v>No</v>
      </c>
      <c r="N11" s="42">
        <f>IF(tblIncidents[[#This Row],[Date]]="","",N(tblIncidents[[#This Row],[Days away]])+N(tblIncidents[[#This Row],[Days restricted]]))</f>
        <v>6</v>
      </c>
      <c r="O11" s="43" t="s">
        <v>182</v>
      </c>
      <c r="P11" s="43" t="s">
        <v>183</v>
      </c>
      <c r="Q11" s="29">
        <v>45624</v>
      </c>
      <c r="R11" s="29">
        <v>45615</v>
      </c>
      <c r="S11" s="41" t="str">
        <f>IF(tblIncidents[[#This Row],[Date]]="","",IF(tblIncidents[[#This Row],[Corrective action]]="","",IF(N(tblIncidents[[#This Row],[Action closed]])&gt;0,"Complete",IF(N(tblIncidents[[#This Row],[Action due]])=0,"Check",IF(tblIncidents[[#This Row],[Action due]]&lt;AsOf,"Overdue","In progress")))))</f>
        <v>Complete</v>
      </c>
      <c r="T1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 spans="1:20">
      <c r="B12" s="28" t="s">
        <v>184</v>
      </c>
      <c r="C12" s="29">
        <v>45622</v>
      </c>
      <c r="D12" s="28" t="s">
        <v>97</v>
      </c>
      <c r="E12" s="28" t="s">
        <v>165</v>
      </c>
      <c r="F12" s="28" t="s">
        <v>116</v>
      </c>
      <c r="G12" s="28" t="s">
        <v>84</v>
      </c>
      <c r="H12" s="28" t="s">
        <v>185</v>
      </c>
      <c r="I12" s="37"/>
      <c r="J12" s="37"/>
      <c r="K12" s="41" t="str">
        <f>IF(tblIncidents[[#This Row],[Date]]="","",IF(OR(tblIncidents[[#This Row],[Classification]]="Other recordable",tblIncidents[[#This Row],[Classification]]="Restricted or transfer",tblIncidents[[#This Row],[Classification]]="Days away",tblIncidents[[#This Row],[Classification]]="Fatality"),"Yes","No"))</f>
        <v>No</v>
      </c>
      <c r="L12" s="41" t="str">
        <f>IF(tblIncidents[[#This Row],[Date]]="","",IF(OR(tblIncidents[[#This Row],[Classification]]="Restricted or transfer",tblIncidents[[#This Row],[Classification]]="Days away"),"Yes","No"))</f>
        <v>No</v>
      </c>
      <c r="M12" s="41" t="str">
        <f>IF(tblIncidents[[#This Row],[Date]]="","",IF(OR(tblIncidents[[#This Row],[Classification]]="Days away",tblIncidents[[#This Row],[Classification]]="Fatality"),"Yes","No"))</f>
        <v>No</v>
      </c>
      <c r="N12" s="42">
        <f>IF(tblIncidents[[#This Row],[Date]]="","",N(tblIncidents[[#This Row],[Days away]])+N(tblIncidents[[#This Row],[Days restricted]]))</f>
        <v>0</v>
      </c>
      <c r="O12" s="43" t="s">
        <v>186</v>
      </c>
      <c r="P12" s="43" t="s">
        <v>187</v>
      </c>
      <c r="Q12" s="29">
        <v>45636</v>
      </c>
      <c r="R12" s="29">
        <v>45636</v>
      </c>
      <c r="S12" s="41" t="str">
        <f>IF(tblIncidents[[#This Row],[Date]]="","",IF(tblIncidents[[#This Row],[Corrective action]]="","",IF(N(tblIncidents[[#This Row],[Action closed]])&gt;0,"Complete",IF(N(tblIncidents[[#This Row],[Action due]])=0,"Check",IF(tblIncidents[[#This Row],[Action due]]&lt;AsOf,"Overdue","In progress")))))</f>
        <v>Complete</v>
      </c>
      <c r="T1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3" spans="1:20">
      <c r="B13" s="28" t="s">
        <v>188</v>
      </c>
      <c r="C13" s="29">
        <v>45624</v>
      </c>
      <c r="D13" s="28" t="s">
        <v>100</v>
      </c>
      <c r="E13" s="28" t="s">
        <v>189</v>
      </c>
      <c r="F13" s="28" t="s">
        <v>121</v>
      </c>
      <c r="G13" s="28" t="s">
        <v>84</v>
      </c>
      <c r="H13" s="28" t="s">
        <v>190</v>
      </c>
      <c r="I13" s="37"/>
      <c r="J13" s="37"/>
      <c r="K13" s="41" t="str">
        <f>IF(tblIncidents[[#This Row],[Date]]="","",IF(OR(tblIncidents[[#This Row],[Classification]]="Other recordable",tblIncidents[[#This Row],[Classification]]="Restricted or transfer",tblIncidents[[#This Row],[Classification]]="Days away",tblIncidents[[#This Row],[Classification]]="Fatality"),"Yes","No"))</f>
        <v>No</v>
      </c>
      <c r="L13" s="41" t="str">
        <f>IF(tblIncidents[[#This Row],[Date]]="","",IF(OR(tblIncidents[[#This Row],[Classification]]="Restricted or transfer",tblIncidents[[#This Row],[Classification]]="Days away"),"Yes","No"))</f>
        <v>No</v>
      </c>
      <c r="M13" s="41" t="str">
        <f>IF(tblIncidents[[#This Row],[Date]]="","",IF(OR(tblIncidents[[#This Row],[Classification]]="Days away",tblIncidents[[#This Row],[Classification]]="Fatality"),"Yes","No"))</f>
        <v>No</v>
      </c>
      <c r="N13" s="42">
        <f>IF(tblIncidents[[#This Row],[Date]]="","",N(tblIncidents[[#This Row],[Days away]])+N(tblIncidents[[#This Row],[Days restricted]]))</f>
        <v>0</v>
      </c>
      <c r="O13" s="43" t="s">
        <v>191</v>
      </c>
      <c r="P13" s="43" t="s">
        <v>143</v>
      </c>
      <c r="Q13" s="29"/>
      <c r="R13" s="29"/>
      <c r="S13" s="41">
        <f>IF(tblIncidents[[#This Row],[Date]]="","",IF(tblIncidents[[#This Row],[Corrective action]]="","",IF(N(tblIncidents[[#This Row],[Action closed]])&gt;0,"Complete",IF(N(tblIncidents[[#This Row],[Action due]])=0,"Check",IF(tblIncidents[[#This Row],[Action due]]&lt;AsOf,"Overdue","In progress")))))</f>
        <v/>
      </c>
      <c r="T1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4" spans="1:20">
      <c r="B14" s="28" t="s">
        <v>192</v>
      </c>
      <c r="C14" s="29">
        <v>45629</v>
      </c>
      <c r="D14" s="28" t="s">
        <v>106</v>
      </c>
      <c r="E14" s="28" t="s">
        <v>175</v>
      </c>
      <c r="F14" s="28" t="s">
        <v>128</v>
      </c>
      <c r="G14" s="28" t="s">
        <v>90</v>
      </c>
      <c r="H14" s="28" t="s">
        <v>193</v>
      </c>
      <c r="I14" s="37">
        <v>12</v>
      </c>
      <c r="J14" s="37">
        <v>5</v>
      </c>
      <c r="K14" s="41" t="str">
        <f>IF(tblIncidents[[#This Row],[Date]]="","",IF(OR(tblIncidents[[#This Row],[Classification]]="Other recordable",tblIncidents[[#This Row],[Classification]]="Restricted or transfer",tblIncidents[[#This Row],[Classification]]="Days away",tblIncidents[[#This Row],[Classification]]="Fatality"),"Yes","No"))</f>
        <v>Yes</v>
      </c>
      <c r="L14" s="41" t="str">
        <f>IF(tblIncidents[[#This Row],[Date]]="","",IF(OR(tblIncidents[[#This Row],[Classification]]="Restricted or transfer",tblIncidents[[#This Row],[Classification]]="Days away"),"Yes","No"))</f>
        <v>Yes</v>
      </c>
      <c r="M14" s="41" t="str">
        <f>IF(tblIncidents[[#This Row],[Date]]="","",IF(OR(tblIncidents[[#This Row],[Classification]]="Days away",tblIncidents[[#This Row],[Classification]]="Fatality"),"Yes","No"))</f>
        <v>Yes</v>
      </c>
      <c r="N14" s="42">
        <f>IF(tblIncidents[[#This Row],[Date]]="","",N(tblIncidents[[#This Row],[Days away]])+N(tblIncidents[[#This Row],[Days restricted]]))</f>
        <v>17</v>
      </c>
      <c r="O14" s="43" t="s">
        <v>194</v>
      </c>
      <c r="P14" s="43" t="s">
        <v>195</v>
      </c>
      <c r="Q14" s="29">
        <v>45650</v>
      </c>
      <c r="R14" s="29">
        <v>45644</v>
      </c>
      <c r="S14" s="41" t="str">
        <f>IF(tblIncidents[[#This Row],[Date]]="","",IF(tblIncidents[[#This Row],[Corrective action]]="","",IF(N(tblIncidents[[#This Row],[Action closed]])&gt;0,"Complete",IF(N(tblIncidents[[#This Row],[Action due]])=0,"Check",IF(tblIncidents[[#This Row],[Action due]]&lt;AsOf,"Overdue","In progress")))))</f>
        <v>Complete</v>
      </c>
      <c r="T1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5" spans="1:20">
      <c r="B15" s="28" t="s">
        <v>196</v>
      </c>
      <c r="C15" s="29">
        <v>45638</v>
      </c>
      <c r="D15" s="28" t="s">
        <v>100</v>
      </c>
      <c r="E15" s="28" t="s">
        <v>189</v>
      </c>
      <c r="F15" s="28" t="s">
        <v>131</v>
      </c>
      <c r="G15" s="28" t="s">
        <v>82</v>
      </c>
      <c r="H15" s="28" t="s">
        <v>143</v>
      </c>
      <c r="I15" s="37"/>
      <c r="J15" s="37"/>
      <c r="K15" s="41" t="str">
        <f>IF(tblIncidents[[#This Row],[Date]]="","",IF(OR(tblIncidents[[#This Row],[Classification]]="Other recordable",tblIncidents[[#This Row],[Classification]]="Restricted or transfer",tblIncidents[[#This Row],[Classification]]="Days away",tblIncidents[[#This Row],[Classification]]="Fatality"),"Yes","No"))</f>
        <v>No</v>
      </c>
      <c r="L15" s="41" t="str">
        <f>IF(tblIncidents[[#This Row],[Date]]="","",IF(OR(tblIncidents[[#This Row],[Classification]]="Restricted or transfer",tblIncidents[[#This Row],[Classification]]="Days away"),"Yes","No"))</f>
        <v>No</v>
      </c>
      <c r="M15" s="41" t="str">
        <f>IF(tblIncidents[[#This Row],[Date]]="","",IF(OR(tblIncidents[[#This Row],[Classification]]="Days away",tblIncidents[[#This Row],[Classification]]="Fatality"),"Yes","No"))</f>
        <v>No</v>
      </c>
      <c r="N15" s="42">
        <f>IF(tblIncidents[[#This Row],[Date]]="","",N(tblIncidents[[#This Row],[Days away]])+N(tblIncidents[[#This Row],[Days restricted]]))</f>
        <v>0</v>
      </c>
      <c r="O15" s="43" t="s">
        <v>197</v>
      </c>
      <c r="P15" s="43" t="s">
        <v>198</v>
      </c>
      <c r="Q15" s="29">
        <v>45683</v>
      </c>
      <c r="R15" s="29">
        <v>45683</v>
      </c>
      <c r="S15" s="41" t="str">
        <f>IF(tblIncidents[[#This Row],[Date]]="","",IF(tblIncidents[[#This Row],[Corrective action]]="","",IF(N(tblIncidents[[#This Row],[Action closed]])&gt;0,"Complete",IF(N(tblIncidents[[#This Row],[Action due]])=0,"Check",IF(tblIncidents[[#This Row],[Action due]]&lt;AsOf,"Overdue","In progress")))))</f>
        <v>Complete</v>
      </c>
      <c r="T1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6" spans="1:20">
      <c r="B16" s="28" t="s">
        <v>199</v>
      </c>
      <c r="C16" s="29">
        <v>45648</v>
      </c>
      <c r="D16" s="28" t="s">
        <v>100</v>
      </c>
      <c r="E16" s="28" t="s">
        <v>180</v>
      </c>
      <c r="F16" s="28" t="s">
        <v>113</v>
      </c>
      <c r="G16" s="28" t="s">
        <v>84</v>
      </c>
      <c r="H16" s="28" t="s">
        <v>200</v>
      </c>
      <c r="I16" s="37"/>
      <c r="J16" s="37"/>
      <c r="K16" s="41" t="str">
        <f>IF(tblIncidents[[#This Row],[Date]]="","",IF(OR(tblIncidents[[#This Row],[Classification]]="Other recordable",tblIncidents[[#This Row],[Classification]]="Restricted or transfer",tblIncidents[[#This Row],[Classification]]="Days away",tblIncidents[[#This Row],[Classification]]="Fatality"),"Yes","No"))</f>
        <v>No</v>
      </c>
      <c r="L16" s="41" t="str">
        <f>IF(tblIncidents[[#This Row],[Date]]="","",IF(OR(tblIncidents[[#This Row],[Classification]]="Restricted or transfer",tblIncidents[[#This Row],[Classification]]="Days away"),"Yes","No"))</f>
        <v>No</v>
      </c>
      <c r="M16" s="41" t="str">
        <f>IF(tblIncidents[[#This Row],[Date]]="","",IF(OR(tblIncidents[[#This Row],[Classification]]="Days away",tblIncidents[[#This Row],[Classification]]="Fatality"),"Yes","No"))</f>
        <v>No</v>
      </c>
      <c r="N16" s="42">
        <f>IF(tblIncidents[[#This Row],[Date]]="","",N(tblIncidents[[#This Row],[Days away]])+N(tblIncidents[[#This Row],[Days restricted]]))</f>
        <v>0</v>
      </c>
      <c r="O16" s="43" t="s">
        <v>182</v>
      </c>
      <c r="P16" s="43" t="s">
        <v>143</v>
      </c>
      <c r="Q16" s="29"/>
      <c r="R16" s="29"/>
      <c r="S16" s="41">
        <f>IF(tblIncidents[[#This Row],[Date]]="","",IF(tblIncidents[[#This Row],[Corrective action]]="","",IF(N(tblIncidents[[#This Row],[Action closed]])&gt;0,"Complete",IF(N(tblIncidents[[#This Row],[Action due]])=0,"Check",IF(tblIncidents[[#This Row],[Action due]]&lt;AsOf,"Overdue","In progress")))))</f>
        <v/>
      </c>
      <c r="T1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7" spans="2:20">
      <c r="B17" s="28" t="s">
        <v>201</v>
      </c>
      <c r="C17" s="29">
        <v>45651</v>
      </c>
      <c r="D17" s="28" t="s">
        <v>100</v>
      </c>
      <c r="E17" s="28" t="s">
        <v>202</v>
      </c>
      <c r="F17" s="28" t="s">
        <v>121</v>
      </c>
      <c r="G17" s="28" t="s">
        <v>82</v>
      </c>
      <c r="H17" s="28" t="s">
        <v>143</v>
      </c>
      <c r="I17" s="37"/>
      <c r="J17" s="37"/>
      <c r="K17" s="41" t="str">
        <f>IF(tblIncidents[[#This Row],[Date]]="","",IF(OR(tblIncidents[[#This Row],[Classification]]="Other recordable",tblIncidents[[#This Row],[Classification]]="Restricted or transfer",tblIncidents[[#This Row],[Classification]]="Days away",tblIncidents[[#This Row],[Classification]]="Fatality"),"Yes","No"))</f>
        <v>No</v>
      </c>
      <c r="L17" s="41" t="str">
        <f>IF(tblIncidents[[#This Row],[Date]]="","",IF(OR(tblIncidents[[#This Row],[Classification]]="Restricted or transfer",tblIncidents[[#This Row],[Classification]]="Days away"),"Yes","No"))</f>
        <v>No</v>
      </c>
      <c r="M17" s="41" t="str">
        <f>IF(tblIncidents[[#This Row],[Date]]="","",IF(OR(tblIncidents[[#This Row],[Classification]]="Days away",tblIncidents[[#This Row],[Classification]]="Fatality"),"Yes","No"))</f>
        <v>No</v>
      </c>
      <c r="N17" s="42">
        <f>IF(tblIncidents[[#This Row],[Date]]="","",N(tblIncidents[[#This Row],[Days away]])+N(tblIncidents[[#This Row],[Days restricted]]))</f>
        <v>0</v>
      </c>
      <c r="O17" s="43" t="s">
        <v>203</v>
      </c>
      <c r="P17" s="43" t="s">
        <v>204</v>
      </c>
      <c r="Q17" s="29">
        <v>45672</v>
      </c>
      <c r="R17" s="29">
        <v>45662</v>
      </c>
      <c r="S17" s="41" t="str">
        <f>IF(tblIncidents[[#This Row],[Date]]="","",IF(tblIncidents[[#This Row],[Corrective action]]="","",IF(N(tblIncidents[[#This Row],[Action closed]])&gt;0,"Complete",IF(N(tblIncidents[[#This Row],[Action due]])=0,"Check",IF(tblIncidents[[#This Row],[Action due]]&lt;AsOf,"Overdue","In progress")))))</f>
        <v>Complete</v>
      </c>
      <c r="T1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8" spans="2:20">
      <c r="B18" s="28" t="s">
        <v>205</v>
      </c>
      <c r="C18" s="29">
        <v>45651</v>
      </c>
      <c r="D18" s="28" t="s">
        <v>97</v>
      </c>
      <c r="E18" s="28" t="s">
        <v>165</v>
      </c>
      <c r="F18" s="28" t="s">
        <v>110</v>
      </c>
      <c r="G18" s="28" t="s">
        <v>84</v>
      </c>
      <c r="H18" s="28" t="s">
        <v>206</v>
      </c>
      <c r="I18" s="37"/>
      <c r="J18" s="37"/>
      <c r="K18" s="41" t="str">
        <f>IF(tblIncidents[[#This Row],[Date]]="","",IF(OR(tblIncidents[[#This Row],[Classification]]="Other recordable",tblIncidents[[#This Row],[Classification]]="Restricted or transfer",tblIncidents[[#This Row],[Classification]]="Days away",tblIncidents[[#This Row],[Classification]]="Fatality"),"Yes","No"))</f>
        <v>No</v>
      </c>
      <c r="L18" s="41" t="str">
        <f>IF(tblIncidents[[#This Row],[Date]]="","",IF(OR(tblIncidents[[#This Row],[Classification]]="Restricted or transfer",tblIncidents[[#This Row],[Classification]]="Days away"),"Yes","No"))</f>
        <v>No</v>
      </c>
      <c r="M18" s="41" t="str">
        <f>IF(tblIncidents[[#This Row],[Date]]="","",IF(OR(tblIncidents[[#This Row],[Classification]]="Days away",tblIncidents[[#This Row],[Classification]]="Fatality"),"Yes","No"))</f>
        <v>No</v>
      </c>
      <c r="N18" s="42">
        <f>IF(tblIncidents[[#This Row],[Date]]="","",N(tblIncidents[[#This Row],[Days away]])+N(tblIncidents[[#This Row],[Days restricted]]))</f>
        <v>0</v>
      </c>
      <c r="O18" s="43" t="s">
        <v>173</v>
      </c>
      <c r="P18" s="43" t="s">
        <v>163</v>
      </c>
      <c r="Q18" s="29">
        <v>45681</v>
      </c>
      <c r="R18" s="29">
        <v>45673</v>
      </c>
      <c r="S18" s="41" t="str">
        <f>IF(tblIncidents[[#This Row],[Date]]="","",IF(tblIncidents[[#This Row],[Corrective action]]="","",IF(N(tblIncidents[[#This Row],[Action closed]])&gt;0,"Complete",IF(N(tblIncidents[[#This Row],[Action due]])=0,"Check",IF(tblIncidents[[#This Row],[Action due]]&lt;AsOf,"Overdue","In progress")))))</f>
        <v>Complete</v>
      </c>
      <c r="T1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9" spans="2:20">
      <c r="B19" s="28" t="s">
        <v>207</v>
      </c>
      <c r="C19" s="29">
        <v>45660</v>
      </c>
      <c r="D19" s="28" t="s">
        <v>103</v>
      </c>
      <c r="E19" s="28" t="s">
        <v>208</v>
      </c>
      <c r="F19" s="28" t="s">
        <v>110</v>
      </c>
      <c r="G19" s="28" t="s">
        <v>84</v>
      </c>
      <c r="H19" s="28" t="s">
        <v>172</v>
      </c>
      <c r="I19" s="37"/>
      <c r="J19" s="37"/>
      <c r="K19" s="41" t="str">
        <f>IF(tblIncidents[[#This Row],[Date]]="","",IF(OR(tblIncidents[[#This Row],[Classification]]="Other recordable",tblIncidents[[#This Row],[Classification]]="Restricted or transfer",tblIncidents[[#This Row],[Classification]]="Days away",tblIncidents[[#This Row],[Classification]]="Fatality"),"Yes","No"))</f>
        <v>No</v>
      </c>
      <c r="L19" s="41" t="str">
        <f>IF(tblIncidents[[#This Row],[Date]]="","",IF(OR(tblIncidents[[#This Row],[Classification]]="Restricted or transfer",tblIncidents[[#This Row],[Classification]]="Days away"),"Yes","No"))</f>
        <v>No</v>
      </c>
      <c r="M19" s="41" t="str">
        <f>IF(tblIncidents[[#This Row],[Date]]="","",IF(OR(tblIncidents[[#This Row],[Classification]]="Days away",tblIncidents[[#This Row],[Classification]]="Fatality"),"Yes","No"))</f>
        <v>No</v>
      </c>
      <c r="N19" s="42">
        <f>IF(tblIncidents[[#This Row],[Date]]="","",N(tblIncidents[[#This Row],[Days away]])+N(tblIncidents[[#This Row],[Days restricted]]))</f>
        <v>0</v>
      </c>
      <c r="O19" s="43" t="s">
        <v>209</v>
      </c>
      <c r="P19" s="43" t="s">
        <v>163</v>
      </c>
      <c r="Q19" s="29">
        <v>45690</v>
      </c>
      <c r="R19" s="29">
        <v>45687</v>
      </c>
      <c r="S19" s="41" t="str">
        <f>IF(tblIncidents[[#This Row],[Date]]="","",IF(tblIncidents[[#This Row],[Corrective action]]="","",IF(N(tblIncidents[[#This Row],[Action closed]])&gt;0,"Complete",IF(N(tblIncidents[[#This Row],[Action due]])=0,"Check",IF(tblIncidents[[#This Row],[Action due]]&lt;AsOf,"Overdue","In progress")))))</f>
        <v>Complete</v>
      </c>
      <c r="T1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0" spans="2:20">
      <c r="B20" s="28" t="s">
        <v>210</v>
      </c>
      <c r="C20" s="29">
        <v>45668</v>
      </c>
      <c r="D20" s="28" t="s">
        <v>100</v>
      </c>
      <c r="E20" s="28" t="s">
        <v>202</v>
      </c>
      <c r="F20" s="28" t="s">
        <v>113</v>
      </c>
      <c r="G20" s="28" t="s">
        <v>82</v>
      </c>
      <c r="H20" s="28" t="s">
        <v>143</v>
      </c>
      <c r="I20" s="37"/>
      <c r="J20" s="37"/>
      <c r="K20" s="41" t="str">
        <f>IF(tblIncidents[[#This Row],[Date]]="","",IF(OR(tblIncidents[[#This Row],[Classification]]="Other recordable",tblIncidents[[#This Row],[Classification]]="Restricted or transfer",tblIncidents[[#This Row],[Classification]]="Days away",tblIncidents[[#This Row],[Classification]]="Fatality"),"Yes","No"))</f>
        <v>No</v>
      </c>
      <c r="L20" s="41" t="str">
        <f>IF(tblIncidents[[#This Row],[Date]]="","",IF(OR(tblIncidents[[#This Row],[Classification]]="Restricted or transfer",tblIncidents[[#This Row],[Classification]]="Days away"),"Yes","No"))</f>
        <v>No</v>
      </c>
      <c r="M20" s="41" t="str">
        <f>IF(tblIncidents[[#This Row],[Date]]="","",IF(OR(tblIncidents[[#This Row],[Classification]]="Days away",tblIncidents[[#This Row],[Classification]]="Fatality"),"Yes","No"))</f>
        <v>No</v>
      </c>
      <c r="N20" s="42">
        <f>IF(tblIncidents[[#This Row],[Date]]="","",N(tblIncidents[[#This Row],[Days away]])+N(tblIncidents[[#This Row],[Days restricted]]))</f>
        <v>0</v>
      </c>
      <c r="O20" s="43" t="s">
        <v>211</v>
      </c>
      <c r="P20" s="43" t="s">
        <v>212</v>
      </c>
      <c r="Q20" s="29">
        <v>45682</v>
      </c>
      <c r="R20" s="29">
        <v>45675</v>
      </c>
      <c r="S20" s="41" t="str">
        <f>IF(tblIncidents[[#This Row],[Date]]="","",IF(tblIncidents[[#This Row],[Corrective action]]="","",IF(N(tblIncidents[[#This Row],[Action closed]])&gt;0,"Complete",IF(N(tblIncidents[[#This Row],[Action due]])=0,"Check",IF(tblIncidents[[#This Row],[Action due]]&lt;AsOf,"Overdue","In progress")))))</f>
        <v>Complete</v>
      </c>
      <c r="T2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1" spans="2:20">
      <c r="B21" s="28" t="s">
        <v>213</v>
      </c>
      <c r="C21" s="29">
        <v>45668</v>
      </c>
      <c r="D21" s="28" t="s">
        <v>97</v>
      </c>
      <c r="E21" s="28" t="s">
        <v>214</v>
      </c>
      <c r="F21" s="28" t="s">
        <v>119</v>
      </c>
      <c r="G21" s="28" t="s">
        <v>82</v>
      </c>
      <c r="H21" s="28" t="s">
        <v>143</v>
      </c>
      <c r="I21" s="37"/>
      <c r="J21" s="37"/>
      <c r="K21" s="41" t="str">
        <f>IF(tblIncidents[[#This Row],[Date]]="","",IF(OR(tblIncidents[[#This Row],[Classification]]="Other recordable",tblIncidents[[#This Row],[Classification]]="Restricted or transfer",tblIncidents[[#This Row],[Classification]]="Days away",tblIncidents[[#This Row],[Classification]]="Fatality"),"Yes","No"))</f>
        <v>No</v>
      </c>
      <c r="L21" s="41" t="str">
        <f>IF(tblIncidents[[#This Row],[Date]]="","",IF(OR(tblIncidents[[#This Row],[Classification]]="Restricted or transfer",tblIncidents[[#This Row],[Classification]]="Days away"),"Yes","No"))</f>
        <v>No</v>
      </c>
      <c r="M21" s="41" t="str">
        <f>IF(tblIncidents[[#This Row],[Date]]="","",IF(OR(tblIncidents[[#This Row],[Classification]]="Days away",tblIncidents[[#This Row],[Classification]]="Fatality"),"Yes","No"))</f>
        <v>No</v>
      </c>
      <c r="N21" s="42">
        <f>IF(tblIncidents[[#This Row],[Date]]="","",N(tblIncidents[[#This Row],[Days away]])+N(tblIncidents[[#This Row],[Days restricted]]))</f>
        <v>0</v>
      </c>
      <c r="O21" s="43" t="s">
        <v>215</v>
      </c>
      <c r="P21" s="43" t="s">
        <v>216</v>
      </c>
      <c r="Q21" s="29">
        <v>45682</v>
      </c>
      <c r="R21" s="29">
        <v>45681</v>
      </c>
      <c r="S21" s="41" t="str">
        <f>IF(tblIncidents[[#This Row],[Date]]="","",IF(tblIncidents[[#This Row],[Corrective action]]="","",IF(N(tblIncidents[[#This Row],[Action closed]])&gt;0,"Complete",IF(N(tblIncidents[[#This Row],[Action due]])=0,"Check",IF(tblIncidents[[#This Row],[Action due]]&lt;AsOf,"Overdue","In progress")))))</f>
        <v>Complete</v>
      </c>
      <c r="T2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2" spans="2:20">
      <c r="B22" s="28" t="s">
        <v>217</v>
      </c>
      <c r="C22" s="29">
        <v>45678</v>
      </c>
      <c r="D22" s="28" t="s">
        <v>97</v>
      </c>
      <c r="E22" s="28" t="s">
        <v>165</v>
      </c>
      <c r="F22" s="28" t="s">
        <v>110</v>
      </c>
      <c r="G22" s="28" t="s">
        <v>86</v>
      </c>
      <c r="H22" s="28" t="s">
        <v>172</v>
      </c>
      <c r="I22" s="37"/>
      <c r="J22" s="37"/>
      <c r="K22" s="41" t="str">
        <f>IF(tblIncidents[[#This Row],[Date]]="","",IF(OR(tblIncidents[[#This Row],[Classification]]="Other recordable",tblIncidents[[#This Row],[Classification]]="Restricted or transfer",tblIncidents[[#This Row],[Classification]]="Days away",tblIncidents[[#This Row],[Classification]]="Fatality"),"Yes","No"))</f>
        <v>Yes</v>
      </c>
      <c r="L22" s="41" t="str">
        <f>IF(tblIncidents[[#This Row],[Date]]="","",IF(OR(tblIncidents[[#This Row],[Classification]]="Restricted or transfer",tblIncidents[[#This Row],[Classification]]="Days away"),"Yes","No"))</f>
        <v>No</v>
      </c>
      <c r="M22" s="41" t="str">
        <f>IF(tblIncidents[[#This Row],[Date]]="","",IF(OR(tblIncidents[[#This Row],[Classification]]="Days away",tblIncidents[[#This Row],[Classification]]="Fatality"),"Yes","No"))</f>
        <v>No</v>
      </c>
      <c r="N22" s="42">
        <f>IF(tblIncidents[[#This Row],[Date]]="","",N(tblIncidents[[#This Row],[Days away]])+N(tblIncidents[[#This Row],[Days restricted]]))</f>
        <v>0</v>
      </c>
      <c r="O22" s="43" t="s">
        <v>173</v>
      </c>
      <c r="P22" s="43" t="s">
        <v>218</v>
      </c>
      <c r="Q22" s="29">
        <v>45708</v>
      </c>
      <c r="R22" s="29">
        <v>45708</v>
      </c>
      <c r="S22" s="41" t="str">
        <f>IF(tblIncidents[[#This Row],[Date]]="","",IF(tblIncidents[[#This Row],[Corrective action]]="","",IF(N(tblIncidents[[#This Row],[Action closed]])&gt;0,"Complete",IF(N(tblIncidents[[#This Row],[Action due]])=0,"Check",IF(tblIncidents[[#This Row],[Action due]]&lt;AsOf,"Overdue","In progress")))))</f>
        <v>Complete</v>
      </c>
      <c r="T2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3" spans="2:20">
      <c r="B23" s="28" t="s">
        <v>219</v>
      </c>
      <c r="C23" s="29">
        <v>45700</v>
      </c>
      <c r="D23" s="28" t="s">
        <v>100</v>
      </c>
      <c r="E23" s="28" t="s">
        <v>202</v>
      </c>
      <c r="F23" s="28" t="s">
        <v>113</v>
      </c>
      <c r="G23" s="28" t="s">
        <v>84</v>
      </c>
      <c r="H23" s="28" t="s">
        <v>220</v>
      </c>
      <c r="I23" s="37"/>
      <c r="J23" s="37"/>
      <c r="K23" s="41" t="str">
        <f>IF(tblIncidents[[#This Row],[Date]]="","",IF(OR(tblIncidents[[#This Row],[Classification]]="Other recordable",tblIncidents[[#This Row],[Classification]]="Restricted or transfer",tblIncidents[[#This Row],[Classification]]="Days away",tblIncidents[[#This Row],[Classification]]="Fatality"),"Yes","No"))</f>
        <v>No</v>
      </c>
      <c r="L23" s="41" t="str">
        <f>IF(tblIncidents[[#This Row],[Date]]="","",IF(OR(tblIncidents[[#This Row],[Classification]]="Restricted or transfer",tblIncidents[[#This Row],[Classification]]="Days away"),"Yes","No"))</f>
        <v>No</v>
      </c>
      <c r="M23" s="41" t="str">
        <f>IF(tblIncidents[[#This Row],[Date]]="","",IF(OR(tblIncidents[[#This Row],[Classification]]="Days away",tblIncidents[[#This Row],[Classification]]="Fatality"),"Yes","No"))</f>
        <v>No</v>
      </c>
      <c r="N23" s="42">
        <f>IF(tblIncidents[[#This Row],[Date]]="","",N(tblIncidents[[#This Row],[Days away]])+N(tblIncidents[[#This Row],[Days restricted]]))</f>
        <v>0</v>
      </c>
      <c r="O23" s="43" t="s">
        <v>211</v>
      </c>
      <c r="P23" s="43" t="s">
        <v>143</v>
      </c>
      <c r="Q23" s="29"/>
      <c r="R23" s="29"/>
      <c r="S23" s="41">
        <f>IF(tblIncidents[[#This Row],[Date]]="","",IF(tblIncidents[[#This Row],[Corrective action]]="","",IF(N(tblIncidents[[#This Row],[Action closed]])&gt;0,"Complete",IF(N(tblIncidents[[#This Row],[Action due]])=0,"Check",IF(tblIncidents[[#This Row],[Action due]]&lt;AsOf,"Overdue","In progress")))))</f>
        <v/>
      </c>
      <c r="T2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4" spans="2:20">
      <c r="B24" s="28" t="s">
        <v>221</v>
      </c>
      <c r="C24" s="29">
        <v>45701</v>
      </c>
      <c r="D24" s="28" t="s">
        <v>103</v>
      </c>
      <c r="E24" s="28" t="s">
        <v>222</v>
      </c>
      <c r="F24" s="28" t="s">
        <v>116</v>
      </c>
      <c r="G24" s="28" t="s">
        <v>84</v>
      </c>
      <c r="H24" s="28" t="s">
        <v>223</v>
      </c>
      <c r="I24" s="37"/>
      <c r="J24" s="37"/>
      <c r="K24" s="41" t="str">
        <f>IF(tblIncidents[[#This Row],[Date]]="","",IF(OR(tblIncidents[[#This Row],[Classification]]="Other recordable",tblIncidents[[#This Row],[Classification]]="Restricted or transfer",tblIncidents[[#This Row],[Classification]]="Days away",tblIncidents[[#This Row],[Classification]]="Fatality"),"Yes","No"))</f>
        <v>No</v>
      </c>
      <c r="L24" s="41" t="str">
        <f>IF(tblIncidents[[#This Row],[Date]]="","",IF(OR(tblIncidents[[#This Row],[Classification]]="Restricted or transfer",tblIncidents[[#This Row],[Classification]]="Days away"),"Yes","No"))</f>
        <v>No</v>
      </c>
      <c r="M24" s="41" t="str">
        <f>IF(tblIncidents[[#This Row],[Date]]="","",IF(OR(tblIncidents[[#This Row],[Classification]]="Days away",tblIncidents[[#This Row],[Classification]]="Fatality"),"Yes","No"))</f>
        <v>No</v>
      </c>
      <c r="N24" s="42">
        <f>IF(tblIncidents[[#This Row],[Date]]="","",N(tblIncidents[[#This Row],[Days away]])+N(tblIncidents[[#This Row],[Days restricted]]))</f>
        <v>0</v>
      </c>
      <c r="O24" s="43" t="s">
        <v>224</v>
      </c>
      <c r="P24" s="43" t="s">
        <v>178</v>
      </c>
      <c r="Q24" s="29">
        <v>45731</v>
      </c>
      <c r="R24" s="29">
        <v>45729</v>
      </c>
      <c r="S24" s="41" t="str">
        <f>IF(tblIncidents[[#This Row],[Date]]="","",IF(tblIncidents[[#This Row],[Corrective action]]="","",IF(N(tblIncidents[[#This Row],[Action closed]])&gt;0,"Complete",IF(N(tblIncidents[[#This Row],[Action due]])=0,"Check",IF(tblIncidents[[#This Row],[Action due]]&lt;AsOf,"Overdue","In progress")))))</f>
        <v>Complete</v>
      </c>
      <c r="T2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5" spans="2:20">
      <c r="B25" s="28" t="s">
        <v>225</v>
      </c>
      <c r="C25" s="29">
        <v>45702</v>
      </c>
      <c r="D25" s="28" t="s">
        <v>97</v>
      </c>
      <c r="E25" s="28" t="s">
        <v>160</v>
      </c>
      <c r="F25" s="28" t="s">
        <v>126</v>
      </c>
      <c r="G25" s="28" t="s">
        <v>82</v>
      </c>
      <c r="H25" s="28" t="s">
        <v>143</v>
      </c>
      <c r="I25" s="37"/>
      <c r="J25" s="37"/>
      <c r="K25" s="41" t="str">
        <f>IF(tblIncidents[[#This Row],[Date]]="","",IF(OR(tblIncidents[[#This Row],[Classification]]="Other recordable",tblIncidents[[#This Row],[Classification]]="Restricted or transfer",tblIncidents[[#This Row],[Classification]]="Days away",tblIncidents[[#This Row],[Classification]]="Fatality"),"Yes","No"))</f>
        <v>No</v>
      </c>
      <c r="L25" s="41" t="str">
        <f>IF(tblIncidents[[#This Row],[Date]]="","",IF(OR(tblIncidents[[#This Row],[Classification]]="Restricted or transfer",tblIncidents[[#This Row],[Classification]]="Days away"),"Yes","No"))</f>
        <v>No</v>
      </c>
      <c r="M25" s="41" t="str">
        <f>IF(tblIncidents[[#This Row],[Date]]="","",IF(OR(tblIncidents[[#This Row],[Classification]]="Days away",tblIncidents[[#This Row],[Classification]]="Fatality"),"Yes","No"))</f>
        <v>No</v>
      </c>
      <c r="N25" s="42">
        <f>IF(tblIncidents[[#This Row],[Date]]="","",N(tblIncidents[[#This Row],[Days away]])+N(tblIncidents[[#This Row],[Days restricted]]))</f>
        <v>0</v>
      </c>
      <c r="O25" s="43" t="s">
        <v>226</v>
      </c>
      <c r="P25" s="43" t="s">
        <v>227</v>
      </c>
      <c r="Q25" s="29">
        <v>45723</v>
      </c>
      <c r="R25" s="29">
        <v>45723</v>
      </c>
      <c r="S25" s="41" t="str">
        <f>IF(tblIncidents[[#This Row],[Date]]="","",IF(tblIncidents[[#This Row],[Corrective action]]="","",IF(N(tblIncidents[[#This Row],[Action closed]])&gt;0,"Complete",IF(N(tblIncidents[[#This Row],[Action due]])=0,"Check",IF(tblIncidents[[#This Row],[Action due]]&lt;AsOf,"Overdue","In progress")))))</f>
        <v>Complete</v>
      </c>
      <c r="T2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6" spans="2:20">
      <c r="B26" s="28" t="s">
        <v>228</v>
      </c>
      <c r="C26" s="29">
        <v>45702</v>
      </c>
      <c r="D26" s="28" t="s">
        <v>97</v>
      </c>
      <c r="E26" s="28" t="s">
        <v>165</v>
      </c>
      <c r="F26" s="28" t="s">
        <v>110</v>
      </c>
      <c r="G26" s="28" t="s">
        <v>82</v>
      </c>
      <c r="H26" s="28" t="s">
        <v>143</v>
      </c>
      <c r="I26" s="37"/>
      <c r="J26" s="37"/>
      <c r="K26" s="41" t="str">
        <f>IF(tblIncidents[[#This Row],[Date]]="","",IF(OR(tblIncidents[[#This Row],[Classification]]="Other recordable",tblIncidents[[#This Row],[Classification]]="Restricted or transfer",tblIncidents[[#This Row],[Classification]]="Days away",tblIncidents[[#This Row],[Classification]]="Fatality"),"Yes","No"))</f>
        <v>No</v>
      </c>
      <c r="L26" s="41" t="str">
        <f>IF(tblIncidents[[#This Row],[Date]]="","",IF(OR(tblIncidents[[#This Row],[Classification]]="Restricted or transfer",tblIncidents[[#This Row],[Classification]]="Days away"),"Yes","No"))</f>
        <v>No</v>
      </c>
      <c r="M26" s="41" t="str">
        <f>IF(tblIncidents[[#This Row],[Date]]="","",IF(OR(tblIncidents[[#This Row],[Classification]]="Days away",tblIncidents[[#This Row],[Classification]]="Fatality"),"Yes","No"))</f>
        <v>No</v>
      </c>
      <c r="N26" s="42">
        <f>IF(tblIncidents[[#This Row],[Date]]="","",N(tblIncidents[[#This Row],[Days away]])+N(tblIncidents[[#This Row],[Days restricted]]))</f>
        <v>0</v>
      </c>
      <c r="O26" s="43" t="s">
        <v>173</v>
      </c>
      <c r="P26" s="43" t="s">
        <v>163</v>
      </c>
      <c r="Q26" s="29">
        <v>45723</v>
      </c>
      <c r="R26" s="29">
        <v>45714</v>
      </c>
      <c r="S26" s="41" t="str">
        <f>IF(tblIncidents[[#This Row],[Date]]="","",IF(tblIncidents[[#This Row],[Corrective action]]="","",IF(N(tblIncidents[[#This Row],[Action closed]])&gt;0,"Complete",IF(N(tblIncidents[[#This Row],[Action due]])=0,"Check",IF(tblIncidents[[#This Row],[Action due]]&lt;AsOf,"Overdue","In progress")))))</f>
        <v>Complete</v>
      </c>
      <c r="T2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7" spans="2:20">
      <c r="B27" s="28" t="s">
        <v>229</v>
      </c>
      <c r="C27" s="29">
        <v>45708</v>
      </c>
      <c r="D27" s="28" t="s">
        <v>97</v>
      </c>
      <c r="E27" s="28" t="s">
        <v>165</v>
      </c>
      <c r="F27" s="28" t="s">
        <v>110</v>
      </c>
      <c r="G27" s="28" t="s">
        <v>84</v>
      </c>
      <c r="H27" s="28" t="s">
        <v>161</v>
      </c>
      <c r="I27" s="37"/>
      <c r="J27" s="37"/>
      <c r="K27" s="41" t="str">
        <f>IF(tblIncidents[[#This Row],[Date]]="","",IF(OR(tblIncidents[[#This Row],[Classification]]="Other recordable",tblIncidents[[#This Row],[Classification]]="Restricted or transfer",tblIncidents[[#This Row],[Classification]]="Days away",tblIncidents[[#This Row],[Classification]]="Fatality"),"Yes","No"))</f>
        <v>No</v>
      </c>
      <c r="L27" s="41" t="str">
        <f>IF(tblIncidents[[#This Row],[Date]]="","",IF(OR(tblIncidents[[#This Row],[Classification]]="Restricted or transfer",tblIncidents[[#This Row],[Classification]]="Days away"),"Yes","No"))</f>
        <v>No</v>
      </c>
      <c r="M27" s="41" t="str">
        <f>IF(tblIncidents[[#This Row],[Date]]="","",IF(OR(tblIncidents[[#This Row],[Classification]]="Days away",tblIncidents[[#This Row],[Classification]]="Fatality"),"Yes","No"))</f>
        <v>No</v>
      </c>
      <c r="N27" s="42">
        <f>IF(tblIncidents[[#This Row],[Date]]="","",N(tblIncidents[[#This Row],[Days away]])+N(tblIncidents[[#This Row],[Days restricted]]))</f>
        <v>0</v>
      </c>
      <c r="O27" s="43" t="s">
        <v>162</v>
      </c>
      <c r="P27" s="43" t="s">
        <v>218</v>
      </c>
      <c r="Q27" s="29">
        <v>45722</v>
      </c>
      <c r="R27" s="29">
        <v>45716</v>
      </c>
      <c r="S27" s="41" t="str">
        <f>IF(tblIncidents[[#This Row],[Date]]="","",IF(tblIncidents[[#This Row],[Corrective action]]="","",IF(N(tblIncidents[[#This Row],[Action closed]])&gt;0,"Complete",IF(N(tblIncidents[[#This Row],[Action due]])=0,"Check",IF(tblIncidents[[#This Row],[Action due]]&lt;AsOf,"Overdue","In progress")))))</f>
        <v>Complete</v>
      </c>
      <c r="T2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8" spans="2:20">
      <c r="B28" s="28" t="s">
        <v>230</v>
      </c>
      <c r="C28" s="29">
        <v>45727</v>
      </c>
      <c r="D28" s="28" t="s">
        <v>103</v>
      </c>
      <c r="E28" s="28" t="s">
        <v>222</v>
      </c>
      <c r="F28" s="28" t="s">
        <v>116</v>
      </c>
      <c r="G28" s="28" t="s">
        <v>90</v>
      </c>
      <c r="H28" s="28" t="s">
        <v>176</v>
      </c>
      <c r="I28" s="37">
        <v>8</v>
      </c>
      <c r="J28" s="37">
        <v>10</v>
      </c>
      <c r="K28" s="41" t="str">
        <f>IF(tblIncidents[[#This Row],[Date]]="","",IF(OR(tblIncidents[[#This Row],[Classification]]="Other recordable",tblIncidents[[#This Row],[Classification]]="Restricted or transfer",tblIncidents[[#This Row],[Classification]]="Days away",tblIncidents[[#This Row],[Classification]]="Fatality"),"Yes","No"))</f>
        <v>Yes</v>
      </c>
      <c r="L28" s="41" t="str">
        <f>IF(tblIncidents[[#This Row],[Date]]="","",IF(OR(tblIncidents[[#This Row],[Classification]]="Restricted or transfer",tblIncidents[[#This Row],[Classification]]="Days away"),"Yes","No"))</f>
        <v>Yes</v>
      </c>
      <c r="M28" s="41" t="str">
        <f>IF(tblIncidents[[#This Row],[Date]]="","",IF(OR(tblIncidents[[#This Row],[Classification]]="Days away",tblIncidents[[#This Row],[Classification]]="Fatality"),"Yes","No"))</f>
        <v>Yes</v>
      </c>
      <c r="N28" s="42">
        <f>IF(tblIncidents[[#This Row],[Date]]="","",N(tblIncidents[[#This Row],[Days away]])+N(tblIncidents[[#This Row],[Days restricted]]))</f>
        <v>18</v>
      </c>
      <c r="O28" s="43" t="s">
        <v>224</v>
      </c>
      <c r="P28" s="43" t="s">
        <v>187</v>
      </c>
      <c r="Q28" s="29">
        <v>45757</v>
      </c>
      <c r="R28" s="29">
        <v>45754</v>
      </c>
      <c r="S28" s="41" t="str">
        <f>IF(tblIncidents[[#This Row],[Date]]="","",IF(tblIncidents[[#This Row],[Corrective action]]="","",IF(N(tblIncidents[[#This Row],[Action closed]])&gt;0,"Complete",IF(N(tblIncidents[[#This Row],[Action due]])=0,"Check",IF(tblIncidents[[#This Row],[Action due]]&lt;AsOf,"Overdue","In progress")))))</f>
        <v>Complete</v>
      </c>
      <c r="T2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29" spans="2:20">
      <c r="B29" s="28" t="s">
        <v>231</v>
      </c>
      <c r="C29" s="29">
        <v>45734</v>
      </c>
      <c r="D29" s="28" t="s">
        <v>106</v>
      </c>
      <c r="E29" s="28" t="s">
        <v>168</v>
      </c>
      <c r="F29" s="28" t="s">
        <v>123</v>
      </c>
      <c r="G29" s="28" t="s">
        <v>84</v>
      </c>
      <c r="H29" s="28" t="s">
        <v>232</v>
      </c>
      <c r="I29" s="37"/>
      <c r="J29" s="37"/>
      <c r="K29" s="41" t="str">
        <f>IF(tblIncidents[[#This Row],[Date]]="","",IF(OR(tblIncidents[[#This Row],[Classification]]="Other recordable",tblIncidents[[#This Row],[Classification]]="Restricted or transfer",tblIncidents[[#This Row],[Classification]]="Days away",tblIncidents[[#This Row],[Classification]]="Fatality"),"Yes","No"))</f>
        <v>No</v>
      </c>
      <c r="L29" s="41" t="str">
        <f>IF(tblIncidents[[#This Row],[Date]]="","",IF(OR(tblIncidents[[#This Row],[Classification]]="Restricted or transfer",tblIncidents[[#This Row],[Classification]]="Days away"),"Yes","No"))</f>
        <v>No</v>
      </c>
      <c r="M29" s="41" t="str">
        <f>IF(tblIncidents[[#This Row],[Date]]="","",IF(OR(tblIncidents[[#This Row],[Classification]]="Days away",tblIncidents[[#This Row],[Classification]]="Fatality"),"Yes","No"))</f>
        <v>No</v>
      </c>
      <c r="N29" s="42">
        <f>IF(tblIncidents[[#This Row],[Date]]="","",N(tblIncidents[[#This Row],[Days away]])+N(tblIncidents[[#This Row],[Days restricted]]))</f>
        <v>0</v>
      </c>
      <c r="O29" s="43" t="s">
        <v>233</v>
      </c>
      <c r="P29" s="43" t="s">
        <v>143</v>
      </c>
      <c r="Q29" s="29"/>
      <c r="R29" s="29"/>
      <c r="S29" s="41">
        <f>IF(tblIncidents[[#This Row],[Date]]="","",IF(tblIncidents[[#This Row],[Corrective action]]="","",IF(N(tblIncidents[[#This Row],[Action closed]])&gt;0,"Complete",IF(N(tblIncidents[[#This Row],[Action due]])=0,"Check",IF(tblIncidents[[#This Row],[Action due]]&lt;AsOf,"Overdue","In progress")))))</f>
        <v/>
      </c>
      <c r="T2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0" spans="2:20">
      <c r="B30" s="28" t="s">
        <v>234</v>
      </c>
      <c r="C30" s="29">
        <v>45746</v>
      </c>
      <c r="D30" s="28" t="s">
        <v>97</v>
      </c>
      <c r="E30" s="28" t="s">
        <v>235</v>
      </c>
      <c r="F30" s="28" t="s">
        <v>110</v>
      </c>
      <c r="G30" s="28" t="s">
        <v>84</v>
      </c>
      <c r="H30" s="28" t="s">
        <v>161</v>
      </c>
      <c r="I30" s="37"/>
      <c r="J30" s="37"/>
      <c r="K30" s="41" t="str">
        <f>IF(tblIncidents[[#This Row],[Date]]="","",IF(OR(tblIncidents[[#This Row],[Classification]]="Other recordable",tblIncidents[[#This Row],[Classification]]="Restricted or transfer",tblIncidents[[#This Row],[Classification]]="Days away",tblIncidents[[#This Row],[Classification]]="Fatality"),"Yes","No"))</f>
        <v>No</v>
      </c>
      <c r="L30" s="41" t="str">
        <f>IF(tblIncidents[[#This Row],[Date]]="","",IF(OR(tblIncidents[[#This Row],[Classification]]="Restricted or transfer",tblIncidents[[#This Row],[Classification]]="Days away"),"Yes","No"))</f>
        <v>No</v>
      </c>
      <c r="M30" s="41" t="str">
        <f>IF(tblIncidents[[#This Row],[Date]]="","",IF(OR(tblIncidents[[#This Row],[Classification]]="Days away",tblIncidents[[#This Row],[Classification]]="Fatality"),"Yes","No"))</f>
        <v>No</v>
      </c>
      <c r="N30" s="42">
        <f>IF(tblIncidents[[#This Row],[Date]]="","",N(tblIncidents[[#This Row],[Days away]])+N(tblIncidents[[#This Row],[Days restricted]]))</f>
        <v>0</v>
      </c>
      <c r="O30" s="43" t="s">
        <v>173</v>
      </c>
      <c r="P30" s="43" t="s">
        <v>163</v>
      </c>
      <c r="Q30" s="29">
        <v>45776</v>
      </c>
      <c r="R30" s="29">
        <v>45773</v>
      </c>
      <c r="S30" s="41" t="str">
        <f>IF(tblIncidents[[#This Row],[Date]]="","",IF(tblIncidents[[#This Row],[Corrective action]]="","",IF(N(tblIncidents[[#This Row],[Action closed]])&gt;0,"Complete",IF(N(tblIncidents[[#This Row],[Action due]])=0,"Check",IF(tblIncidents[[#This Row],[Action due]]&lt;AsOf,"Overdue","In progress")))))</f>
        <v>Complete</v>
      </c>
      <c r="T3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1" spans="2:20">
      <c r="B31" s="28" t="s">
        <v>236</v>
      </c>
      <c r="C31" s="29">
        <v>45753</v>
      </c>
      <c r="D31" s="28" t="s">
        <v>100</v>
      </c>
      <c r="E31" s="28" t="s">
        <v>180</v>
      </c>
      <c r="F31" s="28" t="s">
        <v>121</v>
      </c>
      <c r="G31" s="28" t="s">
        <v>86</v>
      </c>
      <c r="H31" s="28" t="s">
        <v>237</v>
      </c>
      <c r="I31" s="37"/>
      <c r="J31" s="37"/>
      <c r="K31" s="41" t="str">
        <f>IF(tblIncidents[[#This Row],[Date]]="","",IF(OR(tblIncidents[[#This Row],[Classification]]="Other recordable",tblIncidents[[#This Row],[Classification]]="Restricted or transfer",tblIncidents[[#This Row],[Classification]]="Days away",tblIncidents[[#This Row],[Classification]]="Fatality"),"Yes","No"))</f>
        <v>Yes</v>
      </c>
      <c r="L31" s="41" t="str">
        <f>IF(tblIncidents[[#This Row],[Date]]="","",IF(OR(tblIncidents[[#This Row],[Classification]]="Restricted or transfer",tblIncidents[[#This Row],[Classification]]="Days away"),"Yes","No"))</f>
        <v>No</v>
      </c>
      <c r="M31" s="41" t="str">
        <f>IF(tblIncidents[[#This Row],[Date]]="","",IF(OR(tblIncidents[[#This Row],[Classification]]="Days away",tblIncidents[[#This Row],[Classification]]="Fatality"),"Yes","No"))</f>
        <v>No</v>
      </c>
      <c r="N31" s="42">
        <f>IF(tblIncidents[[#This Row],[Date]]="","",N(tblIncidents[[#This Row],[Days away]])+N(tblIncidents[[#This Row],[Days restricted]]))</f>
        <v>0</v>
      </c>
      <c r="O31" s="43" t="s">
        <v>203</v>
      </c>
      <c r="P31" s="43" t="s">
        <v>204</v>
      </c>
      <c r="Q31" s="29">
        <v>45767</v>
      </c>
      <c r="R31" s="29">
        <v>45762</v>
      </c>
      <c r="S31" s="41" t="str">
        <f>IF(tblIncidents[[#This Row],[Date]]="","",IF(tblIncidents[[#This Row],[Corrective action]]="","",IF(N(tblIncidents[[#This Row],[Action closed]])&gt;0,"Complete",IF(N(tblIncidents[[#This Row],[Action due]])=0,"Check",IF(tblIncidents[[#This Row],[Action due]]&lt;AsOf,"Overdue","In progress")))))</f>
        <v>Complete</v>
      </c>
      <c r="T3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2" spans="2:20">
      <c r="B32" s="28" t="s">
        <v>238</v>
      </c>
      <c r="C32" s="29">
        <v>45761</v>
      </c>
      <c r="D32" s="28" t="s">
        <v>103</v>
      </c>
      <c r="E32" s="28" t="s">
        <v>239</v>
      </c>
      <c r="F32" s="28" t="s">
        <v>110</v>
      </c>
      <c r="G32" s="28" t="s">
        <v>84</v>
      </c>
      <c r="H32" s="28" t="s">
        <v>172</v>
      </c>
      <c r="I32" s="37"/>
      <c r="J32" s="37"/>
      <c r="K32" s="41" t="str">
        <f>IF(tblIncidents[[#This Row],[Date]]="","",IF(OR(tblIncidents[[#This Row],[Classification]]="Other recordable",tblIncidents[[#This Row],[Classification]]="Restricted or transfer",tblIncidents[[#This Row],[Classification]]="Days away",tblIncidents[[#This Row],[Classification]]="Fatality"),"Yes","No"))</f>
        <v>No</v>
      </c>
      <c r="L32" s="41" t="str">
        <f>IF(tblIncidents[[#This Row],[Date]]="","",IF(OR(tblIncidents[[#This Row],[Classification]]="Restricted or transfer",tblIncidents[[#This Row],[Classification]]="Days away"),"Yes","No"))</f>
        <v>No</v>
      </c>
      <c r="M32" s="41" t="str">
        <f>IF(tblIncidents[[#This Row],[Date]]="","",IF(OR(tblIncidents[[#This Row],[Classification]]="Days away",tblIncidents[[#This Row],[Classification]]="Fatality"),"Yes","No"))</f>
        <v>No</v>
      </c>
      <c r="N32" s="42">
        <f>IF(tblIncidents[[#This Row],[Date]]="","",N(tblIncidents[[#This Row],[Days away]])+N(tblIncidents[[#This Row],[Days restricted]]))</f>
        <v>0</v>
      </c>
      <c r="O32" s="43" t="s">
        <v>209</v>
      </c>
      <c r="P32" s="43" t="s">
        <v>218</v>
      </c>
      <c r="Q32" s="29">
        <v>45806</v>
      </c>
      <c r="R32" s="29">
        <v>45800</v>
      </c>
      <c r="S32" s="41" t="str">
        <f>IF(tblIncidents[[#This Row],[Date]]="","",IF(tblIncidents[[#This Row],[Corrective action]]="","",IF(N(tblIncidents[[#This Row],[Action closed]])&gt;0,"Complete",IF(N(tblIncidents[[#This Row],[Action due]])=0,"Check",IF(tblIncidents[[#This Row],[Action due]]&lt;AsOf,"Overdue","In progress")))))</f>
        <v>Complete</v>
      </c>
      <c r="T3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3" spans="2:20">
      <c r="B33" s="28" t="s">
        <v>240</v>
      </c>
      <c r="C33" s="29">
        <v>45770</v>
      </c>
      <c r="D33" s="28" t="s">
        <v>103</v>
      </c>
      <c r="E33" s="28" t="s">
        <v>222</v>
      </c>
      <c r="F33" s="28" t="s">
        <v>123</v>
      </c>
      <c r="G33" s="28" t="s">
        <v>82</v>
      </c>
      <c r="H33" s="28" t="s">
        <v>143</v>
      </c>
      <c r="I33" s="37"/>
      <c r="J33" s="37"/>
      <c r="K33" s="41" t="str">
        <f>IF(tblIncidents[[#This Row],[Date]]="","",IF(OR(tblIncidents[[#This Row],[Classification]]="Other recordable",tblIncidents[[#This Row],[Classification]]="Restricted or transfer",tblIncidents[[#This Row],[Classification]]="Days away",tblIncidents[[#This Row],[Classification]]="Fatality"),"Yes","No"))</f>
        <v>No</v>
      </c>
      <c r="L33" s="41" t="str">
        <f>IF(tblIncidents[[#This Row],[Date]]="","",IF(OR(tblIncidents[[#This Row],[Classification]]="Restricted or transfer",tblIncidents[[#This Row],[Classification]]="Days away"),"Yes","No"))</f>
        <v>No</v>
      </c>
      <c r="M33" s="41" t="str">
        <f>IF(tblIncidents[[#This Row],[Date]]="","",IF(OR(tblIncidents[[#This Row],[Classification]]="Days away",tblIncidents[[#This Row],[Classification]]="Fatality"),"Yes","No"))</f>
        <v>No</v>
      </c>
      <c r="N33" s="42">
        <f>IF(tblIncidents[[#This Row],[Date]]="","",N(tblIncidents[[#This Row],[Days away]])+N(tblIncidents[[#This Row],[Days restricted]]))</f>
        <v>0</v>
      </c>
      <c r="O33" s="43" t="s">
        <v>233</v>
      </c>
      <c r="P33" s="43" t="s">
        <v>241</v>
      </c>
      <c r="Q33" s="29">
        <v>45784</v>
      </c>
      <c r="R33" s="29">
        <v>45782</v>
      </c>
      <c r="S33" s="41" t="str">
        <f>IF(tblIncidents[[#This Row],[Date]]="","",IF(tblIncidents[[#This Row],[Corrective action]]="","",IF(N(tblIncidents[[#This Row],[Action closed]])&gt;0,"Complete",IF(N(tblIncidents[[#This Row],[Action due]])=0,"Check",IF(tblIncidents[[#This Row],[Action due]]&lt;AsOf,"Overdue","In progress")))))</f>
        <v>Complete</v>
      </c>
      <c r="T3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4" spans="2:20">
      <c r="B34" s="28" t="s">
        <v>242</v>
      </c>
      <c r="C34" s="29">
        <v>45773</v>
      </c>
      <c r="D34" s="28" t="s">
        <v>103</v>
      </c>
      <c r="E34" s="28" t="s">
        <v>239</v>
      </c>
      <c r="F34" s="28" t="s">
        <v>126</v>
      </c>
      <c r="G34" s="28" t="s">
        <v>84</v>
      </c>
      <c r="H34" s="28" t="s">
        <v>243</v>
      </c>
      <c r="I34" s="37"/>
      <c r="J34" s="37"/>
      <c r="K34" s="41" t="str">
        <f>IF(tblIncidents[[#This Row],[Date]]="","",IF(OR(tblIncidents[[#This Row],[Classification]]="Other recordable",tblIncidents[[#This Row],[Classification]]="Restricted or transfer",tblIncidents[[#This Row],[Classification]]="Days away",tblIncidents[[#This Row],[Classification]]="Fatality"),"Yes","No"))</f>
        <v>No</v>
      </c>
      <c r="L34" s="41" t="str">
        <f>IF(tblIncidents[[#This Row],[Date]]="","",IF(OR(tblIncidents[[#This Row],[Classification]]="Restricted or transfer",tblIncidents[[#This Row],[Classification]]="Days away"),"Yes","No"))</f>
        <v>No</v>
      </c>
      <c r="M34" s="41" t="str">
        <f>IF(tblIncidents[[#This Row],[Date]]="","",IF(OR(tblIncidents[[#This Row],[Classification]]="Days away",tblIncidents[[#This Row],[Classification]]="Fatality"),"Yes","No"))</f>
        <v>No</v>
      </c>
      <c r="N34" s="42">
        <f>IF(tblIncidents[[#This Row],[Date]]="","",N(tblIncidents[[#This Row],[Days away]])+N(tblIncidents[[#This Row],[Days restricted]]))</f>
        <v>0</v>
      </c>
      <c r="O34" s="43" t="s">
        <v>226</v>
      </c>
      <c r="P34" s="43" t="s">
        <v>227</v>
      </c>
      <c r="Q34" s="29">
        <v>45794</v>
      </c>
      <c r="R34" s="29">
        <v>45790</v>
      </c>
      <c r="S34" s="41" t="str">
        <f>IF(tblIncidents[[#This Row],[Date]]="","",IF(tblIncidents[[#This Row],[Corrective action]]="","",IF(N(tblIncidents[[#This Row],[Action closed]])&gt;0,"Complete",IF(N(tblIncidents[[#This Row],[Action due]])=0,"Check",IF(tblIncidents[[#This Row],[Action due]]&lt;AsOf,"Overdue","In progress")))))</f>
        <v>Complete</v>
      </c>
      <c r="T3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5" spans="2:20">
      <c r="B35" s="28" t="s">
        <v>244</v>
      </c>
      <c r="C35" s="29">
        <v>45775</v>
      </c>
      <c r="D35" s="28" t="s">
        <v>106</v>
      </c>
      <c r="E35" s="28" t="s">
        <v>168</v>
      </c>
      <c r="F35" s="28" t="s">
        <v>116</v>
      </c>
      <c r="G35" s="28" t="s">
        <v>82</v>
      </c>
      <c r="H35" s="28" t="s">
        <v>143</v>
      </c>
      <c r="I35" s="37"/>
      <c r="J35" s="37"/>
      <c r="K35" s="41" t="str">
        <f>IF(tblIncidents[[#This Row],[Date]]="","",IF(OR(tblIncidents[[#This Row],[Classification]]="Other recordable",tblIncidents[[#This Row],[Classification]]="Restricted or transfer",tblIncidents[[#This Row],[Classification]]="Days away",tblIncidents[[#This Row],[Classification]]="Fatality"),"Yes","No"))</f>
        <v>No</v>
      </c>
      <c r="L35" s="41" t="str">
        <f>IF(tblIncidents[[#This Row],[Date]]="","",IF(OR(tblIncidents[[#This Row],[Classification]]="Restricted or transfer",tblIncidents[[#This Row],[Classification]]="Days away"),"Yes","No"))</f>
        <v>No</v>
      </c>
      <c r="M35" s="41" t="str">
        <f>IF(tblIncidents[[#This Row],[Date]]="","",IF(OR(tblIncidents[[#This Row],[Classification]]="Days away",tblIncidents[[#This Row],[Classification]]="Fatality"),"Yes","No"))</f>
        <v>No</v>
      </c>
      <c r="N35" s="42">
        <f>IF(tblIncidents[[#This Row],[Date]]="","",N(tblIncidents[[#This Row],[Days away]])+N(tblIncidents[[#This Row],[Days restricted]]))</f>
        <v>0</v>
      </c>
      <c r="O35" s="43" t="s">
        <v>177</v>
      </c>
      <c r="P35" s="43" t="s">
        <v>178</v>
      </c>
      <c r="Q35" s="29">
        <v>45789</v>
      </c>
      <c r="R35" s="29">
        <v>45780</v>
      </c>
      <c r="S35" s="41" t="str">
        <f>IF(tblIncidents[[#This Row],[Date]]="","",IF(tblIncidents[[#This Row],[Corrective action]]="","",IF(N(tblIncidents[[#This Row],[Action closed]])&gt;0,"Complete",IF(N(tblIncidents[[#This Row],[Action due]])=0,"Check",IF(tblIncidents[[#This Row],[Action due]]&lt;AsOf,"Overdue","In progress")))))</f>
        <v>Complete</v>
      </c>
      <c r="T3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6" spans="2:20">
      <c r="B36" s="28" t="s">
        <v>245</v>
      </c>
      <c r="C36" s="29">
        <v>45786</v>
      </c>
      <c r="D36" s="28" t="s">
        <v>100</v>
      </c>
      <c r="E36" s="28" t="s">
        <v>180</v>
      </c>
      <c r="F36" s="28" t="s">
        <v>110</v>
      </c>
      <c r="G36" s="28" t="s">
        <v>82</v>
      </c>
      <c r="H36" s="28" t="s">
        <v>143</v>
      </c>
      <c r="I36" s="37"/>
      <c r="J36" s="37"/>
      <c r="K36" s="41" t="str">
        <f>IF(tblIncidents[[#This Row],[Date]]="","",IF(OR(tblIncidents[[#This Row],[Classification]]="Other recordable",tblIncidents[[#This Row],[Classification]]="Restricted or transfer",tblIncidents[[#This Row],[Classification]]="Days away",tblIncidents[[#This Row],[Classification]]="Fatality"),"Yes","No"))</f>
        <v>No</v>
      </c>
      <c r="L36" s="41" t="str">
        <f>IF(tblIncidents[[#This Row],[Date]]="","",IF(OR(tblIncidents[[#This Row],[Classification]]="Restricted or transfer",tblIncidents[[#This Row],[Classification]]="Days away"),"Yes","No"))</f>
        <v>No</v>
      </c>
      <c r="M36" s="41" t="str">
        <f>IF(tblIncidents[[#This Row],[Date]]="","",IF(OR(tblIncidents[[#This Row],[Classification]]="Days away",tblIncidents[[#This Row],[Classification]]="Fatality"),"Yes","No"))</f>
        <v>No</v>
      </c>
      <c r="N36" s="42">
        <f>IF(tblIncidents[[#This Row],[Date]]="","",N(tblIncidents[[#This Row],[Days away]])+N(tblIncidents[[#This Row],[Days restricted]]))</f>
        <v>0</v>
      </c>
      <c r="O36" s="43" t="s">
        <v>209</v>
      </c>
      <c r="P36" s="43" t="s">
        <v>166</v>
      </c>
      <c r="Q36" s="29">
        <v>45831</v>
      </c>
      <c r="R36" s="29">
        <v>45826</v>
      </c>
      <c r="S36" s="41" t="str">
        <f>IF(tblIncidents[[#This Row],[Date]]="","",IF(tblIncidents[[#This Row],[Corrective action]]="","",IF(N(tblIncidents[[#This Row],[Action closed]])&gt;0,"Complete",IF(N(tblIncidents[[#This Row],[Action due]])=0,"Check",IF(tblIncidents[[#This Row],[Action due]]&lt;AsOf,"Overdue","In progress")))))</f>
        <v>Complete</v>
      </c>
      <c r="T3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7" spans="2:20">
      <c r="B37" s="28" t="s">
        <v>246</v>
      </c>
      <c r="C37" s="29">
        <v>45795</v>
      </c>
      <c r="D37" s="28" t="s">
        <v>103</v>
      </c>
      <c r="E37" s="28" t="s">
        <v>222</v>
      </c>
      <c r="F37" s="28" t="s">
        <v>126</v>
      </c>
      <c r="G37" s="28" t="s">
        <v>84</v>
      </c>
      <c r="H37" s="28" t="s">
        <v>243</v>
      </c>
      <c r="I37" s="37"/>
      <c r="J37" s="37"/>
      <c r="K37" s="41" t="str">
        <f>IF(tblIncidents[[#This Row],[Date]]="","",IF(OR(tblIncidents[[#This Row],[Classification]]="Other recordable",tblIncidents[[#This Row],[Classification]]="Restricted or transfer",tblIncidents[[#This Row],[Classification]]="Days away",tblIncidents[[#This Row],[Classification]]="Fatality"),"Yes","No"))</f>
        <v>No</v>
      </c>
      <c r="L37" s="41" t="str">
        <f>IF(tblIncidents[[#This Row],[Date]]="","",IF(OR(tblIncidents[[#This Row],[Classification]]="Restricted or transfer",tblIncidents[[#This Row],[Classification]]="Days away"),"Yes","No"))</f>
        <v>No</v>
      </c>
      <c r="M37" s="41" t="str">
        <f>IF(tblIncidents[[#This Row],[Date]]="","",IF(OR(tblIncidents[[#This Row],[Classification]]="Days away",tblIncidents[[#This Row],[Classification]]="Fatality"),"Yes","No"))</f>
        <v>No</v>
      </c>
      <c r="N37" s="42">
        <f>IF(tblIncidents[[#This Row],[Date]]="","",N(tblIncidents[[#This Row],[Days away]])+N(tblIncidents[[#This Row],[Days restricted]]))</f>
        <v>0</v>
      </c>
      <c r="O37" s="43" t="s">
        <v>247</v>
      </c>
      <c r="P37" s="43" t="s">
        <v>248</v>
      </c>
      <c r="Q37" s="29">
        <v>45825</v>
      </c>
      <c r="R37" s="29">
        <v>45815</v>
      </c>
      <c r="S37" s="41" t="str">
        <f>IF(tblIncidents[[#This Row],[Date]]="","",IF(tblIncidents[[#This Row],[Corrective action]]="","",IF(N(tblIncidents[[#This Row],[Action closed]])&gt;0,"Complete",IF(N(tblIncidents[[#This Row],[Action due]])=0,"Check",IF(tblIncidents[[#This Row],[Action due]]&lt;AsOf,"Overdue","In progress")))))</f>
        <v>Complete</v>
      </c>
      <c r="T3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8" spans="2:20">
      <c r="B38" s="28" t="s">
        <v>249</v>
      </c>
      <c r="C38" s="29">
        <v>45800</v>
      </c>
      <c r="D38" s="28" t="s">
        <v>103</v>
      </c>
      <c r="E38" s="28" t="s">
        <v>250</v>
      </c>
      <c r="F38" s="28" t="s">
        <v>123</v>
      </c>
      <c r="G38" s="28" t="s">
        <v>84</v>
      </c>
      <c r="H38" s="28" t="s">
        <v>251</v>
      </c>
      <c r="I38" s="37"/>
      <c r="J38" s="37"/>
      <c r="K38" s="41" t="str">
        <f>IF(tblIncidents[[#This Row],[Date]]="","",IF(OR(tblIncidents[[#This Row],[Classification]]="Other recordable",tblIncidents[[#This Row],[Classification]]="Restricted or transfer",tblIncidents[[#This Row],[Classification]]="Days away",tblIncidents[[#This Row],[Classification]]="Fatality"),"Yes","No"))</f>
        <v>No</v>
      </c>
      <c r="L38" s="41" t="str">
        <f>IF(tblIncidents[[#This Row],[Date]]="","",IF(OR(tblIncidents[[#This Row],[Classification]]="Restricted or transfer",tblIncidents[[#This Row],[Classification]]="Days away"),"Yes","No"))</f>
        <v>No</v>
      </c>
      <c r="M38" s="41" t="str">
        <f>IF(tblIncidents[[#This Row],[Date]]="","",IF(OR(tblIncidents[[#This Row],[Classification]]="Days away",tblIncidents[[#This Row],[Classification]]="Fatality"),"Yes","No"))</f>
        <v>No</v>
      </c>
      <c r="N38" s="42">
        <f>IF(tblIncidents[[#This Row],[Date]]="","",N(tblIncidents[[#This Row],[Days away]])+N(tblIncidents[[#This Row],[Days restricted]]))</f>
        <v>0</v>
      </c>
      <c r="O38" s="43" t="s">
        <v>252</v>
      </c>
      <c r="P38" s="43" t="s">
        <v>143</v>
      </c>
      <c r="Q38" s="29"/>
      <c r="R38" s="29"/>
      <c r="S38" s="41">
        <f>IF(tblIncidents[[#This Row],[Date]]="","",IF(tblIncidents[[#This Row],[Corrective action]]="","",IF(N(tblIncidents[[#This Row],[Action closed]])&gt;0,"Complete",IF(N(tblIncidents[[#This Row],[Action due]])=0,"Check",IF(tblIncidents[[#This Row],[Action due]]&lt;AsOf,"Overdue","In progress")))))</f>
        <v/>
      </c>
      <c r="T3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39" spans="2:20">
      <c r="B39" s="28" t="s">
        <v>253</v>
      </c>
      <c r="C39" s="29">
        <v>45802</v>
      </c>
      <c r="D39" s="28" t="s">
        <v>97</v>
      </c>
      <c r="E39" s="28" t="s">
        <v>254</v>
      </c>
      <c r="F39" s="28" t="s">
        <v>126</v>
      </c>
      <c r="G39" s="28" t="s">
        <v>88</v>
      </c>
      <c r="H39" s="28" t="s">
        <v>243</v>
      </c>
      <c r="I39" s="37"/>
      <c r="J39" s="37">
        <v>9</v>
      </c>
      <c r="K39" s="41" t="str">
        <f>IF(tblIncidents[[#This Row],[Date]]="","",IF(OR(tblIncidents[[#This Row],[Classification]]="Other recordable",tblIncidents[[#This Row],[Classification]]="Restricted or transfer",tblIncidents[[#This Row],[Classification]]="Days away",tblIncidents[[#This Row],[Classification]]="Fatality"),"Yes","No"))</f>
        <v>Yes</v>
      </c>
      <c r="L39" s="41" t="str">
        <f>IF(tblIncidents[[#This Row],[Date]]="","",IF(OR(tblIncidents[[#This Row],[Classification]]="Restricted or transfer",tblIncidents[[#This Row],[Classification]]="Days away"),"Yes","No"))</f>
        <v>Yes</v>
      </c>
      <c r="M39" s="41" t="str">
        <f>IF(tblIncidents[[#This Row],[Date]]="","",IF(OR(tblIncidents[[#This Row],[Classification]]="Days away",tblIncidents[[#This Row],[Classification]]="Fatality"),"Yes","No"))</f>
        <v>No</v>
      </c>
      <c r="N39" s="42">
        <f>IF(tblIncidents[[#This Row],[Date]]="","",N(tblIncidents[[#This Row],[Days away]])+N(tblIncidents[[#This Row],[Days restricted]]))</f>
        <v>9</v>
      </c>
      <c r="O39" s="43" t="s">
        <v>226</v>
      </c>
      <c r="P39" s="43" t="s">
        <v>248</v>
      </c>
      <c r="Q39" s="29">
        <v>45847</v>
      </c>
      <c r="R39" s="29">
        <v>45839</v>
      </c>
      <c r="S39" s="41" t="str">
        <f>IF(tblIncidents[[#This Row],[Date]]="","",IF(tblIncidents[[#This Row],[Corrective action]]="","",IF(N(tblIncidents[[#This Row],[Action closed]])&gt;0,"Complete",IF(N(tblIncidents[[#This Row],[Action due]])=0,"Check",IF(tblIncidents[[#This Row],[Action due]]&lt;AsOf,"Overdue","In progress")))))</f>
        <v>Complete</v>
      </c>
      <c r="T3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0" spans="2:20">
      <c r="B40" s="28" t="s">
        <v>255</v>
      </c>
      <c r="C40" s="29">
        <v>45807</v>
      </c>
      <c r="D40" s="28" t="s">
        <v>100</v>
      </c>
      <c r="E40" s="28" t="s">
        <v>202</v>
      </c>
      <c r="F40" s="28" t="s">
        <v>113</v>
      </c>
      <c r="G40" s="28" t="s">
        <v>84</v>
      </c>
      <c r="H40" s="28" t="s">
        <v>200</v>
      </c>
      <c r="I40" s="37"/>
      <c r="J40" s="37"/>
      <c r="K40" s="41" t="str">
        <f>IF(tblIncidents[[#This Row],[Date]]="","",IF(OR(tblIncidents[[#This Row],[Classification]]="Other recordable",tblIncidents[[#This Row],[Classification]]="Restricted or transfer",tblIncidents[[#This Row],[Classification]]="Days away",tblIncidents[[#This Row],[Classification]]="Fatality"),"Yes","No"))</f>
        <v>No</v>
      </c>
      <c r="L40" s="41" t="str">
        <f>IF(tblIncidents[[#This Row],[Date]]="","",IF(OR(tblIncidents[[#This Row],[Classification]]="Restricted or transfer",tblIncidents[[#This Row],[Classification]]="Days away"),"Yes","No"))</f>
        <v>No</v>
      </c>
      <c r="M40" s="41" t="str">
        <f>IF(tblIncidents[[#This Row],[Date]]="","",IF(OR(tblIncidents[[#This Row],[Classification]]="Days away",tblIncidents[[#This Row],[Classification]]="Fatality"),"Yes","No"))</f>
        <v>No</v>
      </c>
      <c r="N40" s="42">
        <f>IF(tblIncidents[[#This Row],[Date]]="","",N(tblIncidents[[#This Row],[Days away]])+N(tblIncidents[[#This Row],[Days restricted]]))</f>
        <v>0</v>
      </c>
      <c r="O40" s="43" t="s">
        <v>256</v>
      </c>
      <c r="P40" s="43" t="s">
        <v>257</v>
      </c>
      <c r="Q40" s="29">
        <v>45821</v>
      </c>
      <c r="R40" s="29">
        <v>45820</v>
      </c>
      <c r="S40" s="41" t="str">
        <f>IF(tblIncidents[[#This Row],[Date]]="","",IF(tblIncidents[[#This Row],[Corrective action]]="","",IF(N(tblIncidents[[#This Row],[Action closed]])&gt;0,"Complete",IF(N(tblIncidents[[#This Row],[Action due]])=0,"Check",IF(tblIncidents[[#This Row],[Action due]]&lt;AsOf,"Overdue","In progress")))))</f>
        <v>Complete</v>
      </c>
      <c r="T4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1" spans="2:20">
      <c r="B41" s="28" t="s">
        <v>258</v>
      </c>
      <c r="C41" s="29">
        <v>45821</v>
      </c>
      <c r="D41" s="28" t="s">
        <v>103</v>
      </c>
      <c r="E41" s="28" t="s">
        <v>222</v>
      </c>
      <c r="F41" s="28" t="s">
        <v>131</v>
      </c>
      <c r="G41" s="28" t="s">
        <v>82</v>
      </c>
      <c r="H41" s="28" t="s">
        <v>143</v>
      </c>
      <c r="I41" s="37"/>
      <c r="J41" s="37"/>
      <c r="K41" s="41" t="str">
        <f>IF(tblIncidents[[#This Row],[Date]]="","",IF(OR(tblIncidents[[#This Row],[Classification]]="Other recordable",tblIncidents[[#This Row],[Classification]]="Restricted or transfer",tblIncidents[[#This Row],[Classification]]="Days away",tblIncidents[[#This Row],[Classification]]="Fatality"),"Yes","No"))</f>
        <v>No</v>
      </c>
      <c r="L41" s="41" t="str">
        <f>IF(tblIncidents[[#This Row],[Date]]="","",IF(OR(tblIncidents[[#This Row],[Classification]]="Restricted or transfer",tblIncidents[[#This Row],[Classification]]="Days away"),"Yes","No"))</f>
        <v>No</v>
      </c>
      <c r="M41" s="41" t="str">
        <f>IF(tblIncidents[[#This Row],[Date]]="","",IF(OR(tblIncidents[[#This Row],[Classification]]="Days away",tblIncidents[[#This Row],[Classification]]="Fatality"),"Yes","No"))</f>
        <v>No</v>
      </c>
      <c r="N41" s="42">
        <f>IF(tblIncidents[[#This Row],[Date]]="","",N(tblIncidents[[#This Row],[Days away]])+N(tblIncidents[[#This Row],[Days restricted]]))</f>
        <v>0</v>
      </c>
      <c r="O41" s="43" t="s">
        <v>197</v>
      </c>
      <c r="P41" s="43" t="s">
        <v>259</v>
      </c>
      <c r="Q41" s="29">
        <v>45842</v>
      </c>
      <c r="R41" s="29">
        <v>45834</v>
      </c>
      <c r="S41" s="41" t="str">
        <f>IF(tblIncidents[[#This Row],[Date]]="","",IF(tblIncidents[[#This Row],[Corrective action]]="","",IF(N(tblIncidents[[#This Row],[Action closed]])&gt;0,"Complete",IF(N(tblIncidents[[#This Row],[Action due]])=0,"Check",IF(tblIncidents[[#This Row],[Action due]]&lt;AsOf,"Overdue","In progress")))))</f>
        <v>Complete</v>
      </c>
      <c r="T4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2" spans="2:20">
      <c r="B42" s="28" t="s">
        <v>260</v>
      </c>
      <c r="C42" s="29">
        <v>45825</v>
      </c>
      <c r="D42" s="28" t="s">
        <v>100</v>
      </c>
      <c r="E42" s="28" t="s">
        <v>202</v>
      </c>
      <c r="F42" s="28" t="s">
        <v>113</v>
      </c>
      <c r="G42" s="28" t="s">
        <v>90</v>
      </c>
      <c r="H42" s="28" t="s">
        <v>220</v>
      </c>
      <c r="I42" s="37">
        <v>4</v>
      </c>
      <c r="J42" s="37">
        <v>3</v>
      </c>
      <c r="K42" s="41" t="str">
        <f>IF(tblIncidents[[#This Row],[Date]]="","",IF(OR(tblIncidents[[#This Row],[Classification]]="Other recordable",tblIncidents[[#This Row],[Classification]]="Restricted or transfer",tblIncidents[[#This Row],[Classification]]="Days away",tblIncidents[[#This Row],[Classification]]="Fatality"),"Yes","No"))</f>
        <v>Yes</v>
      </c>
      <c r="L42" s="41" t="str">
        <f>IF(tblIncidents[[#This Row],[Date]]="","",IF(OR(tblIncidents[[#This Row],[Classification]]="Restricted or transfer",tblIncidents[[#This Row],[Classification]]="Days away"),"Yes","No"))</f>
        <v>Yes</v>
      </c>
      <c r="M42" s="41" t="str">
        <f>IF(tblIncidents[[#This Row],[Date]]="","",IF(OR(tblIncidents[[#This Row],[Classification]]="Days away",tblIncidents[[#This Row],[Classification]]="Fatality"),"Yes","No"))</f>
        <v>Yes</v>
      </c>
      <c r="N42" s="42">
        <f>IF(tblIncidents[[#This Row],[Date]]="","",N(tblIncidents[[#This Row],[Days away]])+N(tblIncidents[[#This Row],[Days restricted]]))</f>
        <v>7</v>
      </c>
      <c r="O42" s="43" t="s">
        <v>211</v>
      </c>
      <c r="P42" s="43" t="s">
        <v>183</v>
      </c>
      <c r="Q42" s="29">
        <v>45855</v>
      </c>
      <c r="R42" s="29">
        <v>45849</v>
      </c>
      <c r="S42" s="41" t="str">
        <f>IF(tblIncidents[[#This Row],[Date]]="","",IF(tblIncidents[[#This Row],[Corrective action]]="","",IF(N(tblIncidents[[#This Row],[Action closed]])&gt;0,"Complete",IF(N(tblIncidents[[#This Row],[Action due]])=0,"Check",IF(tblIncidents[[#This Row],[Action due]]&lt;AsOf,"Overdue","In progress")))))</f>
        <v>Complete</v>
      </c>
      <c r="T4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3" spans="2:20">
      <c r="B43" s="28" t="s">
        <v>261</v>
      </c>
      <c r="C43" s="29">
        <v>45828</v>
      </c>
      <c r="D43" s="28" t="s">
        <v>103</v>
      </c>
      <c r="E43" s="28" t="s">
        <v>239</v>
      </c>
      <c r="F43" s="28" t="s">
        <v>116</v>
      </c>
      <c r="G43" s="28" t="s">
        <v>84</v>
      </c>
      <c r="H43" s="28" t="s">
        <v>176</v>
      </c>
      <c r="I43" s="37"/>
      <c r="J43" s="37"/>
      <c r="K43" s="41" t="str">
        <f>IF(tblIncidents[[#This Row],[Date]]="","",IF(OR(tblIncidents[[#This Row],[Classification]]="Other recordable",tblIncidents[[#This Row],[Classification]]="Restricted or transfer",tblIncidents[[#This Row],[Classification]]="Days away",tblIncidents[[#This Row],[Classification]]="Fatality"),"Yes","No"))</f>
        <v>No</v>
      </c>
      <c r="L43" s="41" t="str">
        <f>IF(tblIncidents[[#This Row],[Date]]="","",IF(OR(tblIncidents[[#This Row],[Classification]]="Restricted or transfer",tblIncidents[[#This Row],[Classification]]="Days away"),"Yes","No"))</f>
        <v>No</v>
      </c>
      <c r="M43" s="41" t="str">
        <f>IF(tblIncidents[[#This Row],[Date]]="","",IF(OR(tblIncidents[[#This Row],[Classification]]="Days away",tblIncidents[[#This Row],[Classification]]="Fatality"),"Yes","No"))</f>
        <v>No</v>
      </c>
      <c r="N43" s="42">
        <f>IF(tblIncidents[[#This Row],[Date]]="","",N(tblIncidents[[#This Row],[Days away]])+N(tblIncidents[[#This Row],[Days restricted]]))</f>
        <v>0</v>
      </c>
      <c r="O43" s="43" t="s">
        <v>224</v>
      </c>
      <c r="P43" s="43" t="s">
        <v>187</v>
      </c>
      <c r="Q43" s="29">
        <v>45858</v>
      </c>
      <c r="R43" s="29">
        <v>45855</v>
      </c>
      <c r="S43" s="41" t="str">
        <f>IF(tblIncidents[[#This Row],[Date]]="","",IF(tblIncidents[[#This Row],[Corrective action]]="","",IF(N(tblIncidents[[#This Row],[Action closed]])&gt;0,"Complete",IF(N(tblIncidents[[#This Row],[Action due]])=0,"Check",IF(tblIncidents[[#This Row],[Action due]]&lt;AsOf,"Overdue","In progress")))))</f>
        <v>Complete</v>
      </c>
      <c r="T4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4" spans="2:20">
      <c r="B44" s="28" t="s">
        <v>262</v>
      </c>
      <c r="C44" s="29">
        <v>45840</v>
      </c>
      <c r="D44" s="28" t="s">
        <v>100</v>
      </c>
      <c r="E44" s="28" t="s">
        <v>263</v>
      </c>
      <c r="F44" s="28" t="s">
        <v>121</v>
      </c>
      <c r="G44" s="28" t="s">
        <v>82</v>
      </c>
      <c r="H44" s="28" t="s">
        <v>143</v>
      </c>
      <c r="I44" s="37"/>
      <c r="J44" s="37"/>
      <c r="K44" s="41" t="str">
        <f>IF(tblIncidents[[#This Row],[Date]]="","",IF(OR(tblIncidents[[#This Row],[Classification]]="Other recordable",tblIncidents[[#This Row],[Classification]]="Restricted or transfer",tblIncidents[[#This Row],[Classification]]="Days away",tblIncidents[[#This Row],[Classification]]="Fatality"),"Yes","No"))</f>
        <v>No</v>
      </c>
      <c r="L44" s="41" t="str">
        <f>IF(tblIncidents[[#This Row],[Date]]="","",IF(OR(tblIncidents[[#This Row],[Classification]]="Restricted or transfer",tblIncidents[[#This Row],[Classification]]="Days away"),"Yes","No"))</f>
        <v>No</v>
      </c>
      <c r="M44" s="41" t="str">
        <f>IF(tblIncidents[[#This Row],[Date]]="","",IF(OR(tblIncidents[[#This Row],[Classification]]="Days away",tblIncidents[[#This Row],[Classification]]="Fatality"),"Yes","No"))</f>
        <v>No</v>
      </c>
      <c r="N44" s="42">
        <f>IF(tblIncidents[[#This Row],[Date]]="","",N(tblIncidents[[#This Row],[Days away]])+N(tblIncidents[[#This Row],[Days restricted]]))</f>
        <v>0</v>
      </c>
      <c r="O44" s="43" t="s">
        <v>203</v>
      </c>
      <c r="P44" s="43" t="s">
        <v>204</v>
      </c>
      <c r="Q44" s="29">
        <v>45854</v>
      </c>
      <c r="R44" s="29">
        <v>45846</v>
      </c>
      <c r="S44" s="41" t="str">
        <f>IF(tblIncidents[[#This Row],[Date]]="","",IF(tblIncidents[[#This Row],[Corrective action]]="","",IF(N(tblIncidents[[#This Row],[Action closed]])&gt;0,"Complete",IF(N(tblIncidents[[#This Row],[Action due]])=0,"Check",IF(tblIncidents[[#This Row],[Action due]]&lt;AsOf,"Overdue","In progress")))))</f>
        <v>Complete</v>
      </c>
      <c r="T4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5" spans="2:20">
      <c r="B45" s="28" t="s">
        <v>264</v>
      </c>
      <c r="C45" s="29">
        <v>45842</v>
      </c>
      <c r="D45" s="28" t="s">
        <v>100</v>
      </c>
      <c r="E45" s="28" t="s">
        <v>202</v>
      </c>
      <c r="F45" s="28" t="s">
        <v>121</v>
      </c>
      <c r="G45" s="28" t="s">
        <v>82</v>
      </c>
      <c r="H45" s="28" t="s">
        <v>143</v>
      </c>
      <c r="I45" s="37"/>
      <c r="J45" s="37"/>
      <c r="K45" s="41" t="str">
        <f>IF(tblIncidents[[#This Row],[Date]]="","",IF(OR(tblIncidents[[#This Row],[Classification]]="Other recordable",tblIncidents[[#This Row],[Classification]]="Restricted or transfer",tblIncidents[[#This Row],[Classification]]="Days away",tblIncidents[[#This Row],[Classification]]="Fatality"),"Yes","No"))</f>
        <v>No</v>
      </c>
      <c r="L45" s="41" t="str">
        <f>IF(tblIncidents[[#This Row],[Date]]="","",IF(OR(tblIncidents[[#This Row],[Classification]]="Restricted or transfer",tblIncidents[[#This Row],[Classification]]="Days away"),"Yes","No"))</f>
        <v>No</v>
      </c>
      <c r="M45" s="41" t="str">
        <f>IF(tblIncidents[[#This Row],[Date]]="","",IF(OR(tblIncidents[[#This Row],[Classification]]="Days away",tblIncidents[[#This Row],[Classification]]="Fatality"),"Yes","No"))</f>
        <v>No</v>
      </c>
      <c r="N45" s="42">
        <f>IF(tblIncidents[[#This Row],[Date]]="","",N(tblIncidents[[#This Row],[Days away]])+N(tblIncidents[[#This Row],[Days restricted]]))</f>
        <v>0</v>
      </c>
      <c r="O45" s="43" t="s">
        <v>191</v>
      </c>
      <c r="P45" s="43" t="s">
        <v>265</v>
      </c>
      <c r="Q45" s="29">
        <v>45872</v>
      </c>
      <c r="R45" s="29">
        <v>45868</v>
      </c>
      <c r="S45" s="41" t="str">
        <f>IF(tblIncidents[[#This Row],[Date]]="","",IF(tblIncidents[[#This Row],[Corrective action]]="","",IF(N(tblIncidents[[#This Row],[Action closed]])&gt;0,"Complete",IF(N(tblIncidents[[#This Row],[Action due]])=0,"Check",IF(tblIncidents[[#This Row],[Action due]]&lt;AsOf,"Overdue","In progress")))))</f>
        <v>Complete</v>
      </c>
      <c r="T4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6" spans="2:20">
      <c r="B46" s="28" t="s">
        <v>266</v>
      </c>
      <c r="C46" s="29">
        <v>45850</v>
      </c>
      <c r="D46" s="28" t="s">
        <v>103</v>
      </c>
      <c r="E46" s="28" t="s">
        <v>222</v>
      </c>
      <c r="F46" s="28" t="s">
        <v>131</v>
      </c>
      <c r="G46" s="28" t="s">
        <v>84</v>
      </c>
      <c r="H46" s="28" t="s">
        <v>267</v>
      </c>
      <c r="I46" s="37"/>
      <c r="J46" s="37"/>
      <c r="K46" s="41" t="str">
        <f>IF(tblIncidents[[#This Row],[Date]]="","",IF(OR(tblIncidents[[#This Row],[Classification]]="Other recordable",tblIncidents[[#This Row],[Classification]]="Restricted or transfer",tblIncidents[[#This Row],[Classification]]="Days away",tblIncidents[[#This Row],[Classification]]="Fatality"),"Yes","No"))</f>
        <v>No</v>
      </c>
      <c r="L46" s="41" t="str">
        <f>IF(tblIncidents[[#This Row],[Date]]="","",IF(OR(tblIncidents[[#This Row],[Classification]]="Restricted or transfer",tblIncidents[[#This Row],[Classification]]="Days away"),"Yes","No"))</f>
        <v>No</v>
      </c>
      <c r="M46" s="41" t="str">
        <f>IF(tblIncidents[[#This Row],[Date]]="","",IF(OR(tblIncidents[[#This Row],[Classification]]="Days away",tblIncidents[[#This Row],[Classification]]="Fatality"),"Yes","No"))</f>
        <v>No</v>
      </c>
      <c r="N46" s="42">
        <f>IF(tblIncidents[[#This Row],[Date]]="","",N(tblIncidents[[#This Row],[Days away]])+N(tblIncidents[[#This Row],[Days restricted]]))</f>
        <v>0</v>
      </c>
      <c r="O46" s="43" t="s">
        <v>268</v>
      </c>
      <c r="P46" s="43" t="s">
        <v>259</v>
      </c>
      <c r="Q46" s="29">
        <v>45895</v>
      </c>
      <c r="R46" s="29">
        <v>45885</v>
      </c>
      <c r="S46" s="41" t="str">
        <f>IF(tblIncidents[[#This Row],[Date]]="","",IF(tblIncidents[[#This Row],[Corrective action]]="","",IF(N(tblIncidents[[#This Row],[Action closed]])&gt;0,"Complete",IF(N(tblIncidents[[#This Row],[Action due]])=0,"Check",IF(tblIncidents[[#This Row],[Action due]]&lt;AsOf,"Overdue","In progress")))))</f>
        <v>Complete</v>
      </c>
      <c r="T4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7" spans="2:20">
      <c r="B47" s="28" t="s">
        <v>269</v>
      </c>
      <c r="C47" s="29">
        <v>45857</v>
      </c>
      <c r="D47" s="28" t="s">
        <v>103</v>
      </c>
      <c r="E47" s="28" t="s">
        <v>250</v>
      </c>
      <c r="F47" s="28" t="s">
        <v>116</v>
      </c>
      <c r="G47" s="28" t="s">
        <v>82</v>
      </c>
      <c r="H47" s="28" t="s">
        <v>143</v>
      </c>
      <c r="I47" s="37"/>
      <c r="J47" s="37"/>
      <c r="K47" s="41" t="str">
        <f>IF(tblIncidents[[#This Row],[Date]]="","",IF(OR(tblIncidents[[#This Row],[Classification]]="Other recordable",tblIncidents[[#This Row],[Classification]]="Restricted or transfer",tblIncidents[[#This Row],[Classification]]="Days away",tblIncidents[[#This Row],[Classification]]="Fatality"),"Yes","No"))</f>
        <v>No</v>
      </c>
      <c r="L47" s="41" t="str">
        <f>IF(tblIncidents[[#This Row],[Date]]="","",IF(OR(tblIncidents[[#This Row],[Classification]]="Restricted or transfer",tblIncidents[[#This Row],[Classification]]="Days away"),"Yes","No"))</f>
        <v>No</v>
      </c>
      <c r="M47" s="41" t="str">
        <f>IF(tblIncidents[[#This Row],[Date]]="","",IF(OR(tblIncidents[[#This Row],[Classification]]="Days away",tblIncidents[[#This Row],[Classification]]="Fatality"),"Yes","No"))</f>
        <v>No</v>
      </c>
      <c r="N47" s="42">
        <f>IF(tblIncidents[[#This Row],[Date]]="","",N(tblIncidents[[#This Row],[Days away]])+N(tblIncidents[[#This Row],[Days restricted]]))</f>
        <v>0</v>
      </c>
      <c r="O47" s="43" t="s">
        <v>224</v>
      </c>
      <c r="P47" s="43" t="s">
        <v>187</v>
      </c>
      <c r="Q47" s="29">
        <v>45887</v>
      </c>
      <c r="R47" s="29">
        <v>45879</v>
      </c>
      <c r="S47" s="41" t="str">
        <f>IF(tblIncidents[[#This Row],[Date]]="","",IF(tblIncidents[[#This Row],[Corrective action]]="","",IF(N(tblIncidents[[#This Row],[Action closed]])&gt;0,"Complete",IF(N(tblIncidents[[#This Row],[Action due]])=0,"Check",IF(tblIncidents[[#This Row],[Action due]]&lt;AsOf,"Overdue","In progress")))))</f>
        <v>Complete</v>
      </c>
      <c r="T4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8" spans="2:20">
      <c r="B48" s="28" t="s">
        <v>270</v>
      </c>
      <c r="C48" s="29">
        <v>45874</v>
      </c>
      <c r="D48" s="28" t="s">
        <v>97</v>
      </c>
      <c r="E48" s="28" t="s">
        <v>235</v>
      </c>
      <c r="F48" s="28" t="s">
        <v>121</v>
      </c>
      <c r="G48" s="28" t="s">
        <v>82</v>
      </c>
      <c r="H48" s="28" t="s">
        <v>143</v>
      </c>
      <c r="I48" s="37"/>
      <c r="J48" s="37"/>
      <c r="K48" s="41" t="str">
        <f>IF(tblIncidents[[#This Row],[Date]]="","",IF(OR(tblIncidents[[#This Row],[Classification]]="Other recordable",tblIncidents[[#This Row],[Classification]]="Restricted or transfer",tblIncidents[[#This Row],[Classification]]="Days away",tblIncidents[[#This Row],[Classification]]="Fatality"),"Yes","No"))</f>
        <v>No</v>
      </c>
      <c r="L48" s="41" t="str">
        <f>IF(tblIncidents[[#This Row],[Date]]="","",IF(OR(tblIncidents[[#This Row],[Classification]]="Restricted or transfer",tblIncidents[[#This Row],[Classification]]="Days away"),"Yes","No"))</f>
        <v>No</v>
      </c>
      <c r="M48" s="41" t="str">
        <f>IF(tblIncidents[[#This Row],[Date]]="","",IF(OR(tblIncidents[[#This Row],[Classification]]="Days away",tblIncidents[[#This Row],[Classification]]="Fatality"),"Yes","No"))</f>
        <v>No</v>
      </c>
      <c r="N48" s="42">
        <f>IF(tblIncidents[[#This Row],[Date]]="","",N(tblIncidents[[#This Row],[Days away]])+N(tblIncidents[[#This Row],[Days restricted]]))</f>
        <v>0</v>
      </c>
      <c r="O48" s="43" t="s">
        <v>191</v>
      </c>
      <c r="P48" s="43" t="s">
        <v>265</v>
      </c>
      <c r="Q48" s="29">
        <v>45888</v>
      </c>
      <c r="R48" s="29">
        <v>45886</v>
      </c>
      <c r="S48" s="41" t="str">
        <f>IF(tblIncidents[[#This Row],[Date]]="","",IF(tblIncidents[[#This Row],[Corrective action]]="","",IF(N(tblIncidents[[#This Row],[Action closed]])&gt;0,"Complete",IF(N(tblIncidents[[#This Row],[Action due]])=0,"Check",IF(tblIncidents[[#This Row],[Action due]]&lt;AsOf,"Overdue","In progress")))))</f>
        <v>Complete</v>
      </c>
      <c r="T4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49" spans="2:20">
      <c r="B49" s="28" t="s">
        <v>271</v>
      </c>
      <c r="C49" s="29">
        <v>45875</v>
      </c>
      <c r="D49" s="28" t="s">
        <v>100</v>
      </c>
      <c r="E49" s="28" t="s">
        <v>180</v>
      </c>
      <c r="F49" s="28" t="s">
        <v>113</v>
      </c>
      <c r="G49" s="28" t="s">
        <v>84</v>
      </c>
      <c r="H49" s="28" t="s">
        <v>200</v>
      </c>
      <c r="I49" s="37"/>
      <c r="J49" s="37"/>
      <c r="K49" s="41" t="str">
        <f>IF(tblIncidents[[#This Row],[Date]]="","",IF(OR(tblIncidents[[#This Row],[Classification]]="Other recordable",tblIncidents[[#This Row],[Classification]]="Restricted or transfer",tblIncidents[[#This Row],[Classification]]="Days away",tblIncidents[[#This Row],[Classification]]="Fatality"),"Yes","No"))</f>
        <v>No</v>
      </c>
      <c r="L49" s="41" t="str">
        <f>IF(tblIncidents[[#This Row],[Date]]="","",IF(OR(tblIncidents[[#This Row],[Classification]]="Restricted or transfer",tblIncidents[[#This Row],[Classification]]="Days away"),"Yes","No"))</f>
        <v>No</v>
      </c>
      <c r="M49" s="41" t="str">
        <f>IF(tblIncidents[[#This Row],[Date]]="","",IF(OR(tblIncidents[[#This Row],[Classification]]="Days away",tblIncidents[[#This Row],[Classification]]="Fatality"),"Yes","No"))</f>
        <v>No</v>
      </c>
      <c r="N49" s="42">
        <f>IF(tblIncidents[[#This Row],[Date]]="","",N(tblIncidents[[#This Row],[Days away]])+N(tblIncidents[[#This Row],[Days restricted]]))</f>
        <v>0</v>
      </c>
      <c r="O49" s="43" t="s">
        <v>211</v>
      </c>
      <c r="P49" s="43" t="s">
        <v>143</v>
      </c>
      <c r="Q49" s="29"/>
      <c r="R49" s="29"/>
      <c r="S49" s="41">
        <f>IF(tblIncidents[[#This Row],[Date]]="","",IF(tblIncidents[[#This Row],[Corrective action]]="","",IF(N(tblIncidents[[#This Row],[Action closed]])&gt;0,"Complete",IF(N(tblIncidents[[#This Row],[Action due]])=0,"Check",IF(tblIncidents[[#This Row],[Action due]]&lt;AsOf,"Overdue","In progress")))))</f>
        <v/>
      </c>
      <c r="T4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0" spans="2:20">
      <c r="B50" s="28" t="s">
        <v>272</v>
      </c>
      <c r="C50" s="29">
        <v>45877</v>
      </c>
      <c r="D50" s="28" t="s">
        <v>103</v>
      </c>
      <c r="E50" s="28" t="s">
        <v>222</v>
      </c>
      <c r="F50" s="28" t="s">
        <v>116</v>
      </c>
      <c r="G50" s="28" t="s">
        <v>84</v>
      </c>
      <c r="H50" s="28" t="s">
        <v>176</v>
      </c>
      <c r="I50" s="37"/>
      <c r="J50" s="37"/>
      <c r="K50" s="41" t="str">
        <f>IF(tblIncidents[[#This Row],[Date]]="","",IF(OR(tblIncidents[[#This Row],[Classification]]="Other recordable",tblIncidents[[#This Row],[Classification]]="Restricted or transfer",tblIncidents[[#This Row],[Classification]]="Days away",tblIncidents[[#This Row],[Classification]]="Fatality"),"Yes","No"))</f>
        <v>No</v>
      </c>
      <c r="L50" s="41" t="str">
        <f>IF(tblIncidents[[#This Row],[Date]]="","",IF(OR(tblIncidents[[#This Row],[Classification]]="Restricted or transfer",tblIncidents[[#This Row],[Classification]]="Days away"),"Yes","No"))</f>
        <v>No</v>
      </c>
      <c r="M50" s="41" t="str">
        <f>IF(tblIncidents[[#This Row],[Date]]="","",IF(OR(tblIncidents[[#This Row],[Classification]]="Days away",tblIncidents[[#This Row],[Classification]]="Fatality"),"Yes","No"))</f>
        <v>No</v>
      </c>
      <c r="N50" s="42">
        <f>IF(tblIncidents[[#This Row],[Date]]="","",N(tblIncidents[[#This Row],[Days away]])+N(tblIncidents[[#This Row],[Days restricted]]))</f>
        <v>0</v>
      </c>
      <c r="O50" s="43" t="s">
        <v>224</v>
      </c>
      <c r="P50" s="43" t="s">
        <v>273</v>
      </c>
      <c r="Q50" s="29">
        <v>45922</v>
      </c>
      <c r="R50" s="29">
        <v>45915</v>
      </c>
      <c r="S50" s="41" t="str">
        <f>IF(tblIncidents[[#This Row],[Date]]="","",IF(tblIncidents[[#This Row],[Corrective action]]="","",IF(N(tblIncidents[[#This Row],[Action closed]])&gt;0,"Complete",IF(N(tblIncidents[[#This Row],[Action due]])=0,"Check",IF(tblIncidents[[#This Row],[Action due]]&lt;AsOf,"Overdue","In progress")))))</f>
        <v>Complete</v>
      </c>
      <c r="T5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1" spans="2:20">
      <c r="B51" s="28" t="s">
        <v>274</v>
      </c>
      <c r="C51" s="29">
        <v>45877</v>
      </c>
      <c r="D51" s="28" t="s">
        <v>103</v>
      </c>
      <c r="E51" s="28" t="s">
        <v>250</v>
      </c>
      <c r="F51" s="28" t="s">
        <v>110</v>
      </c>
      <c r="G51" s="28" t="s">
        <v>86</v>
      </c>
      <c r="H51" s="28" t="s">
        <v>206</v>
      </c>
      <c r="I51" s="37"/>
      <c r="J51" s="37"/>
      <c r="K51" s="41" t="str">
        <f>IF(tblIncidents[[#This Row],[Date]]="","",IF(OR(tblIncidents[[#This Row],[Classification]]="Other recordable",tblIncidents[[#This Row],[Classification]]="Restricted or transfer",tblIncidents[[#This Row],[Classification]]="Days away",tblIncidents[[#This Row],[Classification]]="Fatality"),"Yes","No"))</f>
        <v>Yes</v>
      </c>
      <c r="L51" s="41" t="str">
        <f>IF(tblIncidents[[#This Row],[Date]]="","",IF(OR(tblIncidents[[#This Row],[Classification]]="Restricted or transfer",tblIncidents[[#This Row],[Classification]]="Days away"),"Yes","No"))</f>
        <v>No</v>
      </c>
      <c r="M51" s="41" t="str">
        <f>IF(tblIncidents[[#This Row],[Date]]="","",IF(OR(tblIncidents[[#This Row],[Classification]]="Days away",tblIncidents[[#This Row],[Classification]]="Fatality"),"Yes","No"))</f>
        <v>No</v>
      </c>
      <c r="N51" s="42">
        <f>IF(tblIncidents[[#This Row],[Date]]="","",N(tblIncidents[[#This Row],[Days away]])+N(tblIncidents[[#This Row],[Days restricted]]))</f>
        <v>0</v>
      </c>
      <c r="O51" s="43" t="s">
        <v>162</v>
      </c>
      <c r="P51" s="43" t="s">
        <v>218</v>
      </c>
      <c r="Q51" s="29">
        <v>45907</v>
      </c>
      <c r="R51" s="29">
        <v>45902</v>
      </c>
      <c r="S51" s="41" t="str">
        <f>IF(tblIncidents[[#This Row],[Date]]="","",IF(tblIncidents[[#This Row],[Corrective action]]="","",IF(N(tblIncidents[[#This Row],[Action closed]])&gt;0,"Complete",IF(N(tblIncidents[[#This Row],[Action due]])=0,"Check",IF(tblIncidents[[#This Row],[Action due]]&lt;AsOf,"Overdue","In progress")))))</f>
        <v>Complete</v>
      </c>
      <c r="T5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2" spans="2:20">
      <c r="B52" s="28" t="s">
        <v>275</v>
      </c>
      <c r="C52" s="29">
        <v>45884</v>
      </c>
      <c r="D52" s="28" t="s">
        <v>97</v>
      </c>
      <c r="E52" s="28" t="s">
        <v>214</v>
      </c>
      <c r="F52" s="28" t="s">
        <v>110</v>
      </c>
      <c r="G52" s="28" t="s">
        <v>82</v>
      </c>
      <c r="H52" s="28" t="s">
        <v>143</v>
      </c>
      <c r="I52" s="37"/>
      <c r="J52" s="37"/>
      <c r="K52" s="41" t="str">
        <f>IF(tblIncidents[[#This Row],[Date]]="","",IF(OR(tblIncidents[[#This Row],[Classification]]="Other recordable",tblIncidents[[#This Row],[Classification]]="Restricted or transfer",tblIncidents[[#This Row],[Classification]]="Days away",tblIncidents[[#This Row],[Classification]]="Fatality"),"Yes","No"))</f>
        <v>No</v>
      </c>
      <c r="L52" s="41" t="str">
        <f>IF(tblIncidents[[#This Row],[Date]]="","",IF(OR(tblIncidents[[#This Row],[Classification]]="Restricted or transfer",tblIncidents[[#This Row],[Classification]]="Days away"),"Yes","No"))</f>
        <v>No</v>
      </c>
      <c r="M52" s="41" t="str">
        <f>IF(tblIncidents[[#This Row],[Date]]="","",IF(OR(tblIncidents[[#This Row],[Classification]]="Days away",tblIncidents[[#This Row],[Classification]]="Fatality"),"Yes","No"))</f>
        <v>No</v>
      </c>
      <c r="N52" s="42">
        <f>IF(tblIncidents[[#This Row],[Date]]="","",N(tblIncidents[[#This Row],[Days away]])+N(tblIncidents[[#This Row],[Days restricted]]))</f>
        <v>0</v>
      </c>
      <c r="O52" s="43" t="s">
        <v>162</v>
      </c>
      <c r="P52" s="43" t="s">
        <v>166</v>
      </c>
      <c r="Q52" s="29">
        <v>45905</v>
      </c>
      <c r="R52" s="29">
        <v>45898</v>
      </c>
      <c r="S52" s="41" t="str">
        <f>IF(tblIncidents[[#This Row],[Date]]="","",IF(tblIncidents[[#This Row],[Corrective action]]="","",IF(N(tblIncidents[[#This Row],[Action closed]])&gt;0,"Complete",IF(N(tblIncidents[[#This Row],[Action due]])=0,"Check",IF(tblIncidents[[#This Row],[Action due]]&lt;AsOf,"Overdue","In progress")))))</f>
        <v>Complete</v>
      </c>
      <c r="T5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3" spans="2:20">
      <c r="B53" s="28" t="s">
        <v>276</v>
      </c>
      <c r="C53" s="29">
        <v>45884</v>
      </c>
      <c r="D53" s="28" t="s">
        <v>100</v>
      </c>
      <c r="E53" s="28" t="s">
        <v>263</v>
      </c>
      <c r="F53" s="28" t="s">
        <v>121</v>
      </c>
      <c r="G53" s="28" t="s">
        <v>84</v>
      </c>
      <c r="H53" s="28" t="s">
        <v>190</v>
      </c>
      <c r="I53" s="37"/>
      <c r="J53" s="37"/>
      <c r="K53" s="41" t="str">
        <f>IF(tblIncidents[[#This Row],[Date]]="","",IF(OR(tblIncidents[[#This Row],[Classification]]="Other recordable",tblIncidents[[#This Row],[Classification]]="Restricted or transfer",tblIncidents[[#This Row],[Classification]]="Days away",tblIncidents[[#This Row],[Classification]]="Fatality"),"Yes","No"))</f>
        <v>No</v>
      </c>
      <c r="L53" s="41" t="str">
        <f>IF(tblIncidents[[#This Row],[Date]]="","",IF(OR(tblIncidents[[#This Row],[Classification]]="Restricted or transfer",tblIncidents[[#This Row],[Classification]]="Days away"),"Yes","No"))</f>
        <v>No</v>
      </c>
      <c r="M53" s="41" t="str">
        <f>IF(tblIncidents[[#This Row],[Date]]="","",IF(OR(tblIncidents[[#This Row],[Classification]]="Days away",tblIncidents[[#This Row],[Classification]]="Fatality"),"Yes","No"))</f>
        <v>No</v>
      </c>
      <c r="N53" s="42">
        <f>IF(tblIncidents[[#This Row],[Date]]="","",N(tblIncidents[[#This Row],[Days away]])+N(tblIncidents[[#This Row],[Days restricted]]))</f>
        <v>0</v>
      </c>
      <c r="O53" s="43" t="s">
        <v>191</v>
      </c>
      <c r="P53" s="43" t="s">
        <v>265</v>
      </c>
      <c r="Q53" s="29">
        <v>45929</v>
      </c>
      <c r="R53" s="29">
        <v>45921</v>
      </c>
      <c r="S53" s="41" t="str">
        <f>IF(tblIncidents[[#This Row],[Date]]="","",IF(tblIncidents[[#This Row],[Corrective action]]="","",IF(N(tblIncidents[[#This Row],[Action closed]])&gt;0,"Complete",IF(N(tblIncidents[[#This Row],[Action due]])=0,"Check",IF(tblIncidents[[#This Row],[Action due]]&lt;AsOf,"Overdue","In progress")))))</f>
        <v>Complete</v>
      </c>
      <c r="T5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4" spans="2:20">
      <c r="B54" s="28" t="s">
        <v>277</v>
      </c>
      <c r="C54" s="29">
        <v>45887</v>
      </c>
      <c r="D54" s="28" t="s">
        <v>103</v>
      </c>
      <c r="E54" s="28" t="s">
        <v>239</v>
      </c>
      <c r="F54" s="28" t="s">
        <v>123</v>
      </c>
      <c r="G54" s="28" t="s">
        <v>82</v>
      </c>
      <c r="H54" s="28" t="s">
        <v>143</v>
      </c>
      <c r="I54" s="37"/>
      <c r="J54" s="37"/>
      <c r="K54" s="41" t="str">
        <f>IF(tblIncidents[[#This Row],[Date]]="","",IF(OR(tblIncidents[[#This Row],[Classification]]="Other recordable",tblIncidents[[#This Row],[Classification]]="Restricted or transfer",tblIncidents[[#This Row],[Classification]]="Days away",tblIncidents[[#This Row],[Classification]]="Fatality"),"Yes","No"))</f>
        <v>No</v>
      </c>
      <c r="L54" s="41" t="str">
        <f>IF(tblIncidents[[#This Row],[Date]]="","",IF(OR(tblIncidents[[#This Row],[Classification]]="Restricted or transfer",tblIncidents[[#This Row],[Classification]]="Days away"),"Yes","No"))</f>
        <v>No</v>
      </c>
      <c r="M54" s="41" t="str">
        <f>IF(tblIncidents[[#This Row],[Date]]="","",IF(OR(tblIncidents[[#This Row],[Classification]]="Days away",tblIncidents[[#This Row],[Classification]]="Fatality"),"Yes","No"))</f>
        <v>No</v>
      </c>
      <c r="N54" s="42">
        <f>IF(tblIncidents[[#This Row],[Date]]="","",N(tblIncidents[[#This Row],[Days away]])+N(tblIncidents[[#This Row],[Days restricted]]))</f>
        <v>0</v>
      </c>
      <c r="O54" s="43" t="s">
        <v>233</v>
      </c>
      <c r="P54" s="43" t="s">
        <v>278</v>
      </c>
      <c r="Q54" s="29">
        <v>45908</v>
      </c>
      <c r="R54" s="29">
        <v>45902</v>
      </c>
      <c r="S54" s="41" t="str">
        <f>IF(tblIncidents[[#This Row],[Date]]="","",IF(tblIncidents[[#This Row],[Corrective action]]="","",IF(N(tblIncidents[[#This Row],[Action closed]])&gt;0,"Complete",IF(N(tblIncidents[[#This Row],[Action due]])=0,"Check",IF(tblIncidents[[#This Row],[Action due]]&lt;AsOf,"Overdue","In progress")))))</f>
        <v>Complete</v>
      </c>
      <c r="T5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5" spans="2:20">
      <c r="B55" s="28" t="s">
        <v>279</v>
      </c>
      <c r="C55" s="29">
        <v>45894</v>
      </c>
      <c r="D55" s="28" t="s">
        <v>97</v>
      </c>
      <c r="E55" s="28" t="s">
        <v>165</v>
      </c>
      <c r="F55" s="28" t="s">
        <v>126</v>
      </c>
      <c r="G55" s="28" t="s">
        <v>82</v>
      </c>
      <c r="H55" s="28" t="s">
        <v>143</v>
      </c>
      <c r="I55" s="37"/>
      <c r="J55" s="37"/>
      <c r="K55" s="41" t="str">
        <f>IF(tblIncidents[[#This Row],[Date]]="","",IF(OR(tblIncidents[[#This Row],[Classification]]="Other recordable",tblIncidents[[#This Row],[Classification]]="Restricted or transfer",tblIncidents[[#This Row],[Classification]]="Days away",tblIncidents[[#This Row],[Classification]]="Fatality"),"Yes","No"))</f>
        <v>No</v>
      </c>
      <c r="L55" s="41" t="str">
        <f>IF(tblIncidents[[#This Row],[Date]]="","",IF(OR(tblIncidents[[#This Row],[Classification]]="Restricted or transfer",tblIncidents[[#This Row],[Classification]]="Days away"),"Yes","No"))</f>
        <v>No</v>
      </c>
      <c r="M55" s="41" t="str">
        <f>IF(tblIncidents[[#This Row],[Date]]="","",IF(OR(tblIncidents[[#This Row],[Classification]]="Days away",tblIncidents[[#This Row],[Classification]]="Fatality"),"Yes","No"))</f>
        <v>No</v>
      </c>
      <c r="N55" s="42">
        <f>IF(tblIncidents[[#This Row],[Date]]="","",N(tblIncidents[[#This Row],[Days away]])+N(tblIncidents[[#This Row],[Days restricted]]))</f>
        <v>0</v>
      </c>
      <c r="O55" s="43" t="s">
        <v>247</v>
      </c>
      <c r="P55" s="43" t="s">
        <v>227</v>
      </c>
      <c r="Q55" s="29">
        <v>45908</v>
      </c>
      <c r="R55" s="29">
        <v>45902</v>
      </c>
      <c r="S55" s="41" t="str">
        <f>IF(tblIncidents[[#This Row],[Date]]="","",IF(tblIncidents[[#This Row],[Corrective action]]="","",IF(N(tblIncidents[[#This Row],[Action closed]])&gt;0,"Complete",IF(N(tblIncidents[[#This Row],[Action due]])=0,"Check",IF(tblIncidents[[#This Row],[Action due]]&lt;AsOf,"Overdue","In progress")))))</f>
        <v>Complete</v>
      </c>
      <c r="T5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6" spans="2:20">
      <c r="B56" s="28" t="s">
        <v>280</v>
      </c>
      <c r="C56" s="29">
        <v>45898</v>
      </c>
      <c r="D56" s="28" t="s">
        <v>106</v>
      </c>
      <c r="E56" s="28" t="s">
        <v>281</v>
      </c>
      <c r="F56" s="28" t="s">
        <v>123</v>
      </c>
      <c r="G56" s="28" t="s">
        <v>82</v>
      </c>
      <c r="H56" s="28" t="s">
        <v>143</v>
      </c>
      <c r="I56" s="37"/>
      <c r="J56" s="37"/>
      <c r="K56" s="41" t="str">
        <f>IF(tblIncidents[[#This Row],[Date]]="","",IF(OR(tblIncidents[[#This Row],[Classification]]="Other recordable",tblIncidents[[#This Row],[Classification]]="Restricted or transfer",tblIncidents[[#This Row],[Classification]]="Days away",tblIncidents[[#This Row],[Classification]]="Fatality"),"Yes","No"))</f>
        <v>No</v>
      </c>
      <c r="L56" s="41" t="str">
        <f>IF(tblIncidents[[#This Row],[Date]]="","",IF(OR(tblIncidents[[#This Row],[Classification]]="Restricted or transfer",tblIncidents[[#This Row],[Classification]]="Days away"),"Yes","No"))</f>
        <v>No</v>
      </c>
      <c r="M56" s="41" t="str">
        <f>IF(tblIncidents[[#This Row],[Date]]="","",IF(OR(tblIncidents[[#This Row],[Classification]]="Days away",tblIncidents[[#This Row],[Classification]]="Fatality"),"Yes","No"))</f>
        <v>No</v>
      </c>
      <c r="N56" s="42">
        <f>IF(tblIncidents[[#This Row],[Date]]="","",N(tblIncidents[[#This Row],[Days away]])+N(tblIncidents[[#This Row],[Days restricted]]))</f>
        <v>0</v>
      </c>
      <c r="O56" s="43" t="s">
        <v>233</v>
      </c>
      <c r="P56" s="43" t="s">
        <v>278</v>
      </c>
      <c r="Q56" s="29">
        <v>45928</v>
      </c>
      <c r="R56" s="29">
        <v>45923</v>
      </c>
      <c r="S56" s="41" t="str">
        <f>IF(tblIncidents[[#This Row],[Date]]="","",IF(tblIncidents[[#This Row],[Corrective action]]="","",IF(N(tblIncidents[[#This Row],[Action closed]])&gt;0,"Complete",IF(N(tblIncidents[[#This Row],[Action due]])=0,"Check",IF(tblIncidents[[#This Row],[Action due]]&lt;AsOf,"Overdue","In progress")))))</f>
        <v>Complete</v>
      </c>
      <c r="T5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7" spans="2:20">
      <c r="B57" s="28" t="s">
        <v>282</v>
      </c>
      <c r="C57" s="29">
        <v>45903</v>
      </c>
      <c r="D57" s="28" t="s">
        <v>100</v>
      </c>
      <c r="E57" s="28" t="s">
        <v>202</v>
      </c>
      <c r="F57" s="28" t="s">
        <v>121</v>
      </c>
      <c r="G57" s="28" t="s">
        <v>82</v>
      </c>
      <c r="H57" s="28" t="s">
        <v>143</v>
      </c>
      <c r="I57" s="37"/>
      <c r="J57" s="37"/>
      <c r="K57" s="41" t="str">
        <f>IF(tblIncidents[[#This Row],[Date]]="","",IF(OR(tblIncidents[[#This Row],[Classification]]="Other recordable",tblIncidents[[#This Row],[Classification]]="Restricted or transfer",tblIncidents[[#This Row],[Classification]]="Days away",tblIncidents[[#This Row],[Classification]]="Fatality"),"Yes","No"))</f>
        <v>No</v>
      </c>
      <c r="L57" s="41" t="str">
        <f>IF(tblIncidents[[#This Row],[Date]]="","",IF(OR(tblIncidents[[#This Row],[Classification]]="Restricted or transfer",tblIncidents[[#This Row],[Classification]]="Days away"),"Yes","No"))</f>
        <v>No</v>
      </c>
      <c r="M57" s="41" t="str">
        <f>IF(tblIncidents[[#This Row],[Date]]="","",IF(OR(tblIncidents[[#This Row],[Classification]]="Days away",tblIncidents[[#This Row],[Classification]]="Fatality"),"Yes","No"))</f>
        <v>No</v>
      </c>
      <c r="N57" s="42">
        <f>IF(tblIncidents[[#This Row],[Date]]="","",N(tblIncidents[[#This Row],[Days away]])+N(tblIncidents[[#This Row],[Days restricted]]))</f>
        <v>0</v>
      </c>
      <c r="O57" s="43" t="s">
        <v>203</v>
      </c>
      <c r="P57" s="43" t="s">
        <v>204</v>
      </c>
      <c r="Q57" s="29">
        <v>45933</v>
      </c>
      <c r="R57" s="29">
        <v>45931</v>
      </c>
      <c r="S57" s="41" t="str">
        <f>IF(tblIncidents[[#This Row],[Date]]="","",IF(tblIncidents[[#This Row],[Corrective action]]="","",IF(N(tblIncidents[[#This Row],[Action closed]])&gt;0,"Complete",IF(N(tblIncidents[[#This Row],[Action due]])=0,"Check",IF(tblIncidents[[#This Row],[Action due]]&lt;AsOf,"Overdue","In progress")))))</f>
        <v>Complete</v>
      </c>
      <c r="T5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8" spans="2:20">
      <c r="B58" s="28" t="s">
        <v>283</v>
      </c>
      <c r="C58" s="29">
        <v>45903</v>
      </c>
      <c r="D58" s="28" t="s">
        <v>97</v>
      </c>
      <c r="E58" s="28" t="s">
        <v>235</v>
      </c>
      <c r="F58" s="28" t="s">
        <v>119</v>
      </c>
      <c r="G58" s="28" t="s">
        <v>84</v>
      </c>
      <c r="H58" s="28" t="s">
        <v>284</v>
      </c>
      <c r="I58" s="37"/>
      <c r="J58" s="37"/>
      <c r="K58" s="41" t="str">
        <f>IF(tblIncidents[[#This Row],[Date]]="","",IF(OR(tblIncidents[[#This Row],[Classification]]="Other recordable",tblIncidents[[#This Row],[Classification]]="Restricted or transfer",tblIncidents[[#This Row],[Classification]]="Days away",tblIncidents[[#This Row],[Classification]]="Fatality"),"Yes","No"))</f>
        <v>No</v>
      </c>
      <c r="L58" s="41" t="str">
        <f>IF(tblIncidents[[#This Row],[Date]]="","",IF(OR(tblIncidents[[#This Row],[Classification]]="Restricted or transfer",tblIncidents[[#This Row],[Classification]]="Days away"),"Yes","No"))</f>
        <v>No</v>
      </c>
      <c r="M58" s="41" t="str">
        <f>IF(tblIncidents[[#This Row],[Date]]="","",IF(OR(tblIncidents[[#This Row],[Classification]]="Days away",tblIncidents[[#This Row],[Classification]]="Fatality"),"Yes","No"))</f>
        <v>No</v>
      </c>
      <c r="N58" s="42">
        <f>IF(tblIncidents[[#This Row],[Date]]="","",N(tblIncidents[[#This Row],[Days away]])+N(tblIncidents[[#This Row],[Days restricted]]))</f>
        <v>0</v>
      </c>
      <c r="O58" s="43" t="s">
        <v>169</v>
      </c>
      <c r="P58" s="43" t="s">
        <v>285</v>
      </c>
      <c r="Q58" s="29">
        <v>45933</v>
      </c>
      <c r="R58" s="29">
        <v>45923</v>
      </c>
      <c r="S58" s="41" t="str">
        <f>IF(tblIncidents[[#This Row],[Date]]="","",IF(tblIncidents[[#This Row],[Corrective action]]="","",IF(N(tblIncidents[[#This Row],[Action closed]])&gt;0,"Complete",IF(N(tblIncidents[[#This Row],[Action due]])=0,"Check",IF(tblIncidents[[#This Row],[Action due]]&lt;AsOf,"Overdue","In progress")))))</f>
        <v>Complete</v>
      </c>
      <c r="T5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59" spans="2:20">
      <c r="B59" s="28" t="s">
        <v>286</v>
      </c>
      <c r="C59" s="29">
        <v>45905</v>
      </c>
      <c r="D59" s="28" t="s">
        <v>106</v>
      </c>
      <c r="E59" s="28" t="s">
        <v>175</v>
      </c>
      <c r="F59" s="28" t="s">
        <v>116</v>
      </c>
      <c r="G59" s="28" t="s">
        <v>82</v>
      </c>
      <c r="H59" s="28" t="s">
        <v>143</v>
      </c>
      <c r="I59" s="37"/>
      <c r="J59" s="37"/>
      <c r="K59" s="41" t="str">
        <f>IF(tblIncidents[[#This Row],[Date]]="","",IF(OR(tblIncidents[[#This Row],[Classification]]="Other recordable",tblIncidents[[#This Row],[Classification]]="Restricted or transfer",tblIncidents[[#This Row],[Classification]]="Days away",tblIncidents[[#This Row],[Classification]]="Fatality"),"Yes","No"))</f>
        <v>No</v>
      </c>
      <c r="L59" s="41" t="str">
        <f>IF(tblIncidents[[#This Row],[Date]]="","",IF(OR(tblIncidents[[#This Row],[Classification]]="Restricted or transfer",tblIncidents[[#This Row],[Classification]]="Days away"),"Yes","No"))</f>
        <v>No</v>
      </c>
      <c r="M59" s="41" t="str">
        <f>IF(tblIncidents[[#This Row],[Date]]="","",IF(OR(tblIncidents[[#This Row],[Classification]]="Days away",tblIncidents[[#This Row],[Classification]]="Fatality"),"Yes","No"))</f>
        <v>No</v>
      </c>
      <c r="N59" s="42">
        <f>IF(tblIncidents[[#This Row],[Date]]="","",N(tblIncidents[[#This Row],[Days away]])+N(tblIncidents[[#This Row],[Days restricted]]))</f>
        <v>0</v>
      </c>
      <c r="O59" s="43" t="s">
        <v>224</v>
      </c>
      <c r="P59" s="43" t="s">
        <v>178</v>
      </c>
      <c r="Q59" s="29">
        <v>45935</v>
      </c>
      <c r="R59" s="29">
        <v>45934</v>
      </c>
      <c r="S59" s="41" t="str">
        <f>IF(tblIncidents[[#This Row],[Date]]="","",IF(tblIncidents[[#This Row],[Corrective action]]="","",IF(N(tblIncidents[[#This Row],[Action closed]])&gt;0,"Complete",IF(N(tblIncidents[[#This Row],[Action due]])=0,"Check",IF(tblIncidents[[#This Row],[Action due]]&lt;AsOf,"Overdue","In progress")))))</f>
        <v>Complete</v>
      </c>
      <c r="T5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0" spans="2:20">
      <c r="B60" s="28" t="s">
        <v>287</v>
      </c>
      <c r="C60" s="29">
        <v>45912</v>
      </c>
      <c r="D60" s="28" t="s">
        <v>100</v>
      </c>
      <c r="E60" s="28" t="s">
        <v>189</v>
      </c>
      <c r="F60" s="28" t="s">
        <v>113</v>
      </c>
      <c r="G60" s="28" t="s">
        <v>82</v>
      </c>
      <c r="H60" s="28" t="s">
        <v>143</v>
      </c>
      <c r="I60" s="37"/>
      <c r="J60" s="37"/>
      <c r="K60" s="41" t="str">
        <f>IF(tblIncidents[[#This Row],[Date]]="","",IF(OR(tblIncidents[[#This Row],[Classification]]="Other recordable",tblIncidents[[#This Row],[Classification]]="Restricted or transfer",tblIncidents[[#This Row],[Classification]]="Days away",tblIncidents[[#This Row],[Classification]]="Fatality"),"Yes","No"))</f>
        <v>No</v>
      </c>
      <c r="L60" s="41" t="str">
        <f>IF(tblIncidents[[#This Row],[Date]]="","",IF(OR(tblIncidents[[#This Row],[Classification]]="Restricted or transfer",tblIncidents[[#This Row],[Classification]]="Days away"),"Yes","No"))</f>
        <v>No</v>
      </c>
      <c r="M60" s="41" t="str">
        <f>IF(tblIncidents[[#This Row],[Date]]="","",IF(OR(tblIncidents[[#This Row],[Classification]]="Days away",tblIncidents[[#This Row],[Classification]]="Fatality"),"Yes","No"))</f>
        <v>No</v>
      </c>
      <c r="N60" s="42">
        <f>IF(tblIncidents[[#This Row],[Date]]="","",N(tblIncidents[[#This Row],[Days away]])+N(tblIncidents[[#This Row],[Days restricted]]))</f>
        <v>0</v>
      </c>
      <c r="O60" s="43" t="s">
        <v>211</v>
      </c>
      <c r="P60" s="43" t="s">
        <v>212</v>
      </c>
      <c r="Q60" s="29">
        <v>45942</v>
      </c>
      <c r="R60" s="29">
        <v>45941</v>
      </c>
      <c r="S60" s="41" t="str">
        <f>IF(tblIncidents[[#This Row],[Date]]="","",IF(tblIncidents[[#This Row],[Corrective action]]="","",IF(N(tblIncidents[[#This Row],[Action closed]])&gt;0,"Complete",IF(N(tblIncidents[[#This Row],[Action due]])=0,"Check",IF(tblIncidents[[#This Row],[Action due]]&lt;AsOf,"Overdue","In progress")))))</f>
        <v>Complete</v>
      </c>
      <c r="T6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1" spans="2:20">
      <c r="B61" s="28" t="s">
        <v>288</v>
      </c>
      <c r="C61" s="29">
        <v>45915</v>
      </c>
      <c r="D61" s="28" t="s">
        <v>103</v>
      </c>
      <c r="E61" s="28" t="s">
        <v>239</v>
      </c>
      <c r="F61" s="28" t="s">
        <v>123</v>
      </c>
      <c r="G61" s="28" t="s">
        <v>84</v>
      </c>
      <c r="H61" s="28" t="s">
        <v>251</v>
      </c>
      <c r="I61" s="37"/>
      <c r="J61" s="37"/>
      <c r="K61" s="41" t="str">
        <f>IF(tblIncidents[[#This Row],[Date]]="","",IF(OR(tblIncidents[[#This Row],[Classification]]="Other recordable",tblIncidents[[#This Row],[Classification]]="Restricted or transfer",tblIncidents[[#This Row],[Classification]]="Days away",tblIncidents[[#This Row],[Classification]]="Fatality"),"Yes","No"))</f>
        <v>No</v>
      </c>
      <c r="L61" s="41" t="str">
        <f>IF(tblIncidents[[#This Row],[Date]]="","",IF(OR(tblIncidents[[#This Row],[Classification]]="Restricted or transfer",tblIncidents[[#This Row],[Classification]]="Days away"),"Yes","No"))</f>
        <v>No</v>
      </c>
      <c r="M61" s="41" t="str">
        <f>IF(tblIncidents[[#This Row],[Date]]="","",IF(OR(tblIncidents[[#This Row],[Classification]]="Days away",tblIncidents[[#This Row],[Classification]]="Fatality"),"Yes","No"))</f>
        <v>No</v>
      </c>
      <c r="N61" s="42">
        <f>IF(tblIncidents[[#This Row],[Date]]="","",N(tblIncidents[[#This Row],[Days away]])+N(tblIncidents[[#This Row],[Days restricted]]))</f>
        <v>0</v>
      </c>
      <c r="O61" s="43" t="s">
        <v>252</v>
      </c>
      <c r="P61" s="43" t="s">
        <v>278</v>
      </c>
      <c r="Q61" s="29">
        <v>45936</v>
      </c>
      <c r="R61" s="29">
        <v>45930</v>
      </c>
      <c r="S61" s="41" t="str">
        <f>IF(tblIncidents[[#This Row],[Date]]="","",IF(tblIncidents[[#This Row],[Corrective action]]="","",IF(N(tblIncidents[[#This Row],[Action closed]])&gt;0,"Complete",IF(N(tblIncidents[[#This Row],[Action due]])=0,"Check",IF(tblIncidents[[#This Row],[Action due]]&lt;AsOf,"Overdue","In progress")))))</f>
        <v>Complete</v>
      </c>
      <c r="T6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2" spans="2:20">
      <c r="B62" s="28" t="s">
        <v>289</v>
      </c>
      <c r="C62" s="29">
        <v>45919</v>
      </c>
      <c r="D62" s="28" t="s">
        <v>106</v>
      </c>
      <c r="E62" s="28" t="s">
        <v>281</v>
      </c>
      <c r="F62" s="28" t="s">
        <v>123</v>
      </c>
      <c r="G62" s="28" t="s">
        <v>82</v>
      </c>
      <c r="H62" s="28" t="s">
        <v>143</v>
      </c>
      <c r="I62" s="37"/>
      <c r="J62" s="37"/>
      <c r="K62" s="41" t="str">
        <f>IF(tblIncidents[[#This Row],[Date]]="","",IF(OR(tblIncidents[[#This Row],[Classification]]="Other recordable",tblIncidents[[#This Row],[Classification]]="Restricted or transfer",tblIncidents[[#This Row],[Classification]]="Days away",tblIncidents[[#This Row],[Classification]]="Fatality"),"Yes","No"))</f>
        <v>No</v>
      </c>
      <c r="L62" s="41" t="str">
        <f>IF(tblIncidents[[#This Row],[Date]]="","",IF(OR(tblIncidents[[#This Row],[Classification]]="Restricted or transfer",tblIncidents[[#This Row],[Classification]]="Days away"),"Yes","No"))</f>
        <v>No</v>
      </c>
      <c r="M62" s="41" t="str">
        <f>IF(tblIncidents[[#This Row],[Date]]="","",IF(OR(tblIncidents[[#This Row],[Classification]]="Days away",tblIncidents[[#This Row],[Classification]]="Fatality"),"Yes","No"))</f>
        <v>No</v>
      </c>
      <c r="N62" s="42">
        <f>IF(tblIncidents[[#This Row],[Date]]="","",N(tblIncidents[[#This Row],[Days away]])+N(tblIncidents[[#This Row],[Days restricted]]))</f>
        <v>0</v>
      </c>
      <c r="O62" s="43" t="s">
        <v>252</v>
      </c>
      <c r="P62" s="43" t="s">
        <v>278</v>
      </c>
      <c r="Q62" s="29">
        <v>45940</v>
      </c>
      <c r="R62" s="29">
        <v>45932</v>
      </c>
      <c r="S62" s="41" t="str">
        <f>IF(tblIncidents[[#This Row],[Date]]="","",IF(tblIncidents[[#This Row],[Corrective action]]="","",IF(N(tblIncidents[[#This Row],[Action closed]])&gt;0,"Complete",IF(N(tblIncidents[[#This Row],[Action due]])=0,"Check",IF(tblIncidents[[#This Row],[Action due]]&lt;AsOf,"Overdue","In progress")))))</f>
        <v>Complete</v>
      </c>
      <c r="T6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3" spans="2:20">
      <c r="B63" s="28" t="s">
        <v>290</v>
      </c>
      <c r="C63" s="29">
        <v>45932</v>
      </c>
      <c r="D63" s="28" t="s">
        <v>97</v>
      </c>
      <c r="E63" s="28" t="s">
        <v>165</v>
      </c>
      <c r="F63" s="28" t="s">
        <v>110</v>
      </c>
      <c r="G63" s="28" t="s">
        <v>84</v>
      </c>
      <c r="H63" s="28" t="s">
        <v>206</v>
      </c>
      <c r="I63" s="37"/>
      <c r="J63" s="37"/>
      <c r="K63" s="41" t="str">
        <f>IF(tblIncidents[[#This Row],[Date]]="","",IF(OR(tblIncidents[[#This Row],[Classification]]="Other recordable",tblIncidents[[#This Row],[Classification]]="Restricted or transfer",tblIncidents[[#This Row],[Classification]]="Days away",tblIncidents[[#This Row],[Classification]]="Fatality"),"Yes","No"))</f>
        <v>No</v>
      </c>
      <c r="L63" s="41" t="str">
        <f>IF(tblIncidents[[#This Row],[Date]]="","",IF(OR(tblIncidents[[#This Row],[Classification]]="Restricted or transfer",tblIncidents[[#This Row],[Classification]]="Days away"),"Yes","No"))</f>
        <v>No</v>
      </c>
      <c r="M63" s="41" t="str">
        <f>IF(tblIncidents[[#This Row],[Date]]="","",IF(OR(tblIncidents[[#This Row],[Classification]]="Days away",tblIncidents[[#This Row],[Classification]]="Fatality"),"Yes","No"))</f>
        <v>No</v>
      </c>
      <c r="N63" s="42">
        <f>IF(tblIncidents[[#This Row],[Date]]="","",N(tblIncidents[[#This Row],[Days away]])+N(tblIncidents[[#This Row],[Days restricted]]))</f>
        <v>0</v>
      </c>
      <c r="O63" s="43" t="s">
        <v>162</v>
      </c>
      <c r="P63" s="43" t="s">
        <v>218</v>
      </c>
      <c r="Q63" s="29">
        <v>45946</v>
      </c>
      <c r="R63" s="29">
        <v>45943</v>
      </c>
      <c r="S63" s="41" t="str">
        <f>IF(tblIncidents[[#This Row],[Date]]="","",IF(tblIncidents[[#This Row],[Corrective action]]="","",IF(N(tblIncidents[[#This Row],[Action closed]])&gt;0,"Complete",IF(N(tblIncidents[[#This Row],[Action due]])=0,"Check",IF(tblIncidents[[#This Row],[Action due]]&lt;AsOf,"Overdue","In progress")))))</f>
        <v>Complete</v>
      </c>
      <c r="T6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4" spans="2:20">
      <c r="B64" s="28" t="s">
        <v>291</v>
      </c>
      <c r="C64" s="29">
        <v>45935</v>
      </c>
      <c r="D64" s="28" t="s">
        <v>103</v>
      </c>
      <c r="E64" s="28" t="s">
        <v>208</v>
      </c>
      <c r="F64" s="28" t="s">
        <v>123</v>
      </c>
      <c r="G64" s="28" t="s">
        <v>82</v>
      </c>
      <c r="H64" s="28" t="s">
        <v>143</v>
      </c>
      <c r="I64" s="37"/>
      <c r="J64" s="37"/>
      <c r="K64" s="41" t="str">
        <f>IF(tblIncidents[[#This Row],[Date]]="","",IF(OR(tblIncidents[[#This Row],[Classification]]="Other recordable",tblIncidents[[#This Row],[Classification]]="Restricted or transfer",tblIncidents[[#This Row],[Classification]]="Days away",tblIncidents[[#This Row],[Classification]]="Fatality"),"Yes","No"))</f>
        <v>No</v>
      </c>
      <c r="L64" s="41" t="str">
        <f>IF(tblIncidents[[#This Row],[Date]]="","",IF(OR(tblIncidents[[#This Row],[Classification]]="Restricted or transfer",tblIncidents[[#This Row],[Classification]]="Days away"),"Yes","No"))</f>
        <v>No</v>
      </c>
      <c r="M64" s="41" t="str">
        <f>IF(tblIncidents[[#This Row],[Date]]="","",IF(OR(tblIncidents[[#This Row],[Classification]]="Days away",tblIncidents[[#This Row],[Classification]]="Fatality"),"Yes","No"))</f>
        <v>No</v>
      </c>
      <c r="N64" s="42">
        <f>IF(tblIncidents[[#This Row],[Date]]="","",N(tblIncidents[[#This Row],[Days away]])+N(tblIncidents[[#This Row],[Days restricted]]))</f>
        <v>0</v>
      </c>
      <c r="O64" s="43" t="s">
        <v>252</v>
      </c>
      <c r="P64" s="43" t="s">
        <v>278</v>
      </c>
      <c r="Q64" s="29">
        <v>45956</v>
      </c>
      <c r="R64" s="29">
        <v>45948</v>
      </c>
      <c r="S64" s="41" t="str">
        <f>IF(tblIncidents[[#This Row],[Date]]="","",IF(tblIncidents[[#This Row],[Corrective action]]="","",IF(N(tblIncidents[[#This Row],[Action closed]])&gt;0,"Complete",IF(N(tblIncidents[[#This Row],[Action due]])=0,"Check",IF(tblIncidents[[#This Row],[Action due]]&lt;AsOf,"Overdue","In progress")))))</f>
        <v>Complete</v>
      </c>
      <c r="T6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5" spans="2:20">
      <c r="B65" s="28" t="s">
        <v>292</v>
      </c>
      <c r="C65" s="29">
        <v>45937</v>
      </c>
      <c r="D65" s="28" t="s">
        <v>97</v>
      </c>
      <c r="E65" s="28" t="s">
        <v>235</v>
      </c>
      <c r="F65" s="28" t="s">
        <v>110</v>
      </c>
      <c r="G65" s="28" t="s">
        <v>82</v>
      </c>
      <c r="H65" s="28" t="s">
        <v>143</v>
      </c>
      <c r="I65" s="37"/>
      <c r="J65" s="37"/>
      <c r="K65" s="41" t="str">
        <f>IF(tblIncidents[[#This Row],[Date]]="","",IF(OR(tblIncidents[[#This Row],[Classification]]="Other recordable",tblIncidents[[#This Row],[Classification]]="Restricted or transfer",tblIncidents[[#This Row],[Classification]]="Days away",tblIncidents[[#This Row],[Classification]]="Fatality"),"Yes","No"))</f>
        <v>No</v>
      </c>
      <c r="L65" s="41" t="str">
        <f>IF(tblIncidents[[#This Row],[Date]]="","",IF(OR(tblIncidents[[#This Row],[Classification]]="Restricted or transfer",tblIncidents[[#This Row],[Classification]]="Days away"),"Yes","No"))</f>
        <v>No</v>
      </c>
      <c r="M65" s="41" t="str">
        <f>IF(tblIncidents[[#This Row],[Date]]="","",IF(OR(tblIncidents[[#This Row],[Classification]]="Days away",tblIncidents[[#This Row],[Classification]]="Fatality"),"Yes","No"))</f>
        <v>No</v>
      </c>
      <c r="N65" s="42">
        <f>IF(tblIncidents[[#This Row],[Date]]="","",N(tblIncidents[[#This Row],[Days away]])+N(tblIncidents[[#This Row],[Days restricted]]))</f>
        <v>0</v>
      </c>
      <c r="O65" s="43" t="s">
        <v>173</v>
      </c>
      <c r="P65" s="43" t="s">
        <v>218</v>
      </c>
      <c r="Q65" s="29">
        <v>45958</v>
      </c>
      <c r="R65" s="29">
        <v>45949</v>
      </c>
      <c r="S65" s="41" t="str">
        <f>IF(tblIncidents[[#This Row],[Date]]="","",IF(tblIncidents[[#This Row],[Corrective action]]="","",IF(N(tblIncidents[[#This Row],[Action closed]])&gt;0,"Complete",IF(N(tblIncidents[[#This Row],[Action due]])=0,"Check",IF(tblIncidents[[#This Row],[Action due]]&lt;AsOf,"Overdue","In progress")))))</f>
        <v>Complete</v>
      </c>
      <c r="T6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6" spans="2:20">
      <c r="B66" s="28" t="s">
        <v>293</v>
      </c>
      <c r="C66" s="29">
        <v>45938</v>
      </c>
      <c r="D66" s="28" t="s">
        <v>97</v>
      </c>
      <c r="E66" s="28" t="s">
        <v>165</v>
      </c>
      <c r="F66" s="28" t="s">
        <v>116</v>
      </c>
      <c r="G66" s="28" t="s">
        <v>84</v>
      </c>
      <c r="H66" s="28" t="s">
        <v>185</v>
      </c>
      <c r="I66" s="37"/>
      <c r="J66" s="37"/>
      <c r="K66" s="41" t="str">
        <f>IF(tblIncidents[[#This Row],[Date]]="","",IF(OR(tblIncidents[[#This Row],[Classification]]="Other recordable",tblIncidents[[#This Row],[Classification]]="Restricted or transfer",tblIncidents[[#This Row],[Classification]]="Days away",tblIncidents[[#This Row],[Classification]]="Fatality"),"Yes","No"))</f>
        <v>No</v>
      </c>
      <c r="L66" s="41" t="str">
        <f>IF(tblIncidents[[#This Row],[Date]]="","",IF(OR(tblIncidents[[#This Row],[Classification]]="Restricted or transfer",tblIncidents[[#This Row],[Classification]]="Days away"),"Yes","No"))</f>
        <v>No</v>
      </c>
      <c r="M66" s="41" t="str">
        <f>IF(tblIncidents[[#This Row],[Date]]="","",IF(OR(tblIncidents[[#This Row],[Classification]]="Days away",tblIncidents[[#This Row],[Classification]]="Fatality"),"Yes","No"))</f>
        <v>No</v>
      </c>
      <c r="N66" s="42">
        <f>IF(tblIncidents[[#This Row],[Date]]="","",N(tblIncidents[[#This Row],[Days away]])+N(tblIncidents[[#This Row],[Days restricted]]))</f>
        <v>0</v>
      </c>
      <c r="O66" s="43" t="s">
        <v>224</v>
      </c>
      <c r="P66" s="43" t="s">
        <v>143</v>
      </c>
      <c r="Q66" s="29"/>
      <c r="R66" s="29"/>
      <c r="S66" s="41">
        <f>IF(tblIncidents[[#This Row],[Date]]="","",IF(tblIncidents[[#This Row],[Corrective action]]="","",IF(N(tblIncidents[[#This Row],[Action closed]])&gt;0,"Complete",IF(N(tblIncidents[[#This Row],[Action due]])=0,"Check",IF(tblIncidents[[#This Row],[Action due]]&lt;AsOf,"Overdue","In progress")))))</f>
        <v/>
      </c>
      <c r="T6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7" spans="2:20">
      <c r="B67" s="28" t="s">
        <v>294</v>
      </c>
      <c r="C67" s="29">
        <v>45940</v>
      </c>
      <c r="D67" s="28" t="s">
        <v>100</v>
      </c>
      <c r="E67" s="28" t="s">
        <v>180</v>
      </c>
      <c r="F67" s="28" t="s">
        <v>113</v>
      </c>
      <c r="G67" s="28" t="s">
        <v>82</v>
      </c>
      <c r="H67" s="28" t="s">
        <v>143</v>
      </c>
      <c r="I67" s="37"/>
      <c r="J67" s="37"/>
      <c r="K67" s="41" t="str">
        <f>IF(tblIncidents[[#This Row],[Date]]="","",IF(OR(tblIncidents[[#This Row],[Classification]]="Other recordable",tblIncidents[[#This Row],[Classification]]="Restricted or transfer",tblIncidents[[#This Row],[Classification]]="Days away",tblIncidents[[#This Row],[Classification]]="Fatality"),"Yes","No"))</f>
        <v>No</v>
      </c>
      <c r="L67" s="41" t="str">
        <f>IF(tblIncidents[[#This Row],[Date]]="","",IF(OR(tblIncidents[[#This Row],[Classification]]="Restricted or transfer",tblIncidents[[#This Row],[Classification]]="Days away"),"Yes","No"))</f>
        <v>No</v>
      </c>
      <c r="M67" s="41" t="str">
        <f>IF(tblIncidents[[#This Row],[Date]]="","",IF(OR(tblIncidents[[#This Row],[Classification]]="Days away",tblIncidents[[#This Row],[Classification]]="Fatality"),"Yes","No"))</f>
        <v>No</v>
      </c>
      <c r="N67" s="42">
        <f>IF(tblIncidents[[#This Row],[Date]]="","",N(tblIncidents[[#This Row],[Days away]])+N(tblIncidents[[#This Row],[Days restricted]]))</f>
        <v>0</v>
      </c>
      <c r="O67" s="43" t="s">
        <v>182</v>
      </c>
      <c r="P67" s="43" t="s">
        <v>212</v>
      </c>
      <c r="Q67" s="29">
        <v>45961</v>
      </c>
      <c r="R67" s="29">
        <v>45953</v>
      </c>
      <c r="S67" s="41" t="str">
        <f>IF(tblIncidents[[#This Row],[Date]]="","",IF(tblIncidents[[#This Row],[Corrective action]]="","",IF(N(tblIncidents[[#This Row],[Action closed]])&gt;0,"Complete",IF(N(tblIncidents[[#This Row],[Action due]])=0,"Check",IF(tblIncidents[[#This Row],[Action due]]&lt;AsOf,"Overdue","In progress")))))</f>
        <v>Complete</v>
      </c>
      <c r="T6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8" spans="2:20">
      <c r="B68" s="28" t="s">
        <v>295</v>
      </c>
      <c r="C68" s="29">
        <v>45946</v>
      </c>
      <c r="D68" s="28" t="s">
        <v>103</v>
      </c>
      <c r="E68" s="28" t="s">
        <v>222</v>
      </c>
      <c r="F68" s="28" t="s">
        <v>123</v>
      </c>
      <c r="G68" s="28" t="s">
        <v>82</v>
      </c>
      <c r="H68" s="28" t="s">
        <v>143</v>
      </c>
      <c r="I68" s="37"/>
      <c r="J68" s="37"/>
      <c r="K68" s="41" t="str">
        <f>IF(tblIncidents[[#This Row],[Date]]="","",IF(OR(tblIncidents[[#This Row],[Classification]]="Other recordable",tblIncidents[[#This Row],[Classification]]="Restricted or transfer",tblIncidents[[#This Row],[Classification]]="Days away",tblIncidents[[#This Row],[Classification]]="Fatality"),"Yes","No"))</f>
        <v>No</v>
      </c>
      <c r="L68" s="41" t="str">
        <f>IF(tblIncidents[[#This Row],[Date]]="","",IF(OR(tblIncidents[[#This Row],[Classification]]="Restricted or transfer",tblIncidents[[#This Row],[Classification]]="Days away"),"Yes","No"))</f>
        <v>No</v>
      </c>
      <c r="M68" s="41" t="str">
        <f>IF(tblIncidents[[#This Row],[Date]]="","",IF(OR(tblIncidents[[#This Row],[Classification]]="Days away",tblIncidents[[#This Row],[Classification]]="Fatality"),"Yes","No"))</f>
        <v>No</v>
      </c>
      <c r="N68" s="42">
        <f>IF(tblIncidents[[#This Row],[Date]]="","",N(tblIncidents[[#This Row],[Days away]])+N(tblIncidents[[#This Row],[Days restricted]]))</f>
        <v>0</v>
      </c>
      <c r="O68" s="43" t="s">
        <v>252</v>
      </c>
      <c r="P68" s="43" t="s">
        <v>241</v>
      </c>
      <c r="Q68" s="29">
        <v>45991</v>
      </c>
      <c r="R68" s="29">
        <v>45981</v>
      </c>
      <c r="S68" s="41" t="str">
        <f>IF(tblIncidents[[#This Row],[Date]]="","",IF(tblIncidents[[#This Row],[Corrective action]]="","",IF(N(tblIncidents[[#This Row],[Action closed]])&gt;0,"Complete",IF(N(tblIncidents[[#This Row],[Action due]])=0,"Check",IF(tblIncidents[[#This Row],[Action due]]&lt;AsOf,"Overdue","In progress")))))</f>
        <v>Complete</v>
      </c>
      <c r="T6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69" spans="2:20">
      <c r="B69" s="28" t="s">
        <v>296</v>
      </c>
      <c r="C69" s="29">
        <v>45956</v>
      </c>
      <c r="D69" s="28" t="s">
        <v>100</v>
      </c>
      <c r="E69" s="28" t="s">
        <v>263</v>
      </c>
      <c r="F69" s="28" t="s">
        <v>113</v>
      </c>
      <c r="G69" s="28" t="s">
        <v>82</v>
      </c>
      <c r="H69" s="28" t="s">
        <v>143</v>
      </c>
      <c r="I69" s="37"/>
      <c r="J69" s="37"/>
      <c r="K69" s="41" t="str">
        <f>IF(tblIncidents[[#This Row],[Date]]="","",IF(OR(tblIncidents[[#This Row],[Classification]]="Other recordable",tblIncidents[[#This Row],[Classification]]="Restricted or transfer",tblIncidents[[#This Row],[Classification]]="Days away",tblIncidents[[#This Row],[Classification]]="Fatality"),"Yes","No"))</f>
        <v>No</v>
      </c>
      <c r="L69" s="41" t="str">
        <f>IF(tblIncidents[[#This Row],[Date]]="","",IF(OR(tblIncidents[[#This Row],[Classification]]="Restricted or transfer",tblIncidents[[#This Row],[Classification]]="Days away"),"Yes","No"))</f>
        <v>No</v>
      </c>
      <c r="M69" s="41" t="str">
        <f>IF(tblIncidents[[#This Row],[Date]]="","",IF(OR(tblIncidents[[#This Row],[Classification]]="Days away",tblIncidents[[#This Row],[Classification]]="Fatality"),"Yes","No"))</f>
        <v>No</v>
      </c>
      <c r="N69" s="42">
        <f>IF(tblIncidents[[#This Row],[Date]]="","",N(tblIncidents[[#This Row],[Days away]])+N(tblIncidents[[#This Row],[Days restricted]]))</f>
        <v>0</v>
      </c>
      <c r="O69" s="43" t="s">
        <v>182</v>
      </c>
      <c r="P69" s="43" t="s">
        <v>257</v>
      </c>
      <c r="Q69" s="29">
        <v>45986</v>
      </c>
      <c r="R69" s="29">
        <v>45982</v>
      </c>
      <c r="S69" s="41" t="str">
        <f>IF(tblIncidents[[#This Row],[Date]]="","",IF(tblIncidents[[#This Row],[Corrective action]]="","",IF(N(tblIncidents[[#This Row],[Action closed]])&gt;0,"Complete",IF(N(tblIncidents[[#This Row],[Action due]])=0,"Check",IF(tblIncidents[[#This Row],[Action due]]&lt;AsOf,"Overdue","In progress")))))</f>
        <v>Complete</v>
      </c>
      <c r="T6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0" spans="2:20">
      <c r="B70" s="28" t="s">
        <v>297</v>
      </c>
      <c r="C70" s="29">
        <v>45977</v>
      </c>
      <c r="D70" s="28" t="s">
        <v>103</v>
      </c>
      <c r="E70" s="28" t="s">
        <v>208</v>
      </c>
      <c r="F70" s="28" t="s">
        <v>123</v>
      </c>
      <c r="G70" s="28" t="s">
        <v>82</v>
      </c>
      <c r="H70" s="28" t="s">
        <v>143</v>
      </c>
      <c r="I70" s="37"/>
      <c r="J70" s="37"/>
      <c r="K70" s="41" t="str">
        <f>IF(tblIncidents[[#This Row],[Date]]="","",IF(OR(tblIncidents[[#This Row],[Classification]]="Other recordable",tblIncidents[[#This Row],[Classification]]="Restricted or transfer",tblIncidents[[#This Row],[Classification]]="Days away",tblIncidents[[#This Row],[Classification]]="Fatality"),"Yes","No"))</f>
        <v>No</v>
      </c>
      <c r="L70" s="41" t="str">
        <f>IF(tblIncidents[[#This Row],[Date]]="","",IF(OR(tblIncidents[[#This Row],[Classification]]="Restricted or transfer",tblIncidents[[#This Row],[Classification]]="Days away"),"Yes","No"))</f>
        <v>No</v>
      </c>
      <c r="M70" s="41" t="str">
        <f>IF(tblIncidents[[#This Row],[Date]]="","",IF(OR(tblIncidents[[#This Row],[Classification]]="Days away",tblIncidents[[#This Row],[Classification]]="Fatality"),"Yes","No"))</f>
        <v>No</v>
      </c>
      <c r="N70" s="42">
        <f>IF(tblIncidents[[#This Row],[Date]]="","",N(tblIncidents[[#This Row],[Days away]])+N(tblIncidents[[#This Row],[Days restricted]]))</f>
        <v>0</v>
      </c>
      <c r="O70" s="43" t="s">
        <v>252</v>
      </c>
      <c r="P70" s="43" t="s">
        <v>241</v>
      </c>
      <c r="Q70" s="29">
        <v>46007</v>
      </c>
      <c r="R70" s="29">
        <v>45997</v>
      </c>
      <c r="S70" s="41" t="str">
        <f>IF(tblIncidents[[#This Row],[Date]]="","",IF(tblIncidents[[#This Row],[Corrective action]]="","",IF(N(tblIncidents[[#This Row],[Action closed]])&gt;0,"Complete",IF(N(tblIncidents[[#This Row],[Action due]])=0,"Check",IF(tblIncidents[[#This Row],[Action due]]&lt;AsOf,"Overdue","In progress")))))</f>
        <v>Complete</v>
      </c>
      <c r="T7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1" spans="2:20">
      <c r="B71" s="28" t="s">
        <v>298</v>
      </c>
      <c r="C71" s="29">
        <v>45977</v>
      </c>
      <c r="D71" s="28" t="s">
        <v>100</v>
      </c>
      <c r="E71" s="28" t="s">
        <v>189</v>
      </c>
      <c r="F71" s="28" t="s">
        <v>113</v>
      </c>
      <c r="G71" s="28" t="s">
        <v>82</v>
      </c>
      <c r="H71" s="28" t="s">
        <v>143</v>
      </c>
      <c r="I71" s="37"/>
      <c r="J71" s="37"/>
      <c r="K71" s="41" t="str">
        <f>IF(tblIncidents[[#This Row],[Date]]="","",IF(OR(tblIncidents[[#This Row],[Classification]]="Other recordable",tblIncidents[[#This Row],[Classification]]="Restricted or transfer",tblIncidents[[#This Row],[Classification]]="Days away",tblIncidents[[#This Row],[Classification]]="Fatality"),"Yes","No"))</f>
        <v>No</v>
      </c>
      <c r="L71" s="41" t="str">
        <f>IF(tblIncidents[[#This Row],[Date]]="","",IF(OR(tblIncidents[[#This Row],[Classification]]="Restricted or transfer",tblIncidents[[#This Row],[Classification]]="Days away"),"Yes","No"))</f>
        <v>No</v>
      </c>
      <c r="M71" s="41" t="str">
        <f>IF(tblIncidents[[#This Row],[Date]]="","",IF(OR(tblIncidents[[#This Row],[Classification]]="Days away",tblIncidents[[#This Row],[Classification]]="Fatality"),"Yes","No"))</f>
        <v>No</v>
      </c>
      <c r="N71" s="42">
        <f>IF(tblIncidents[[#This Row],[Date]]="","",N(tblIncidents[[#This Row],[Days away]])+N(tblIncidents[[#This Row],[Days restricted]]))</f>
        <v>0</v>
      </c>
      <c r="O71" s="43" t="s">
        <v>211</v>
      </c>
      <c r="P71" s="43" t="s">
        <v>183</v>
      </c>
      <c r="Q71" s="29">
        <v>46007</v>
      </c>
      <c r="R71" s="29">
        <v>45998</v>
      </c>
      <c r="S71" s="41" t="str">
        <f>IF(tblIncidents[[#This Row],[Date]]="","",IF(tblIncidents[[#This Row],[Corrective action]]="","",IF(N(tblIncidents[[#This Row],[Action closed]])&gt;0,"Complete",IF(N(tblIncidents[[#This Row],[Action due]])=0,"Check",IF(tblIncidents[[#This Row],[Action due]]&lt;AsOf,"Overdue","In progress")))))</f>
        <v>Complete</v>
      </c>
      <c r="T7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2" spans="2:20">
      <c r="B72" s="28" t="s">
        <v>299</v>
      </c>
      <c r="C72" s="29">
        <v>45980</v>
      </c>
      <c r="D72" s="28" t="s">
        <v>103</v>
      </c>
      <c r="E72" s="28" t="s">
        <v>239</v>
      </c>
      <c r="F72" s="28" t="s">
        <v>119</v>
      </c>
      <c r="G72" s="28" t="s">
        <v>82</v>
      </c>
      <c r="H72" s="28" t="s">
        <v>143</v>
      </c>
      <c r="I72" s="37"/>
      <c r="J72" s="37"/>
      <c r="K72" s="41" t="str">
        <f>IF(tblIncidents[[#This Row],[Date]]="","",IF(OR(tblIncidents[[#This Row],[Classification]]="Other recordable",tblIncidents[[#This Row],[Classification]]="Restricted or transfer",tblIncidents[[#This Row],[Classification]]="Days away",tblIncidents[[#This Row],[Classification]]="Fatality"),"Yes","No"))</f>
        <v>No</v>
      </c>
      <c r="L72" s="41" t="str">
        <f>IF(tblIncidents[[#This Row],[Date]]="","",IF(OR(tblIncidents[[#This Row],[Classification]]="Restricted or transfer",tblIncidents[[#This Row],[Classification]]="Days away"),"Yes","No"))</f>
        <v>No</v>
      </c>
      <c r="M72" s="41" t="str">
        <f>IF(tblIncidents[[#This Row],[Date]]="","",IF(OR(tblIncidents[[#This Row],[Classification]]="Days away",tblIncidents[[#This Row],[Classification]]="Fatality"),"Yes","No"))</f>
        <v>No</v>
      </c>
      <c r="N72" s="42">
        <f>IF(tblIncidents[[#This Row],[Date]]="","",N(tblIncidents[[#This Row],[Days away]])+N(tblIncidents[[#This Row],[Days restricted]]))</f>
        <v>0</v>
      </c>
      <c r="O72" s="43" t="s">
        <v>169</v>
      </c>
      <c r="P72" s="43" t="s">
        <v>170</v>
      </c>
      <c r="Q72" s="29">
        <v>45994</v>
      </c>
      <c r="R72" s="29">
        <v>45987</v>
      </c>
      <c r="S72" s="41" t="str">
        <f>IF(tblIncidents[[#This Row],[Date]]="","",IF(tblIncidents[[#This Row],[Corrective action]]="","",IF(N(tblIncidents[[#This Row],[Action closed]])&gt;0,"Complete",IF(N(tblIncidents[[#This Row],[Action due]])=0,"Check",IF(tblIncidents[[#This Row],[Action due]]&lt;AsOf,"Overdue","In progress")))))</f>
        <v>Complete</v>
      </c>
      <c r="T7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3" spans="2:20">
      <c r="B73" s="28" t="s">
        <v>300</v>
      </c>
      <c r="C73" s="29">
        <v>45980</v>
      </c>
      <c r="D73" s="28" t="s">
        <v>100</v>
      </c>
      <c r="E73" s="28" t="s">
        <v>263</v>
      </c>
      <c r="F73" s="28" t="s">
        <v>113</v>
      </c>
      <c r="G73" s="28" t="s">
        <v>88</v>
      </c>
      <c r="H73" s="28" t="s">
        <v>181</v>
      </c>
      <c r="I73" s="37"/>
      <c r="J73" s="37">
        <v>4</v>
      </c>
      <c r="K73" s="41" t="str">
        <f>IF(tblIncidents[[#This Row],[Date]]="","",IF(OR(tblIncidents[[#This Row],[Classification]]="Other recordable",tblIncidents[[#This Row],[Classification]]="Restricted or transfer",tblIncidents[[#This Row],[Classification]]="Days away",tblIncidents[[#This Row],[Classification]]="Fatality"),"Yes","No"))</f>
        <v>Yes</v>
      </c>
      <c r="L73" s="41" t="str">
        <f>IF(tblIncidents[[#This Row],[Date]]="","",IF(OR(tblIncidents[[#This Row],[Classification]]="Restricted or transfer",tblIncidents[[#This Row],[Classification]]="Days away"),"Yes","No"))</f>
        <v>Yes</v>
      </c>
      <c r="M73" s="41" t="str">
        <f>IF(tblIncidents[[#This Row],[Date]]="","",IF(OR(tblIncidents[[#This Row],[Classification]]="Days away",tblIncidents[[#This Row],[Classification]]="Fatality"),"Yes","No"))</f>
        <v>No</v>
      </c>
      <c r="N73" s="42">
        <f>IF(tblIncidents[[#This Row],[Date]]="","",N(tblIncidents[[#This Row],[Days away]])+N(tblIncidents[[#This Row],[Days restricted]]))</f>
        <v>4</v>
      </c>
      <c r="O73" s="43" t="s">
        <v>182</v>
      </c>
      <c r="P73" s="43" t="s">
        <v>257</v>
      </c>
      <c r="Q73" s="29">
        <v>46010</v>
      </c>
      <c r="R73" s="29">
        <v>46009</v>
      </c>
      <c r="S73" s="41" t="str">
        <f>IF(tblIncidents[[#This Row],[Date]]="","",IF(tblIncidents[[#This Row],[Corrective action]]="","",IF(N(tblIncidents[[#This Row],[Action closed]])&gt;0,"Complete",IF(N(tblIncidents[[#This Row],[Action due]])=0,"Check",IF(tblIncidents[[#This Row],[Action due]]&lt;AsOf,"Overdue","In progress")))))</f>
        <v>Complete</v>
      </c>
      <c r="T7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4" spans="2:20">
      <c r="B74" s="28" t="s">
        <v>301</v>
      </c>
      <c r="C74" s="29">
        <v>45981</v>
      </c>
      <c r="D74" s="28" t="s">
        <v>106</v>
      </c>
      <c r="E74" s="28" t="s">
        <v>168</v>
      </c>
      <c r="F74" s="28" t="s">
        <v>116</v>
      </c>
      <c r="G74" s="28" t="s">
        <v>84</v>
      </c>
      <c r="H74" s="28" t="s">
        <v>176</v>
      </c>
      <c r="I74" s="37"/>
      <c r="J74" s="37"/>
      <c r="K74" s="41" t="str">
        <f>IF(tblIncidents[[#This Row],[Date]]="","",IF(OR(tblIncidents[[#This Row],[Classification]]="Other recordable",tblIncidents[[#This Row],[Classification]]="Restricted or transfer",tblIncidents[[#This Row],[Classification]]="Days away",tblIncidents[[#This Row],[Classification]]="Fatality"),"Yes","No"))</f>
        <v>No</v>
      </c>
      <c r="L74" s="41" t="str">
        <f>IF(tblIncidents[[#This Row],[Date]]="","",IF(OR(tblIncidents[[#This Row],[Classification]]="Restricted or transfer",tblIncidents[[#This Row],[Classification]]="Days away"),"Yes","No"))</f>
        <v>No</v>
      </c>
      <c r="M74" s="41" t="str">
        <f>IF(tblIncidents[[#This Row],[Date]]="","",IF(OR(tblIncidents[[#This Row],[Classification]]="Days away",tblIncidents[[#This Row],[Classification]]="Fatality"),"Yes","No"))</f>
        <v>No</v>
      </c>
      <c r="N74" s="42">
        <f>IF(tblIncidents[[#This Row],[Date]]="","",N(tblIncidents[[#This Row],[Days away]])+N(tblIncidents[[#This Row],[Days restricted]]))</f>
        <v>0</v>
      </c>
      <c r="O74" s="43" t="s">
        <v>224</v>
      </c>
      <c r="P74" s="43" t="s">
        <v>187</v>
      </c>
      <c r="Q74" s="29">
        <v>46026</v>
      </c>
      <c r="R74" s="29">
        <v>46024</v>
      </c>
      <c r="S74" s="41" t="str">
        <f>IF(tblIncidents[[#This Row],[Date]]="","",IF(tblIncidents[[#This Row],[Corrective action]]="","",IF(N(tblIncidents[[#This Row],[Action closed]])&gt;0,"Complete",IF(N(tblIncidents[[#This Row],[Action due]])=0,"Check",IF(tblIncidents[[#This Row],[Action due]]&lt;AsOf,"Overdue","In progress")))))</f>
        <v>Complete</v>
      </c>
      <c r="T7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5" spans="2:20">
      <c r="B75" s="28" t="s">
        <v>302</v>
      </c>
      <c r="C75" s="29">
        <v>45985</v>
      </c>
      <c r="D75" s="28" t="s">
        <v>100</v>
      </c>
      <c r="E75" s="28" t="s">
        <v>189</v>
      </c>
      <c r="F75" s="28" t="s">
        <v>113</v>
      </c>
      <c r="G75" s="28" t="s">
        <v>84</v>
      </c>
      <c r="H75" s="28" t="s">
        <v>200</v>
      </c>
      <c r="I75" s="37"/>
      <c r="J75" s="37"/>
      <c r="K75" s="41" t="str">
        <f>IF(tblIncidents[[#This Row],[Date]]="","",IF(OR(tblIncidents[[#This Row],[Classification]]="Other recordable",tblIncidents[[#This Row],[Classification]]="Restricted or transfer",tblIncidents[[#This Row],[Classification]]="Days away",tblIncidents[[#This Row],[Classification]]="Fatality"),"Yes","No"))</f>
        <v>No</v>
      </c>
      <c r="L75" s="41" t="str">
        <f>IF(tblIncidents[[#This Row],[Date]]="","",IF(OR(tblIncidents[[#This Row],[Classification]]="Restricted or transfer",tblIncidents[[#This Row],[Classification]]="Days away"),"Yes","No"))</f>
        <v>No</v>
      </c>
      <c r="M75" s="41" t="str">
        <f>IF(tblIncidents[[#This Row],[Date]]="","",IF(OR(tblIncidents[[#This Row],[Classification]]="Days away",tblIncidents[[#This Row],[Classification]]="Fatality"),"Yes","No"))</f>
        <v>No</v>
      </c>
      <c r="N75" s="42">
        <f>IF(tblIncidents[[#This Row],[Date]]="","",N(tblIncidents[[#This Row],[Days away]])+N(tblIncidents[[#This Row],[Days restricted]]))</f>
        <v>0</v>
      </c>
      <c r="O75" s="43" t="s">
        <v>256</v>
      </c>
      <c r="P75" s="43" t="s">
        <v>143</v>
      </c>
      <c r="Q75" s="29"/>
      <c r="R75" s="29"/>
      <c r="S75" s="41">
        <f>IF(tblIncidents[[#This Row],[Date]]="","",IF(tblIncidents[[#This Row],[Corrective action]]="","",IF(N(tblIncidents[[#This Row],[Action closed]])&gt;0,"Complete",IF(N(tblIncidents[[#This Row],[Action due]])=0,"Check",IF(tblIncidents[[#This Row],[Action due]]&lt;AsOf,"Overdue","In progress")))))</f>
        <v/>
      </c>
      <c r="T7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6" spans="2:20">
      <c r="B76" s="28" t="s">
        <v>303</v>
      </c>
      <c r="C76" s="29">
        <v>46006</v>
      </c>
      <c r="D76" s="28" t="s">
        <v>97</v>
      </c>
      <c r="E76" s="28" t="s">
        <v>160</v>
      </c>
      <c r="F76" s="28" t="s">
        <v>116</v>
      </c>
      <c r="G76" s="28" t="s">
        <v>84</v>
      </c>
      <c r="H76" s="28" t="s">
        <v>176</v>
      </c>
      <c r="I76" s="37"/>
      <c r="J76" s="37"/>
      <c r="K76" s="41" t="str">
        <f>IF(tblIncidents[[#This Row],[Date]]="","",IF(OR(tblIncidents[[#This Row],[Classification]]="Other recordable",tblIncidents[[#This Row],[Classification]]="Restricted or transfer",tblIncidents[[#This Row],[Classification]]="Days away",tblIncidents[[#This Row],[Classification]]="Fatality"),"Yes","No"))</f>
        <v>No</v>
      </c>
      <c r="L76" s="41" t="str">
        <f>IF(tblIncidents[[#This Row],[Date]]="","",IF(OR(tblIncidents[[#This Row],[Classification]]="Restricted or transfer",tblIncidents[[#This Row],[Classification]]="Days away"),"Yes","No"))</f>
        <v>No</v>
      </c>
      <c r="M76" s="41" t="str">
        <f>IF(tblIncidents[[#This Row],[Date]]="","",IF(OR(tblIncidents[[#This Row],[Classification]]="Days away",tblIncidents[[#This Row],[Classification]]="Fatality"),"Yes","No"))</f>
        <v>No</v>
      </c>
      <c r="N76" s="42">
        <f>IF(tblIncidents[[#This Row],[Date]]="","",N(tblIncidents[[#This Row],[Days away]])+N(tblIncidents[[#This Row],[Days restricted]]))</f>
        <v>0</v>
      </c>
      <c r="O76" s="43" t="s">
        <v>177</v>
      </c>
      <c r="P76" s="43" t="s">
        <v>187</v>
      </c>
      <c r="Q76" s="29">
        <v>46051</v>
      </c>
      <c r="R76" s="29">
        <v>46041</v>
      </c>
      <c r="S76" s="41" t="str">
        <f>IF(tblIncidents[[#This Row],[Date]]="","",IF(tblIncidents[[#This Row],[Corrective action]]="","",IF(N(tblIncidents[[#This Row],[Action closed]])&gt;0,"Complete",IF(N(tblIncidents[[#This Row],[Action due]])=0,"Check",IF(tblIncidents[[#This Row],[Action due]]&lt;AsOf,"Overdue","In progress")))))</f>
        <v>Complete</v>
      </c>
      <c r="T7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7" spans="2:20">
      <c r="B77" s="28" t="s">
        <v>304</v>
      </c>
      <c r="C77" s="29">
        <v>46012</v>
      </c>
      <c r="D77" s="28" t="s">
        <v>97</v>
      </c>
      <c r="E77" s="28" t="s">
        <v>214</v>
      </c>
      <c r="F77" s="28" t="s">
        <v>123</v>
      </c>
      <c r="G77" s="28" t="s">
        <v>82</v>
      </c>
      <c r="H77" s="28" t="s">
        <v>143</v>
      </c>
      <c r="I77" s="37"/>
      <c r="J77" s="37"/>
      <c r="K77" s="41" t="str">
        <f>IF(tblIncidents[[#This Row],[Date]]="","",IF(OR(tblIncidents[[#This Row],[Classification]]="Other recordable",tblIncidents[[#This Row],[Classification]]="Restricted or transfer",tblIncidents[[#This Row],[Classification]]="Days away",tblIncidents[[#This Row],[Classification]]="Fatality"),"Yes","No"))</f>
        <v>No</v>
      </c>
      <c r="L77" s="41" t="str">
        <f>IF(tblIncidents[[#This Row],[Date]]="","",IF(OR(tblIncidents[[#This Row],[Classification]]="Restricted or transfer",tblIncidents[[#This Row],[Classification]]="Days away"),"Yes","No"))</f>
        <v>No</v>
      </c>
      <c r="M77" s="41" t="str">
        <f>IF(tblIncidents[[#This Row],[Date]]="","",IF(OR(tblIncidents[[#This Row],[Classification]]="Days away",tblIncidents[[#This Row],[Classification]]="Fatality"),"Yes","No"))</f>
        <v>No</v>
      </c>
      <c r="N77" s="42">
        <f>IF(tblIncidents[[#This Row],[Date]]="","",N(tblIncidents[[#This Row],[Days away]])+N(tblIncidents[[#This Row],[Days restricted]]))</f>
        <v>0</v>
      </c>
      <c r="O77" s="43" t="s">
        <v>233</v>
      </c>
      <c r="P77" s="43" t="s">
        <v>278</v>
      </c>
      <c r="Q77" s="29">
        <v>46026</v>
      </c>
      <c r="R77" s="29">
        <v>46025</v>
      </c>
      <c r="S77" s="41" t="str">
        <f>IF(tblIncidents[[#This Row],[Date]]="","",IF(tblIncidents[[#This Row],[Corrective action]]="","",IF(N(tblIncidents[[#This Row],[Action closed]])&gt;0,"Complete",IF(N(tblIncidents[[#This Row],[Action due]])=0,"Check",IF(tblIncidents[[#This Row],[Action due]]&lt;AsOf,"Overdue","In progress")))))</f>
        <v>Complete</v>
      </c>
      <c r="T7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8" spans="2:20">
      <c r="B78" s="28" t="s">
        <v>305</v>
      </c>
      <c r="C78" s="29">
        <v>46017</v>
      </c>
      <c r="D78" s="28" t="s">
        <v>103</v>
      </c>
      <c r="E78" s="28" t="s">
        <v>222</v>
      </c>
      <c r="F78" s="28" t="s">
        <v>123</v>
      </c>
      <c r="G78" s="28" t="s">
        <v>82</v>
      </c>
      <c r="H78" s="28" t="s">
        <v>143</v>
      </c>
      <c r="I78" s="37"/>
      <c r="J78" s="37"/>
      <c r="K78" s="41" t="str">
        <f>IF(tblIncidents[[#This Row],[Date]]="","",IF(OR(tblIncidents[[#This Row],[Classification]]="Other recordable",tblIncidents[[#This Row],[Classification]]="Restricted or transfer",tblIncidents[[#This Row],[Classification]]="Days away",tblIncidents[[#This Row],[Classification]]="Fatality"),"Yes","No"))</f>
        <v>No</v>
      </c>
      <c r="L78" s="41" t="str">
        <f>IF(tblIncidents[[#This Row],[Date]]="","",IF(OR(tblIncidents[[#This Row],[Classification]]="Restricted or transfer",tblIncidents[[#This Row],[Classification]]="Days away"),"Yes","No"))</f>
        <v>No</v>
      </c>
      <c r="M78" s="41" t="str">
        <f>IF(tblIncidents[[#This Row],[Date]]="","",IF(OR(tblIncidents[[#This Row],[Classification]]="Days away",tblIncidents[[#This Row],[Classification]]="Fatality"),"Yes","No"))</f>
        <v>No</v>
      </c>
      <c r="N78" s="42">
        <f>IF(tblIncidents[[#This Row],[Date]]="","",N(tblIncidents[[#This Row],[Days away]])+N(tblIncidents[[#This Row],[Days restricted]]))</f>
        <v>0</v>
      </c>
      <c r="O78" s="43" t="s">
        <v>233</v>
      </c>
      <c r="P78" s="43" t="s">
        <v>241</v>
      </c>
      <c r="Q78" s="29">
        <v>46062</v>
      </c>
      <c r="R78" s="29">
        <v>46052</v>
      </c>
      <c r="S78" s="41" t="str">
        <f>IF(tblIncidents[[#This Row],[Date]]="","",IF(tblIncidents[[#This Row],[Corrective action]]="","",IF(N(tblIncidents[[#This Row],[Action closed]])&gt;0,"Complete",IF(N(tblIncidents[[#This Row],[Action due]])=0,"Check",IF(tblIncidents[[#This Row],[Action due]]&lt;AsOf,"Overdue","In progress")))))</f>
        <v>Complete</v>
      </c>
      <c r="T7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79" spans="2:20">
      <c r="B79" s="28" t="s">
        <v>306</v>
      </c>
      <c r="C79" s="29">
        <v>46020</v>
      </c>
      <c r="D79" s="28" t="s">
        <v>97</v>
      </c>
      <c r="E79" s="28" t="s">
        <v>165</v>
      </c>
      <c r="F79" s="28" t="s">
        <v>121</v>
      </c>
      <c r="G79" s="28" t="s">
        <v>82</v>
      </c>
      <c r="H79" s="28" t="s">
        <v>143</v>
      </c>
      <c r="I79" s="37"/>
      <c r="J79" s="37"/>
      <c r="K79" s="41" t="str">
        <f>IF(tblIncidents[[#This Row],[Date]]="","",IF(OR(tblIncidents[[#This Row],[Classification]]="Other recordable",tblIncidents[[#This Row],[Classification]]="Restricted or transfer",tblIncidents[[#This Row],[Classification]]="Days away",tblIncidents[[#This Row],[Classification]]="Fatality"),"Yes","No"))</f>
        <v>No</v>
      </c>
      <c r="L79" s="41" t="str">
        <f>IF(tblIncidents[[#This Row],[Date]]="","",IF(OR(tblIncidents[[#This Row],[Classification]]="Restricted or transfer",tblIncidents[[#This Row],[Classification]]="Days away"),"Yes","No"))</f>
        <v>No</v>
      </c>
      <c r="M79" s="41" t="str">
        <f>IF(tblIncidents[[#This Row],[Date]]="","",IF(OR(tblIncidents[[#This Row],[Classification]]="Days away",tblIncidents[[#This Row],[Classification]]="Fatality"),"Yes","No"))</f>
        <v>No</v>
      </c>
      <c r="N79" s="42">
        <f>IF(tblIncidents[[#This Row],[Date]]="","",N(tblIncidents[[#This Row],[Days away]])+N(tblIncidents[[#This Row],[Days restricted]]))</f>
        <v>0</v>
      </c>
      <c r="O79" s="43" t="s">
        <v>203</v>
      </c>
      <c r="P79" s="43" t="s">
        <v>204</v>
      </c>
      <c r="Q79" s="29">
        <v>46034</v>
      </c>
      <c r="R79" s="29">
        <v>46024</v>
      </c>
      <c r="S79" s="41" t="str">
        <f>IF(tblIncidents[[#This Row],[Date]]="","",IF(tblIncidents[[#This Row],[Corrective action]]="","",IF(N(tblIncidents[[#This Row],[Action closed]])&gt;0,"Complete",IF(N(tblIncidents[[#This Row],[Action due]])=0,"Check",IF(tblIncidents[[#This Row],[Action due]]&lt;AsOf,"Overdue","In progress")))))</f>
        <v>Complete</v>
      </c>
      <c r="T7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0" spans="2:20">
      <c r="B80" s="28" t="s">
        <v>307</v>
      </c>
      <c r="C80" s="29">
        <v>46028</v>
      </c>
      <c r="D80" s="28" t="s">
        <v>100</v>
      </c>
      <c r="E80" s="28" t="s">
        <v>180</v>
      </c>
      <c r="F80" s="28" t="s">
        <v>113</v>
      </c>
      <c r="G80" s="28" t="s">
        <v>82</v>
      </c>
      <c r="H80" s="28" t="s">
        <v>143</v>
      </c>
      <c r="I80" s="37"/>
      <c r="J80" s="37"/>
      <c r="K80" s="41" t="str">
        <f>IF(tblIncidents[[#This Row],[Date]]="","",IF(OR(tblIncidents[[#This Row],[Classification]]="Other recordable",tblIncidents[[#This Row],[Classification]]="Restricted or transfer",tblIncidents[[#This Row],[Classification]]="Days away",tblIncidents[[#This Row],[Classification]]="Fatality"),"Yes","No"))</f>
        <v>No</v>
      </c>
      <c r="L80" s="41" t="str">
        <f>IF(tblIncidents[[#This Row],[Date]]="","",IF(OR(tblIncidents[[#This Row],[Classification]]="Restricted or transfer",tblIncidents[[#This Row],[Classification]]="Days away"),"Yes","No"))</f>
        <v>No</v>
      </c>
      <c r="M80" s="41" t="str">
        <f>IF(tblIncidents[[#This Row],[Date]]="","",IF(OR(tblIncidents[[#This Row],[Classification]]="Days away",tblIncidents[[#This Row],[Classification]]="Fatality"),"Yes","No"))</f>
        <v>No</v>
      </c>
      <c r="N80" s="42">
        <f>IF(tblIncidents[[#This Row],[Date]]="","",N(tblIncidents[[#This Row],[Days away]])+N(tblIncidents[[#This Row],[Days restricted]]))</f>
        <v>0</v>
      </c>
      <c r="O80" s="43" t="s">
        <v>256</v>
      </c>
      <c r="P80" s="43" t="s">
        <v>257</v>
      </c>
      <c r="Q80" s="29">
        <v>46073</v>
      </c>
      <c r="R80" s="29">
        <v>46068</v>
      </c>
      <c r="S80" s="41" t="str">
        <f>IF(tblIncidents[[#This Row],[Date]]="","",IF(tblIncidents[[#This Row],[Corrective action]]="","",IF(N(tblIncidents[[#This Row],[Action closed]])&gt;0,"Complete",IF(N(tblIncidents[[#This Row],[Action due]])=0,"Check",IF(tblIncidents[[#This Row],[Action due]]&lt;AsOf,"Overdue","In progress")))))</f>
        <v>Complete</v>
      </c>
      <c r="T8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1" spans="2:20">
      <c r="B81" s="28" t="s">
        <v>308</v>
      </c>
      <c r="C81" s="29">
        <v>46032</v>
      </c>
      <c r="D81" s="28" t="s">
        <v>103</v>
      </c>
      <c r="E81" s="28" t="s">
        <v>250</v>
      </c>
      <c r="F81" s="28" t="s">
        <v>116</v>
      </c>
      <c r="G81" s="28" t="s">
        <v>86</v>
      </c>
      <c r="H81" s="28" t="s">
        <v>223</v>
      </c>
      <c r="I81" s="37"/>
      <c r="J81" s="37"/>
      <c r="K81" s="41" t="str">
        <f>IF(tblIncidents[[#This Row],[Date]]="","",IF(OR(tblIncidents[[#This Row],[Classification]]="Other recordable",tblIncidents[[#This Row],[Classification]]="Restricted or transfer",tblIncidents[[#This Row],[Classification]]="Days away",tblIncidents[[#This Row],[Classification]]="Fatality"),"Yes","No"))</f>
        <v>Yes</v>
      </c>
      <c r="L81" s="41" t="str">
        <f>IF(tblIncidents[[#This Row],[Date]]="","",IF(OR(tblIncidents[[#This Row],[Classification]]="Restricted or transfer",tblIncidents[[#This Row],[Classification]]="Days away"),"Yes","No"))</f>
        <v>No</v>
      </c>
      <c r="M81" s="41" t="str">
        <f>IF(tblIncidents[[#This Row],[Date]]="","",IF(OR(tblIncidents[[#This Row],[Classification]]="Days away",tblIncidents[[#This Row],[Classification]]="Fatality"),"Yes","No"))</f>
        <v>No</v>
      </c>
      <c r="N81" s="42">
        <f>IF(tblIncidents[[#This Row],[Date]]="","",N(tblIncidents[[#This Row],[Days away]])+N(tblIncidents[[#This Row],[Days restricted]]))</f>
        <v>0</v>
      </c>
      <c r="O81" s="43" t="s">
        <v>224</v>
      </c>
      <c r="P81" s="43" t="s">
        <v>187</v>
      </c>
      <c r="Q81" s="29">
        <v>46077</v>
      </c>
      <c r="R81" s="29">
        <v>46070</v>
      </c>
      <c r="S81" s="41" t="str">
        <f>IF(tblIncidents[[#This Row],[Date]]="","",IF(tblIncidents[[#This Row],[Corrective action]]="","",IF(N(tblIncidents[[#This Row],[Action closed]])&gt;0,"Complete",IF(N(tblIncidents[[#This Row],[Action due]])=0,"Check",IF(tblIncidents[[#This Row],[Action due]]&lt;AsOf,"Overdue","In progress")))))</f>
        <v>Complete</v>
      </c>
      <c r="T8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2" spans="2:20">
      <c r="B82" s="28" t="s">
        <v>309</v>
      </c>
      <c r="C82" s="29">
        <v>46038</v>
      </c>
      <c r="D82" s="28" t="s">
        <v>97</v>
      </c>
      <c r="E82" s="28" t="s">
        <v>214</v>
      </c>
      <c r="F82" s="28" t="s">
        <v>121</v>
      </c>
      <c r="G82" s="28" t="s">
        <v>84</v>
      </c>
      <c r="H82" s="28" t="s">
        <v>237</v>
      </c>
      <c r="I82" s="37"/>
      <c r="J82" s="37"/>
      <c r="K82" s="41" t="str">
        <f>IF(tblIncidents[[#This Row],[Date]]="","",IF(OR(tblIncidents[[#This Row],[Classification]]="Other recordable",tblIncidents[[#This Row],[Classification]]="Restricted or transfer",tblIncidents[[#This Row],[Classification]]="Days away",tblIncidents[[#This Row],[Classification]]="Fatality"),"Yes","No"))</f>
        <v>No</v>
      </c>
      <c r="L82" s="41" t="str">
        <f>IF(tblIncidents[[#This Row],[Date]]="","",IF(OR(tblIncidents[[#This Row],[Classification]]="Restricted or transfer",tblIncidents[[#This Row],[Classification]]="Days away"),"Yes","No"))</f>
        <v>No</v>
      </c>
      <c r="M82" s="41" t="str">
        <f>IF(tblIncidents[[#This Row],[Date]]="","",IF(OR(tblIncidents[[#This Row],[Classification]]="Days away",tblIncidents[[#This Row],[Classification]]="Fatality"),"Yes","No"))</f>
        <v>No</v>
      </c>
      <c r="N82" s="42">
        <f>IF(tblIncidents[[#This Row],[Date]]="","",N(tblIncidents[[#This Row],[Days away]])+N(tblIncidents[[#This Row],[Days restricted]]))</f>
        <v>0</v>
      </c>
      <c r="O82" s="43" t="s">
        <v>203</v>
      </c>
      <c r="P82" s="43" t="s">
        <v>265</v>
      </c>
      <c r="Q82" s="29">
        <v>46068</v>
      </c>
      <c r="R82" s="29">
        <v>46068</v>
      </c>
      <c r="S82" s="41" t="str">
        <f>IF(tblIncidents[[#This Row],[Date]]="","",IF(tblIncidents[[#This Row],[Corrective action]]="","",IF(N(tblIncidents[[#This Row],[Action closed]])&gt;0,"Complete",IF(N(tblIncidents[[#This Row],[Action due]])=0,"Check",IF(tblIncidents[[#This Row],[Action due]]&lt;AsOf,"Overdue","In progress")))))</f>
        <v>Complete</v>
      </c>
      <c r="T8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3" spans="2:20">
      <c r="B83" s="28" t="s">
        <v>310</v>
      </c>
      <c r="C83" s="29">
        <v>46041</v>
      </c>
      <c r="D83" s="28" t="s">
        <v>97</v>
      </c>
      <c r="E83" s="28" t="s">
        <v>165</v>
      </c>
      <c r="F83" s="28" t="s">
        <v>123</v>
      </c>
      <c r="G83" s="28" t="s">
        <v>82</v>
      </c>
      <c r="H83" s="28" t="s">
        <v>143</v>
      </c>
      <c r="I83" s="37"/>
      <c r="J83" s="37"/>
      <c r="K83" s="41" t="str">
        <f>IF(tblIncidents[[#This Row],[Date]]="","",IF(OR(tblIncidents[[#This Row],[Classification]]="Other recordable",tblIncidents[[#This Row],[Classification]]="Restricted or transfer",tblIncidents[[#This Row],[Classification]]="Days away",tblIncidents[[#This Row],[Classification]]="Fatality"),"Yes","No"))</f>
        <v>No</v>
      </c>
      <c r="L83" s="41" t="str">
        <f>IF(tblIncidents[[#This Row],[Date]]="","",IF(OR(tblIncidents[[#This Row],[Classification]]="Restricted or transfer",tblIncidents[[#This Row],[Classification]]="Days away"),"Yes","No"))</f>
        <v>No</v>
      </c>
      <c r="M83" s="41" t="str">
        <f>IF(tblIncidents[[#This Row],[Date]]="","",IF(OR(tblIncidents[[#This Row],[Classification]]="Days away",tblIncidents[[#This Row],[Classification]]="Fatality"),"Yes","No"))</f>
        <v>No</v>
      </c>
      <c r="N83" s="42">
        <f>IF(tblIncidents[[#This Row],[Date]]="","",N(tblIncidents[[#This Row],[Days away]])+N(tblIncidents[[#This Row],[Days restricted]]))</f>
        <v>0</v>
      </c>
      <c r="O83" s="43" t="s">
        <v>252</v>
      </c>
      <c r="P83" s="43" t="s">
        <v>241</v>
      </c>
      <c r="Q83" s="29">
        <v>46062</v>
      </c>
      <c r="R83" s="29">
        <v>46058</v>
      </c>
      <c r="S83" s="41" t="str">
        <f>IF(tblIncidents[[#This Row],[Date]]="","",IF(tblIncidents[[#This Row],[Corrective action]]="","",IF(N(tblIncidents[[#This Row],[Action closed]])&gt;0,"Complete",IF(N(tblIncidents[[#This Row],[Action due]])=0,"Check",IF(tblIncidents[[#This Row],[Action due]]&lt;AsOf,"Overdue","In progress")))))</f>
        <v>Complete</v>
      </c>
      <c r="T8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4" spans="2:20">
      <c r="B84" s="28" t="s">
        <v>311</v>
      </c>
      <c r="C84" s="29">
        <v>46052</v>
      </c>
      <c r="D84" s="28" t="s">
        <v>100</v>
      </c>
      <c r="E84" s="28" t="s">
        <v>263</v>
      </c>
      <c r="F84" s="28" t="s">
        <v>113</v>
      </c>
      <c r="G84" s="28" t="s">
        <v>84</v>
      </c>
      <c r="H84" s="28" t="s">
        <v>181</v>
      </c>
      <c r="I84" s="37"/>
      <c r="J84" s="37"/>
      <c r="K84" s="41" t="str">
        <f>IF(tblIncidents[[#This Row],[Date]]="","",IF(OR(tblIncidents[[#This Row],[Classification]]="Other recordable",tblIncidents[[#This Row],[Classification]]="Restricted or transfer",tblIncidents[[#This Row],[Classification]]="Days away",tblIncidents[[#This Row],[Classification]]="Fatality"),"Yes","No"))</f>
        <v>No</v>
      </c>
      <c r="L84" s="41" t="str">
        <f>IF(tblIncidents[[#This Row],[Date]]="","",IF(OR(tblIncidents[[#This Row],[Classification]]="Restricted or transfer",tblIncidents[[#This Row],[Classification]]="Days away"),"Yes","No"))</f>
        <v>No</v>
      </c>
      <c r="M84" s="41" t="str">
        <f>IF(tblIncidents[[#This Row],[Date]]="","",IF(OR(tblIncidents[[#This Row],[Classification]]="Days away",tblIncidents[[#This Row],[Classification]]="Fatality"),"Yes","No"))</f>
        <v>No</v>
      </c>
      <c r="N84" s="42">
        <f>IF(tblIncidents[[#This Row],[Date]]="","",N(tblIncidents[[#This Row],[Days away]])+N(tblIncidents[[#This Row],[Days restricted]]))</f>
        <v>0</v>
      </c>
      <c r="O84" s="43" t="s">
        <v>211</v>
      </c>
      <c r="P84" s="43" t="s">
        <v>143</v>
      </c>
      <c r="Q84" s="29"/>
      <c r="R84" s="29"/>
      <c r="S84" s="41">
        <f>IF(tblIncidents[[#This Row],[Date]]="","",IF(tblIncidents[[#This Row],[Corrective action]]="","",IF(N(tblIncidents[[#This Row],[Action closed]])&gt;0,"Complete",IF(N(tblIncidents[[#This Row],[Action due]])=0,"Check",IF(tblIncidents[[#This Row],[Action due]]&lt;AsOf,"Overdue","In progress")))))</f>
        <v/>
      </c>
      <c r="T8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5" spans="2:20">
      <c r="B85" s="28" t="s">
        <v>312</v>
      </c>
      <c r="C85" s="29">
        <v>46062</v>
      </c>
      <c r="D85" s="28" t="s">
        <v>100</v>
      </c>
      <c r="E85" s="28" t="s">
        <v>202</v>
      </c>
      <c r="F85" s="28" t="s">
        <v>131</v>
      </c>
      <c r="G85" s="28" t="s">
        <v>82</v>
      </c>
      <c r="H85" s="28" t="s">
        <v>143</v>
      </c>
      <c r="I85" s="37"/>
      <c r="J85" s="37"/>
      <c r="K85" s="41" t="str">
        <f>IF(tblIncidents[[#This Row],[Date]]="","",IF(OR(tblIncidents[[#This Row],[Classification]]="Other recordable",tblIncidents[[#This Row],[Classification]]="Restricted or transfer",tblIncidents[[#This Row],[Classification]]="Days away",tblIncidents[[#This Row],[Classification]]="Fatality"),"Yes","No"))</f>
        <v>No</v>
      </c>
      <c r="L85" s="41" t="str">
        <f>IF(tblIncidents[[#This Row],[Date]]="","",IF(OR(tblIncidents[[#This Row],[Classification]]="Restricted or transfer",tblIncidents[[#This Row],[Classification]]="Days away"),"Yes","No"))</f>
        <v>No</v>
      </c>
      <c r="M85" s="41" t="str">
        <f>IF(tblIncidents[[#This Row],[Date]]="","",IF(OR(tblIncidents[[#This Row],[Classification]]="Days away",tblIncidents[[#This Row],[Classification]]="Fatality"),"Yes","No"))</f>
        <v>No</v>
      </c>
      <c r="N85" s="42">
        <f>IF(tblIncidents[[#This Row],[Date]]="","",N(tblIncidents[[#This Row],[Days away]])+N(tblIncidents[[#This Row],[Days restricted]]))</f>
        <v>0</v>
      </c>
      <c r="O85" s="43" t="s">
        <v>197</v>
      </c>
      <c r="P85" s="43" t="s">
        <v>198</v>
      </c>
      <c r="Q85" s="29">
        <v>46076</v>
      </c>
      <c r="R85" s="29">
        <v>46073</v>
      </c>
      <c r="S85" s="41" t="str">
        <f>IF(tblIncidents[[#This Row],[Date]]="","",IF(tblIncidents[[#This Row],[Corrective action]]="","",IF(N(tblIncidents[[#This Row],[Action closed]])&gt;0,"Complete",IF(N(tblIncidents[[#This Row],[Action due]])=0,"Check",IF(tblIncidents[[#This Row],[Action due]]&lt;AsOf,"Overdue","In progress")))))</f>
        <v>Complete</v>
      </c>
      <c r="T8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6" spans="2:20">
      <c r="B86" s="28" t="s">
        <v>313</v>
      </c>
      <c r="C86" s="29">
        <v>46076</v>
      </c>
      <c r="D86" s="28" t="s">
        <v>97</v>
      </c>
      <c r="E86" s="28" t="s">
        <v>254</v>
      </c>
      <c r="F86" s="28" t="s">
        <v>121</v>
      </c>
      <c r="G86" s="28" t="s">
        <v>84</v>
      </c>
      <c r="H86" s="28" t="s">
        <v>237</v>
      </c>
      <c r="I86" s="37"/>
      <c r="J86" s="37"/>
      <c r="K86" s="41" t="str">
        <f>IF(tblIncidents[[#This Row],[Date]]="","",IF(OR(tblIncidents[[#This Row],[Classification]]="Other recordable",tblIncidents[[#This Row],[Classification]]="Restricted or transfer",tblIncidents[[#This Row],[Classification]]="Days away",tblIncidents[[#This Row],[Classification]]="Fatality"),"Yes","No"))</f>
        <v>No</v>
      </c>
      <c r="L86" s="41" t="str">
        <f>IF(tblIncidents[[#This Row],[Date]]="","",IF(OR(tblIncidents[[#This Row],[Classification]]="Restricted or transfer",tblIncidents[[#This Row],[Classification]]="Days away"),"Yes","No"))</f>
        <v>No</v>
      </c>
      <c r="M86" s="41" t="str">
        <f>IF(tblIncidents[[#This Row],[Date]]="","",IF(OR(tblIncidents[[#This Row],[Classification]]="Days away",tblIncidents[[#This Row],[Classification]]="Fatality"),"Yes","No"))</f>
        <v>No</v>
      </c>
      <c r="N86" s="42">
        <f>IF(tblIncidents[[#This Row],[Date]]="","",N(tblIncidents[[#This Row],[Days away]])+N(tblIncidents[[#This Row],[Days restricted]]))</f>
        <v>0</v>
      </c>
      <c r="O86" s="43" t="s">
        <v>191</v>
      </c>
      <c r="P86" s="43" t="s">
        <v>143</v>
      </c>
      <c r="Q86" s="29"/>
      <c r="R86" s="29"/>
      <c r="S86" s="41">
        <f>IF(tblIncidents[[#This Row],[Date]]="","",IF(tblIncidents[[#This Row],[Corrective action]]="","",IF(N(tblIncidents[[#This Row],[Action closed]])&gt;0,"Complete",IF(N(tblIncidents[[#This Row],[Action due]])=0,"Check",IF(tblIncidents[[#This Row],[Action due]]&lt;AsOf,"Overdue","In progress")))))</f>
        <v/>
      </c>
      <c r="T8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7" spans="2:20">
      <c r="B87" s="28" t="s">
        <v>314</v>
      </c>
      <c r="C87" s="29">
        <v>46077</v>
      </c>
      <c r="D87" s="28" t="s">
        <v>97</v>
      </c>
      <c r="E87" s="28" t="s">
        <v>254</v>
      </c>
      <c r="F87" s="28" t="s">
        <v>110</v>
      </c>
      <c r="G87" s="28" t="s">
        <v>82</v>
      </c>
      <c r="H87" s="28" t="s">
        <v>143</v>
      </c>
      <c r="I87" s="37"/>
      <c r="J87" s="37"/>
      <c r="K87" s="41" t="str">
        <f>IF(tblIncidents[[#This Row],[Date]]="","",IF(OR(tblIncidents[[#This Row],[Classification]]="Other recordable",tblIncidents[[#This Row],[Classification]]="Restricted or transfer",tblIncidents[[#This Row],[Classification]]="Days away",tblIncidents[[#This Row],[Classification]]="Fatality"),"Yes","No"))</f>
        <v>No</v>
      </c>
      <c r="L87" s="41" t="str">
        <f>IF(tblIncidents[[#This Row],[Date]]="","",IF(OR(tblIncidents[[#This Row],[Classification]]="Restricted or transfer",tblIncidents[[#This Row],[Classification]]="Days away"),"Yes","No"))</f>
        <v>No</v>
      </c>
      <c r="M87" s="41" t="str">
        <f>IF(tblIncidents[[#This Row],[Date]]="","",IF(OR(tblIncidents[[#This Row],[Classification]]="Days away",tblIncidents[[#This Row],[Classification]]="Fatality"),"Yes","No"))</f>
        <v>No</v>
      </c>
      <c r="N87" s="42">
        <f>IF(tblIncidents[[#This Row],[Date]]="","",N(tblIncidents[[#This Row],[Days away]])+N(tblIncidents[[#This Row],[Days restricted]]))</f>
        <v>0</v>
      </c>
      <c r="O87" s="43" t="s">
        <v>162</v>
      </c>
      <c r="P87" s="43" t="s">
        <v>163</v>
      </c>
      <c r="Q87" s="29">
        <v>46091</v>
      </c>
      <c r="R87" s="29">
        <v>46091</v>
      </c>
      <c r="S87" s="41" t="str">
        <f>IF(tblIncidents[[#This Row],[Date]]="","",IF(tblIncidents[[#This Row],[Corrective action]]="","",IF(N(tblIncidents[[#This Row],[Action closed]])&gt;0,"Complete",IF(N(tblIncidents[[#This Row],[Action due]])=0,"Check",IF(tblIncidents[[#This Row],[Action due]]&lt;AsOf,"Overdue","In progress")))))</f>
        <v>Complete</v>
      </c>
      <c r="T8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8" spans="2:20">
      <c r="B88" s="28" t="s">
        <v>315</v>
      </c>
      <c r="C88" s="29">
        <v>46080</v>
      </c>
      <c r="D88" s="28" t="s">
        <v>106</v>
      </c>
      <c r="E88" s="28" t="s">
        <v>168</v>
      </c>
      <c r="F88" s="28" t="s">
        <v>119</v>
      </c>
      <c r="G88" s="28" t="s">
        <v>84</v>
      </c>
      <c r="H88" s="28" t="s">
        <v>284</v>
      </c>
      <c r="I88" s="37"/>
      <c r="J88" s="37"/>
      <c r="K88" s="41" t="str">
        <f>IF(tblIncidents[[#This Row],[Date]]="","",IF(OR(tblIncidents[[#This Row],[Classification]]="Other recordable",tblIncidents[[#This Row],[Classification]]="Restricted or transfer",tblIncidents[[#This Row],[Classification]]="Days away",tblIncidents[[#This Row],[Classification]]="Fatality"),"Yes","No"))</f>
        <v>No</v>
      </c>
      <c r="L88" s="41" t="str">
        <f>IF(tblIncidents[[#This Row],[Date]]="","",IF(OR(tblIncidents[[#This Row],[Classification]]="Restricted or transfer",tblIncidents[[#This Row],[Classification]]="Days away"),"Yes","No"))</f>
        <v>No</v>
      </c>
      <c r="M88" s="41" t="str">
        <f>IF(tblIncidents[[#This Row],[Date]]="","",IF(OR(tblIncidents[[#This Row],[Classification]]="Days away",tblIncidents[[#This Row],[Classification]]="Fatality"),"Yes","No"))</f>
        <v>No</v>
      </c>
      <c r="N88" s="42">
        <f>IF(tblIncidents[[#This Row],[Date]]="","",N(tblIncidents[[#This Row],[Days away]])+N(tblIncidents[[#This Row],[Days restricted]]))</f>
        <v>0</v>
      </c>
      <c r="O88" s="43" t="s">
        <v>169</v>
      </c>
      <c r="P88" s="43" t="s">
        <v>170</v>
      </c>
      <c r="Q88" s="29">
        <v>46125</v>
      </c>
      <c r="R88" s="29">
        <v>46123</v>
      </c>
      <c r="S88" s="41" t="str">
        <f>IF(tblIncidents[[#This Row],[Date]]="","",IF(tblIncidents[[#This Row],[Corrective action]]="","",IF(N(tblIncidents[[#This Row],[Action closed]])&gt;0,"Complete",IF(N(tblIncidents[[#This Row],[Action due]])=0,"Check",IF(tblIncidents[[#This Row],[Action due]]&lt;AsOf,"Overdue","In progress")))))</f>
        <v>Complete</v>
      </c>
      <c r="T8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89" spans="2:20">
      <c r="B89" s="28" t="s">
        <v>316</v>
      </c>
      <c r="C89" s="29">
        <v>46081</v>
      </c>
      <c r="D89" s="28" t="s">
        <v>106</v>
      </c>
      <c r="E89" s="28" t="s">
        <v>168</v>
      </c>
      <c r="F89" s="28" t="s">
        <v>119</v>
      </c>
      <c r="G89" s="28" t="s">
        <v>84</v>
      </c>
      <c r="H89" s="28" t="s">
        <v>284</v>
      </c>
      <c r="I89" s="37"/>
      <c r="J89" s="37"/>
      <c r="K89" s="41" t="str">
        <f>IF(tblIncidents[[#This Row],[Date]]="","",IF(OR(tblIncidents[[#This Row],[Classification]]="Other recordable",tblIncidents[[#This Row],[Classification]]="Restricted or transfer",tblIncidents[[#This Row],[Classification]]="Days away",tblIncidents[[#This Row],[Classification]]="Fatality"),"Yes","No"))</f>
        <v>No</v>
      </c>
      <c r="L89" s="41" t="str">
        <f>IF(tblIncidents[[#This Row],[Date]]="","",IF(OR(tblIncidents[[#This Row],[Classification]]="Restricted or transfer",tblIncidents[[#This Row],[Classification]]="Days away"),"Yes","No"))</f>
        <v>No</v>
      </c>
      <c r="M89" s="41" t="str">
        <f>IF(tblIncidents[[#This Row],[Date]]="","",IF(OR(tblIncidents[[#This Row],[Classification]]="Days away",tblIncidents[[#This Row],[Classification]]="Fatality"),"Yes","No"))</f>
        <v>No</v>
      </c>
      <c r="N89" s="42">
        <f>IF(tblIncidents[[#This Row],[Date]]="","",N(tblIncidents[[#This Row],[Days away]])+N(tblIncidents[[#This Row],[Days restricted]]))</f>
        <v>0</v>
      </c>
      <c r="O89" s="43" t="s">
        <v>169</v>
      </c>
      <c r="P89" s="43" t="s">
        <v>285</v>
      </c>
      <c r="Q89" s="29">
        <v>46111</v>
      </c>
      <c r="R89" s="29">
        <v>46109</v>
      </c>
      <c r="S89" s="41" t="str">
        <f>IF(tblIncidents[[#This Row],[Date]]="","",IF(tblIncidents[[#This Row],[Corrective action]]="","",IF(N(tblIncidents[[#This Row],[Action closed]])&gt;0,"Complete",IF(N(tblIncidents[[#This Row],[Action due]])=0,"Check",IF(tblIncidents[[#This Row],[Action due]]&lt;AsOf,"Overdue","In progress")))))</f>
        <v>Complete</v>
      </c>
      <c r="T8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0" spans="2:20">
      <c r="B90" s="28" t="s">
        <v>317</v>
      </c>
      <c r="C90" s="29">
        <v>46083</v>
      </c>
      <c r="D90" s="28" t="s">
        <v>100</v>
      </c>
      <c r="E90" s="28" t="s">
        <v>263</v>
      </c>
      <c r="F90" s="28" t="s">
        <v>113</v>
      </c>
      <c r="G90" s="28" t="s">
        <v>82</v>
      </c>
      <c r="H90" s="28" t="s">
        <v>143</v>
      </c>
      <c r="I90" s="37"/>
      <c r="J90" s="37"/>
      <c r="K90" s="41" t="str">
        <f>IF(tblIncidents[[#This Row],[Date]]="","",IF(OR(tblIncidents[[#This Row],[Classification]]="Other recordable",tblIncidents[[#This Row],[Classification]]="Restricted or transfer",tblIncidents[[#This Row],[Classification]]="Days away",tblIncidents[[#This Row],[Classification]]="Fatality"),"Yes","No"))</f>
        <v>No</v>
      </c>
      <c r="L90" s="41" t="str">
        <f>IF(tblIncidents[[#This Row],[Date]]="","",IF(OR(tblIncidents[[#This Row],[Classification]]="Restricted or transfer",tblIncidents[[#This Row],[Classification]]="Days away"),"Yes","No"))</f>
        <v>No</v>
      </c>
      <c r="M90" s="41" t="str">
        <f>IF(tblIncidents[[#This Row],[Date]]="","",IF(OR(tblIncidents[[#This Row],[Classification]]="Days away",tblIncidents[[#This Row],[Classification]]="Fatality"),"Yes","No"))</f>
        <v>No</v>
      </c>
      <c r="N90" s="42">
        <f>IF(tblIncidents[[#This Row],[Date]]="","",N(tblIncidents[[#This Row],[Days away]])+N(tblIncidents[[#This Row],[Days restricted]]))</f>
        <v>0</v>
      </c>
      <c r="O90" s="43" t="s">
        <v>211</v>
      </c>
      <c r="P90" s="43" t="s">
        <v>257</v>
      </c>
      <c r="Q90" s="29">
        <v>46097</v>
      </c>
      <c r="R90" s="29">
        <v>46092</v>
      </c>
      <c r="S90" s="41" t="str">
        <f>IF(tblIncidents[[#This Row],[Date]]="","",IF(tblIncidents[[#This Row],[Corrective action]]="","",IF(N(tblIncidents[[#This Row],[Action closed]])&gt;0,"Complete",IF(N(tblIncidents[[#This Row],[Action due]])=0,"Check",IF(tblIncidents[[#This Row],[Action due]]&lt;AsOf,"Overdue","In progress")))))</f>
        <v>Complete</v>
      </c>
      <c r="T9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1" spans="2:20">
      <c r="B91" s="28" t="s">
        <v>318</v>
      </c>
      <c r="C91" s="29">
        <v>46084</v>
      </c>
      <c r="D91" s="28" t="s">
        <v>97</v>
      </c>
      <c r="E91" s="28" t="s">
        <v>235</v>
      </c>
      <c r="F91" s="28" t="s">
        <v>110</v>
      </c>
      <c r="G91" s="28" t="s">
        <v>82</v>
      </c>
      <c r="H91" s="28" t="s">
        <v>143</v>
      </c>
      <c r="I91" s="37"/>
      <c r="J91" s="37"/>
      <c r="K91" s="41" t="str">
        <f>IF(tblIncidents[[#This Row],[Date]]="","",IF(OR(tblIncidents[[#This Row],[Classification]]="Other recordable",tblIncidents[[#This Row],[Classification]]="Restricted or transfer",tblIncidents[[#This Row],[Classification]]="Days away",tblIncidents[[#This Row],[Classification]]="Fatality"),"Yes","No"))</f>
        <v>No</v>
      </c>
      <c r="L91" s="41" t="str">
        <f>IF(tblIncidents[[#This Row],[Date]]="","",IF(OR(tblIncidents[[#This Row],[Classification]]="Restricted or transfer",tblIncidents[[#This Row],[Classification]]="Days away"),"Yes","No"))</f>
        <v>No</v>
      </c>
      <c r="M91" s="41" t="str">
        <f>IF(tblIncidents[[#This Row],[Date]]="","",IF(OR(tblIncidents[[#This Row],[Classification]]="Days away",tblIncidents[[#This Row],[Classification]]="Fatality"),"Yes","No"))</f>
        <v>No</v>
      </c>
      <c r="N91" s="42">
        <f>IF(tblIncidents[[#This Row],[Date]]="","",N(tblIncidents[[#This Row],[Days away]])+N(tblIncidents[[#This Row],[Days restricted]]))</f>
        <v>0</v>
      </c>
      <c r="O91" s="43" t="s">
        <v>209</v>
      </c>
      <c r="P91" s="43" t="s">
        <v>163</v>
      </c>
      <c r="Q91" s="29">
        <v>46114</v>
      </c>
      <c r="R91" s="29">
        <v>46112</v>
      </c>
      <c r="S91" s="41" t="str">
        <f>IF(tblIncidents[[#This Row],[Date]]="","",IF(tblIncidents[[#This Row],[Corrective action]]="","",IF(N(tblIncidents[[#This Row],[Action closed]])&gt;0,"Complete",IF(N(tblIncidents[[#This Row],[Action due]])=0,"Check",IF(tblIncidents[[#This Row],[Action due]]&lt;AsOf,"Overdue","In progress")))))</f>
        <v>Complete</v>
      </c>
      <c r="T9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2" spans="2:20">
      <c r="B92" s="28" t="s">
        <v>319</v>
      </c>
      <c r="C92" s="29">
        <v>46094</v>
      </c>
      <c r="D92" s="28" t="s">
        <v>103</v>
      </c>
      <c r="E92" s="28" t="s">
        <v>208</v>
      </c>
      <c r="F92" s="28" t="s">
        <v>126</v>
      </c>
      <c r="G92" s="28" t="s">
        <v>82</v>
      </c>
      <c r="H92" s="28" t="s">
        <v>143</v>
      </c>
      <c r="I92" s="37"/>
      <c r="J92" s="37"/>
      <c r="K92" s="41" t="str">
        <f>IF(tblIncidents[[#This Row],[Date]]="","",IF(OR(tblIncidents[[#This Row],[Classification]]="Other recordable",tblIncidents[[#This Row],[Classification]]="Restricted or transfer",tblIncidents[[#This Row],[Classification]]="Days away",tblIncidents[[#This Row],[Classification]]="Fatality"),"Yes","No"))</f>
        <v>No</v>
      </c>
      <c r="L92" s="41" t="str">
        <f>IF(tblIncidents[[#This Row],[Date]]="","",IF(OR(tblIncidents[[#This Row],[Classification]]="Restricted or transfer",tblIncidents[[#This Row],[Classification]]="Days away"),"Yes","No"))</f>
        <v>No</v>
      </c>
      <c r="M92" s="41" t="str">
        <f>IF(tblIncidents[[#This Row],[Date]]="","",IF(OR(tblIncidents[[#This Row],[Classification]]="Days away",tblIncidents[[#This Row],[Classification]]="Fatality"),"Yes","No"))</f>
        <v>No</v>
      </c>
      <c r="N92" s="42">
        <f>IF(tblIncidents[[#This Row],[Date]]="","",N(tblIncidents[[#This Row],[Days away]])+N(tblIncidents[[#This Row],[Days restricted]]))</f>
        <v>0</v>
      </c>
      <c r="O92" s="43" t="s">
        <v>226</v>
      </c>
      <c r="P92" s="43" t="s">
        <v>227</v>
      </c>
      <c r="Q92" s="29">
        <v>46108</v>
      </c>
      <c r="R92" s="29">
        <v>46099</v>
      </c>
      <c r="S92" s="41" t="str">
        <f>IF(tblIncidents[[#This Row],[Date]]="","",IF(tblIncidents[[#This Row],[Corrective action]]="","",IF(N(tblIncidents[[#This Row],[Action closed]])&gt;0,"Complete",IF(N(tblIncidents[[#This Row],[Action due]])=0,"Check",IF(tblIncidents[[#This Row],[Action due]]&lt;AsOf,"Overdue","In progress")))))</f>
        <v>Complete</v>
      </c>
      <c r="T9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3" spans="2:20">
      <c r="B93" s="28" t="s">
        <v>320</v>
      </c>
      <c r="C93" s="29">
        <v>46104</v>
      </c>
      <c r="D93" s="28" t="s">
        <v>106</v>
      </c>
      <c r="E93" s="28" t="s">
        <v>321</v>
      </c>
      <c r="F93" s="28" t="s">
        <v>123</v>
      </c>
      <c r="G93" s="28" t="s">
        <v>84</v>
      </c>
      <c r="H93" s="28" t="s">
        <v>251</v>
      </c>
      <c r="I93" s="37"/>
      <c r="J93" s="37"/>
      <c r="K93" s="41" t="str">
        <f>IF(tblIncidents[[#This Row],[Date]]="","",IF(OR(tblIncidents[[#This Row],[Classification]]="Other recordable",tblIncidents[[#This Row],[Classification]]="Restricted or transfer",tblIncidents[[#This Row],[Classification]]="Days away",tblIncidents[[#This Row],[Classification]]="Fatality"),"Yes","No"))</f>
        <v>No</v>
      </c>
      <c r="L93" s="41" t="str">
        <f>IF(tblIncidents[[#This Row],[Date]]="","",IF(OR(tblIncidents[[#This Row],[Classification]]="Restricted or transfer",tblIncidents[[#This Row],[Classification]]="Days away"),"Yes","No"))</f>
        <v>No</v>
      </c>
      <c r="M93" s="41" t="str">
        <f>IF(tblIncidents[[#This Row],[Date]]="","",IF(OR(tblIncidents[[#This Row],[Classification]]="Days away",tblIncidents[[#This Row],[Classification]]="Fatality"),"Yes","No"))</f>
        <v>No</v>
      </c>
      <c r="N93" s="42">
        <f>IF(tblIncidents[[#This Row],[Date]]="","",N(tblIncidents[[#This Row],[Days away]])+N(tblIncidents[[#This Row],[Days restricted]]))</f>
        <v>0</v>
      </c>
      <c r="O93" s="43" t="s">
        <v>233</v>
      </c>
      <c r="P93" s="43" t="s">
        <v>143</v>
      </c>
      <c r="Q93" s="29"/>
      <c r="R93" s="29"/>
      <c r="S93" s="41">
        <f>IF(tblIncidents[[#This Row],[Date]]="","",IF(tblIncidents[[#This Row],[Corrective action]]="","",IF(N(tblIncidents[[#This Row],[Action closed]])&gt;0,"Complete",IF(N(tblIncidents[[#This Row],[Action due]])=0,"Check",IF(tblIncidents[[#This Row],[Action due]]&lt;AsOf,"Overdue","In progress")))))</f>
        <v/>
      </c>
      <c r="T9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4" spans="2:20">
      <c r="B94" s="28" t="s">
        <v>322</v>
      </c>
      <c r="C94" s="29">
        <v>46104</v>
      </c>
      <c r="D94" s="28" t="s">
        <v>106</v>
      </c>
      <c r="E94" s="28" t="s">
        <v>281</v>
      </c>
      <c r="F94" s="28" t="s">
        <v>116</v>
      </c>
      <c r="G94" s="28" t="s">
        <v>90</v>
      </c>
      <c r="H94" s="28" t="s">
        <v>223</v>
      </c>
      <c r="I94" s="37">
        <v>6</v>
      </c>
      <c r="J94" s="37">
        <v>8</v>
      </c>
      <c r="K94" s="41" t="str">
        <f>IF(tblIncidents[[#This Row],[Date]]="","",IF(OR(tblIncidents[[#This Row],[Classification]]="Other recordable",tblIncidents[[#This Row],[Classification]]="Restricted or transfer",tblIncidents[[#This Row],[Classification]]="Days away",tblIncidents[[#This Row],[Classification]]="Fatality"),"Yes","No"))</f>
        <v>Yes</v>
      </c>
      <c r="L94" s="41" t="str">
        <f>IF(tblIncidents[[#This Row],[Date]]="","",IF(OR(tblIncidents[[#This Row],[Classification]]="Restricted or transfer",tblIncidents[[#This Row],[Classification]]="Days away"),"Yes","No"))</f>
        <v>Yes</v>
      </c>
      <c r="M94" s="41" t="str">
        <f>IF(tblIncidents[[#This Row],[Date]]="","",IF(OR(tblIncidents[[#This Row],[Classification]]="Days away",tblIncidents[[#This Row],[Classification]]="Fatality"),"Yes","No"))</f>
        <v>Yes</v>
      </c>
      <c r="N94" s="42">
        <f>IF(tblIncidents[[#This Row],[Date]]="","",N(tblIncidents[[#This Row],[Days away]])+N(tblIncidents[[#This Row],[Days restricted]]))</f>
        <v>14</v>
      </c>
      <c r="O94" s="43" t="s">
        <v>186</v>
      </c>
      <c r="P94" s="43" t="s">
        <v>178</v>
      </c>
      <c r="Q94" s="29">
        <v>46125</v>
      </c>
      <c r="R94" s="29">
        <v>46115</v>
      </c>
      <c r="S94" s="41" t="str">
        <f>IF(tblIncidents[[#This Row],[Date]]="","",IF(tblIncidents[[#This Row],[Corrective action]]="","",IF(N(tblIncidents[[#This Row],[Action closed]])&gt;0,"Complete",IF(N(tblIncidents[[#This Row],[Action due]])=0,"Check",IF(tblIncidents[[#This Row],[Action due]]&lt;AsOf,"Overdue","In progress")))))</f>
        <v>Complete</v>
      </c>
      <c r="T9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5" spans="2:20">
      <c r="B95" s="28" t="s">
        <v>323</v>
      </c>
      <c r="C95" s="29">
        <v>46113</v>
      </c>
      <c r="D95" s="28" t="s">
        <v>106</v>
      </c>
      <c r="E95" s="28" t="s">
        <v>281</v>
      </c>
      <c r="F95" s="28" t="s">
        <v>123</v>
      </c>
      <c r="G95" s="28" t="s">
        <v>84</v>
      </c>
      <c r="H95" s="28" t="s">
        <v>251</v>
      </c>
      <c r="I95" s="37"/>
      <c r="J95" s="37"/>
      <c r="K95" s="41" t="str">
        <f>IF(tblIncidents[[#This Row],[Date]]="","",IF(OR(tblIncidents[[#This Row],[Classification]]="Other recordable",tblIncidents[[#This Row],[Classification]]="Restricted or transfer",tblIncidents[[#This Row],[Classification]]="Days away",tblIncidents[[#This Row],[Classification]]="Fatality"),"Yes","No"))</f>
        <v>No</v>
      </c>
      <c r="L95" s="41" t="str">
        <f>IF(tblIncidents[[#This Row],[Date]]="","",IF(OR(tblIncidents[[#This Row],[Classification]]="Restricted or transfer",tblIncidents[[#This Row],[Classification]]="Days away"),"Yes","No"))</f>
        <v>No</v>
      </c>
      <c r="M95" s="41" t="str">
        <f>IF(tblIncidents[[#This Row],[Date]]="","",IF(OR(tblIncidents[[#This Row],[Classification]]="Days away",tblIncidents[[#This Row],[Classification]]="Fatality"),"Yes","No"))</f>
        <v>No</v>
      </c>
      <c r="N95" s="42">
        <f>IF(tblIncidents[[#This Row],[Date]]="","",N(tblIncidents[[#This Row],[Days away]])+N(tblIncidents[[#This Row],[Days restricted]]))</f>
        <v>0</v>
      </c>
      <c r="O95" s="43" t="s">
        <v>233</v>
      </c>
      <c r="P95" s="43" t="s">
        <v>143</v>
      </c>
      <c r="Q95" s="29"/>
      <c r="R95" s="29"/>
      <c r="S95" s="41">
        <f>IF(tblIncidents[[#This Row],[Date]]="","",IF(tblIncidents[[#This Row],[Corrective action]]="","",IF(N(tblIncidents[[#This Row],[Action closed]])&gt;0,"Complete",IF(N(tblIncidents[[#This Row],[Action due]])=0,"Check",IF(tblIncidents[[#This Row],[Action due]]&lt;AsOf,"Overdue","In progress")))))</f>
        <v/>
      </c>
      <c r="T9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6" spans="2:20">
      <c r="B96" s="28" t="s">
        <v>324</v>
      </c>
      <c r="C96" s="29">
        <v>46114</v>
      </c>
      <c r="D96" s="28" t="s">
        <v>97</v>
      </c>
      <c r="E96" s="28" t="s">
        <v>165</v>
      </c>
      <c r="F96" s="28" t="s">
        <v>121</v>
      </c>
      <c r="G96" s="28" t="s">
        <v>84</v>
      </c>
      <c r="H96" s="28" t="s">
        <v>190</v>
      </c>
      <c r="I96" s="37"/>
      <c r="J96" s="37"/>
      <c r="K96" s="41" t="str">
        <f>IF(tblIncidents[[#This Row],[Date]]="","",IF(OR(tblIncidents[[#This Row],[Classification]]="Other recordable",tblIncidents[[#This Row],[Classification]]="Restricted or transfer",tblIncidents[[#This Row],[Classification]]="Days away",tblIncidents[[#This Row],[Classification]]="Fatality"),"Yes","No"))</f>
        <v>No</v>
      </c>
      <c r="L96" s="41" t="str">
        <f>IF(tblIncidents[[#This Row],[Date]]="","",IF(OR(tblIncidents[[#This Row],[Classification]]="Restricted or transfer",tblIncidents[[#This Row],[Classification]]="Days away"),"Yes","No"))</f>
        <v>No</v>
      </c>
      <c r="M96" s="41" t="str">
        <f>IF(tblIncidents[[#This Row],[Date]]="","",IF(OR(tblIncidents[[#This Row],[Classification]]="Days away",tblIncidents[[#This Row],[Classification]]="Fatality"),"Yes","No"))</f>
        <v>No</v>
      </c>
      <c r="N96" s="42">
        <f>IF(tblIncidents[[#This Row],[Date]]="","",N(tblIncidents[[#This Row],[Days away]])+N(tblIncidents[[#This Row],[Days restricted]]))</f>
        <v>0</v>
      </c>
      <c r="O96" s="43" t="s">
        <v>203</v>
      </c>
      <c r="P96" s="43" t="s">
        <v>143</v>
      </c>
      <c r="Q96" s="29"/>
      <c r="R96" s="29"/>
      <c r="S96" s="41">
        <f>IF(tblIncidents[[#This Row],[Date]]="","",IF(tblIncidents[[#This Row],[Corrective action]]="","",IF(N(tblIncidents[[#This Row],[Action closed]])&gt;0,"Complete",IF(N(tblIncidents[[#This Row],[Action due]])=0,"Check",IF(tblIncidents[[#This Row],[Action due]]&lt;AsOf,"Overdue","In progress")))))</f>
        <v/>
      </c>
      <c r="T9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7" spans="2:20">
      <c r="B97" s="28" t="s">
        <v>325</v>
      </c>
      <c r="C97" s="29">
        <v>46127</v>
      </c>
      <c r="D97" s="28" t="s">
        <v>97</v>
      </c>
      <c r="E97" s="28" t="s">
        <v>160</v>
      </c>
      <c r="F97" s="28" t="s">
        <v>119</v>
      </c>
      <c r="G97" s="28" t="s">
        <v>82</v>
      </c>
      <c r="H97" s="28" t="s">
        <v>143</v>
      </c>
      <c r="I97" s="37"/>
      <c r="J97" s="37"/>
      <c r="K97" s="41" t="str">
        <f>IF(tblIncidents[[#This Row],[Date]]="","",IF(OR(tblIncidents[[#This Row],[Classification]]="Other recordable",tblIncidents[[#This Row],[Classification]]="Restricted or transfer",tblIncidents[[#This Row],[Classification]]="Days away",tblIncidents[[#This Row],[Classification]]="Fatality"),"Yes","No"))</f>
        <v>No</v>
      </c>
      <c r="L97" s="41" t="str">
        <f>IF(tblIncidents[[#This Row],[Date]]="","",IF(OR(tblIncidents[[#This Row],[Classification]]="Restricted or transfer",tblIncidents[[#This Row],[Classification]]="Days away"),"Yes","No"))</f>
        <v>No</v>
      </c>
      <c r="M97" s="41" t="str">
        <f>IF(tblIncidents[[#This Row],[Date]]="","",IF(OR(tblIncidents[[#This Row],[Classification]]="Days away",tblIncidents[[#This Row],[Classification]]="Fatality"),"Yes","No"))</f>
        <v>No</v>
      </c>
      <c r="N97" s="42">
        <f>IF(tblIncidents[[#This Row],[Date]]="","",N(tblIncidents[[#This Row],[Days away]])+N(tblIncidents[[#This Row],[Days restricted]]))</f>
        <v>0</v>
      </c>
      <c r="O97" s="43" t="s">
        <v>169</v>
      </c>
      <c r="P97" s="43" t="s">
        <v>285</v>
      </c>
      <c r="Q97" s="29">
        <v>46148</v>
      </c>
      <c r="R97" s="29">
        <v>46146</v>
      </c>
      <c r="S97" s="41" t="str">
        <f>IF(tblIncidents[[#This Row],[Date]]="","",IF(tblIncidents[[#This Row],[Corrective action]]="","",IF(N(tblIncidents[[#This Row],[Action closed]])&gt;0,"Complete",IF(N(tblIncidents[[#This Row],[Action due]])=0,"Check",IF(tblIncidents[[#This Row],[Action due]]&lt;AsOf,"Overdue","In progress")))))</f>
        <v>Complete</v>
      </c>
      <c r="T9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8" spans="2:20">
      <c r="B98" s="28" t="s">
        <v>326</v>
      </c>
      <c r="C98" s="29">
        <v>46130</v>
      </c>
      <c r="D98" s="28" t="s">
        <v>97</v>
      </c>
      <c r="E98" s="28" t="s">
        <v>214</v>
      </c>
      <c r="F98" s="28" t="s">
        <v>123</v>
      </c>
      <c r="G98" s="28" t="s">
        <v>82</v>
      </c>
      <c r="H98" s="28" t="s">
        <v>143</v>
      </c>
      <c r="I98" s="37"/>
      <c r="J98" s="37"/>
      <c r="K98" s="41" t="str">
        <f>IF(tblIncidents[[#This Row],[Date]]="","",IF(OR(tblIncidents[[#This Row],[Classification]]="Other recordable",tblIncidents[[#This Row],[Classification]]="Restricted or transfer",tblIncidents[[#This Row],[Classification]]="Days away",tblIncidents[[#This Row],[Classification]]="Fatality"),"Yes","No"))</f>
        <v>No</v>
      </c>
      <c r="L98" s="41" t="str">
        <f>IF(tblIncidents[[#This Row],[Date]]="","",IF(OR(tblIncidents[[#This Row],[Classification]]="Restricted or transfer",tblIncidents[[#This Row],[Classification]]="Days away"),"Yes","No"))</f>
        <v>No</v>
      </c>
      <c r="M98" s="41" t="str">
        <f>IF(tblIncidents[[#This Row],[Date]]="","",IF(OR(tblIncidents[[#This Row],[Classification]]="Days away",tblIncidents[[#This Row],[Classification]]="Fatality"),"Yes","No"))</f>
        <v>No</v>
      </c>
      <c r="N98" s="42">
        <f>IF(tblIncidents[[#This Row],[Date]]="","",N(tblIncidents[[#This Row],[Days away]])+N(tblIncidents[[#This Row],[Days restricted]]))</f>
        <v>0</v>
      </c>
      <c r="O98" s="43" t="s">
        <v>252</v>
      </c>
      <c r="P98" s="43" t="s">
        <v>278</v>
      </c>
      <c r="Q98" s="29">
        <v>46151</v>
      </c>
      <c r="R98" s="29">
        <v>46151</v>
      </c>
      <c r="S98" s="41" t="str">
        <f>IF(tblIncidents[[#This Row],[Date]]="","",IF(tblIncidents[[#This Row],[Corrective action]]="","",IF(N(tblIncidents[[#This Row],[Action closed]])&gt;0,"Complete",IF(N(tblIncidents[[#This Row],[Action due]])=0,"Check",IF(tblIncidents[[#This Row],[Action due]]&lt;AsOf,"Overdue","In progress")))))</f>
        <v>Complete</v>
      </c>
      <c r="T9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99" spans="2:20">
      <c r="B99" s="28" t="s">
        <v>327</v>
      </c>
      <c r="C99" s="29">
        <v>46131</v>
      </c>
      <c r="D99" s="28" t="s">
        <v>100</v>
      </c>
      <c r="E99" s="28" t="s">
        <v>263</v>
      </c>
      <c r="F99" s="28" t="s">
        <v>113</v>
      </c>
      <c r="G99" s="28" t="s">
        <v>82</v>
      </c>
      <c r="H99" s="28" t="s">
        <v>143</v>
      </c>
      <c r="I99" s="37"/>
      <c r="J99" s="37"/>
      <c r="K99" s="41" t="str">
        <f>IF(tblIncidents[[#This Row],[Date]]="","",IF(OR(tblIncidents[[#This Row],[Classification]]="Other recordable",tblIncidents[[#This Row],[Classification]]="Restricted or transfer",tblIncidents[[#This Row],[Classification]]="Days away",tblIncidents[[#This Row],[Classification]]="Fatality"),"Yes","No"))</f>
        <v>No</v>
      </c>
      <c r="L99" s="41" t="str">
        <f>IF(tblIncidents[[#This Row],[Date]]="","",IF(OR(tblIncidents[[#This Row],[Classification]]="Restricted or transfer",tblIncidents[[#This Row],[Classification]]="Days away"),"Yes","No"))</f>
        <v>No</v>
      </c>
      <c r="M99" s="41" t="str">
        <f>IF(tblIncidents[[#This Row],[Date]]="","",IF(OR(tblIncidents[[#This Row],[Classification]]="Days away",tblIncidents[[#This Row],[Classification]]="Fatality"),"Yes","No"))</f>
        <v>No</v>
      </c>
      <c r="N99" s="42">
        <f>IF(tblIncidents[[#This Row],[Date]]="","",N(tblIncidents[[#This Row],[Days away]])+N(tblIncidents[[#This Row],[Days restricted]]))</f>
        <v>0</v>
      </c>
      <c r="O99" s="43" t="s">
        <v>256</v>
      </c>
      <c r="P99" s="43" t="s">
        <v>212</v>
      </c>
      <c r="Q99" s="29">
        <v>46176</v>
      </c>
      <c r="R99" s="29">
        <v>46172</v>
      </c>
      <c r="S99" s="41" t="str">
        <f>IF(tblIncidents[[#This Row],[Date]]="","",IF(tblIncidents[[#This Row],[Corrective action]]="","",IF(N(tblIncidents[[#This Row],[Action closed]])&gt;0,"Complete",IF(N(tblIncidents[[#This Row],[Action due]])=0,"Check",IF(tblIncidents[[#This Row],[Action due]]&lt;AsOf,"Overdue","In progress")))))</f>
        <v>Complete</v>
      </c>
      <c r="T9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0" spans="2:20">
      <c r="B100" s="28" t="s">
        <v>328</v>
      </c>
      <c r="C100" s="29">
        <v>46142</v>
      </c>
      <c r="D100" s="28" t="s">
        <v>106</v>
      </c>
      <c r="E100" s="28" t="s">
        <v>321</v>
      </c>
      <c r="F100" s="28" t="s">
        <v>123</v>
      </c>
      <c r="G100" s="28" t="s">
        <v>82</v>
      </c>
      <c r="H100" s="28" t="s">
        <v>143</v>
      </c>
      <c r="I100" s="37"/>
      <c r="J100" s="37"/>
      <c r="K100" s="41" t="str">
        <f>IF(tblIncidents[[#This Row],[Date]]="","",IF(OR(tblIncidents[[#This Row],[Classification]]="Other recordable",tblIncidents[[#This Row],[Classification]]="Restricted or transfer",tblIncidents[[#This Row],[Classification]]="Days away",tblIncidents[[#This Row],[Classification]]="Fatality"),"Yes","No"))</f>
        <v>No</v>
      </c>
      <c r="L100" s="41" t="str">
        <f>IF(tblIncidents[[#This Row],[Date]]="","",IF(OR(tblIncidents[[#This Row],[Classification]]="Restricted or transfer",tblIncidents[[#This Row],[Classification]]="Days away"),"Yes","No"))</f>
        <v>No</v>
      </c>
      <c r="M100" s="41" t="str">
        <f>IF(tblIncidents[[#This Row],[Date]]="","",IF(OR(tblIncidents[[#This Row],[Classification]]="Days away",tblIncidents[[#This Row],[Classification]]="Fatality"),"Yes","No"))</f>
        <v>No</v>
      </c>
      <c r="N100" s="42">
        <f>IF(tblIncidents[[#This Row],[Date]]="","",N(tblIncidents[[#This Row],[Days away]])+N(tblIncidents[[#This Row],[Days restricted]]))</f>
        <v>0</v>
      </c>
      <c r="O100" s="43" t="s">
        <v>252</v>
      </c>
      <c r="P100" s="43" t="s">
        <v>278</v>
      </c>
      <c r="Q100" s="29">
        <v>46156</v>
      </c>
      <c r="R100" s="29">
        <v>46147</v>
      </c>
      <c r="S100" s="41" t="str">
        <f>IF(tblIncidents[[#This Row],[Date]]="","",IF(tblIncidents[[#This Row],[Corrective action]]="","",IF(N(tblIncidents[[#This Row],[Action closed]])&gt;0,"Complete",IF(N(tblIncidents[[#This Row],[Action due]])=0,"Check",IF(tblIncidents[[#This Row],[Action due]]&lt;AsOf,"Overdue","In progress")))))</f>
        <v>Complete</v>
      </c>
      <c r="T10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1" spans="2:20">
      <c r="B101" s="28" t="s">
        <v>329</v>
      </c>
      <c r="C101" s="29">
        <v>46146</v>
      </c>
      <c r="D101" s="28" t="s">
        <v>100</v>
      </c>
      <c r="E101" s="28" t="s">
        <v>202</v>
      </c>
      <c r="F101" s="28" t="s">
        <v>121</v>
      </c>
      <c r="G101" s="28" t="s">
        <v>86</v>
      </c>
      <c r="H101" s="28" t="s">
        <v>190</v>
      </c>
      <c r="I101" s="37"/>
      <c r="J101" s="37"/>
      <c r="K101" s="41" t="str">
        <f>IF(tblIncidents[[#This Row],[Date]]="","",IF(OR(tblIncidents[[#This Row],[Classification]]="Other recordable",tblIncidents[[#This Row],[Classification]]="Restricted or transfer",tblIncidents[[#This Row],[Classification]]="Days away",tblIncidents[[#This Row],[Classification]]="Fatality"),"Yes","No"))</f>
        <v>Yes</v>
      </c>
      <c r="L101" s="41" t="str">
        <f>IF(tblIncidents[[#This Row],[Date]]="","",IF(OR(tblIncidents[[#This Row],[Classification]]="Restricted or transfer",tblIncidents[[#This Row],[Classification]]="Days away"),"Yes","No"))</f>
        <v>No</v>
      </c>
      <c r="M101" s="41" t="str">
        <f>IF(tblIncidents[[#This Row],[Date]]="","",IF(OR(tblIncidents[[#This Row],[Classification]]="Days away",tblIncidents[[#This Row],[Classification]]="Fatality"),"Yes","No"))</f>
        <v>No</v>
      </c>
      <c r="N101" s="42">
        <f>IF(tblIncidents[[#This Row],[Date]]="","",N(tblIncidents[[#This Row],[Days away]])+N(tblIncidents[[#This Row],[Days restricted]]))</f>
        <v>0</v>
      </c>
      <c r="O101" s="43" t="s">
        <v>203</v>
      </c>
      <c r="P101" s="43" t="s">
        <v>204</v>
      </c>
      <c r="Q101" s="29">
        <v>46160</v>
      </c>
      <c r="R101" s="29">
        <v>46150</v>
      </c>
      <c r="S101" s="41" t="str">
        <f>IF(tblIncidents[[#This Row],[Date]]="","",IF(tblIncidents[[#This Row],[Corrective action]]="","",IF(N(tblIncidents[[#This Row],[Action closed]])&gt;0,"Complete",IF(N(tblIncidents[[#This Row],[Action due]])=0,"Check",IF(tblIncidents[[#This Row],[Action due]]&lt;AsOf,"Overdue","In progress")))))</f>
        <v>Complete</v>
      </c>
      <c r="T10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2" spans="2:20">
      <c r="B102" s="28" t="s">
        <v>330</v>
      </c>
      <c r="C102" s="29">
        <v>46149</v>
      </c>
      <c r="D102" s="28" t="s">
        <v>97</v>
      </c>
      <c r="E102" s="28" t="s">
        <v>254</v>
      </c>
      <c r="F102" s="28" t="s">
        <v>126</v>
      </c>
      <c r="G102" s="28" t="s">
        <v>84</v>
      </c>
      <c r="H102" s="28" t="s">
        <v>331</v>
      </c>
      <c r="I102" s="37"/>
      <c r="J102" s="37"/>
      <c r="K102" s="41" t="str">
        <f>IF(tblIncidents[[#This Row],[Date]]="","",IF(OR(tblIncidents[[#This Row],[Classification]]="Other recordable",tblIncidents[[#This Row],[Classification]]="Restricted or transfer",tblIncidents[[#This Row],[Classification]]="Days away",tblIncidents[[#This Row],[Classification]]="Fatality"),"Yes","No"))</f>
        <v>No</v>
      </c>
      <c r="L102" s="41" t="str">
        <f>IF(tblIncidents[[#This Row],[Date]]="","",IF(OR(tblIncidents[[#This Row],[Classification]]="Restricted or transfer",tblIncidents[[#This Row],[Classification]]="Days away"),"Yes","No"))</f>
        <v>No</v>
      </c>
      <c r="M102" s="41" t="str">
        <f>IF(tblIncidents[[#This Row],[Date]]="","",IF(OR(tblIncidents[[#This Row],[Classification]]="Days away",tblIncidents[[#This Row],[Classification]]="Fatality"),"Yes","No"))</f>
        <v>No</v>
      </c>
      <c r="N102" s="42">
        <f>IF(tblIncidents[[#This Row],[Date]]="","",N(tblIncidents[[#This Row],[Days away]])+N(tblIncidents[[#This Row],[Days restricted]]))</f>
        <v>0</v>
      </c>
      <c r="O102" s="43" t="s">
        <v>226</v>
      </c>
      <c r="P102" s="43" t="s">
        <v>248</v>
      </c>
      <c r="Q102" s="29">
        <v>46170</v>
      </c>
      <c r="R102" s="29">
        <v>46166</v>
      </c>
      <c r="S102" s="41" t="str">
        <f>IF(tblIncidents[[#This Row],[Date]]="","",IF(tblIncidents[[#This Row],[Corrective action]]="","",IF(N(tblIncidents[[#This Row],[Action closed]])&gt;0,"Complete",IF(N(tblIncidents[[#This Row],[Action due]])=0,"Check",IF(tblIncidents[[#This Row],[Action due]]&lt;AsOf,"Overdue","In progress")))))</f>
        <v>Complete</v>
      </c>
      <c r="T10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3" spans="2:20">
      <c r="B103" s="28" t="s">
        <v>332</v>
      </c>
      <c r="C103" s="29">
        <v>46151</v>
      </c>
      <c r="D103" s="28" t="s">
        <v>100</v>
      </c>
      <c r="E103" s="28" t="s">
        <v>202</v>
      </c>
      <c r="F103" s="28" t="s">
        <v>110</v>
      </c>
      <c r="G103" s="28" t="s">
        <v>82</v>
      </c>
      <c r="H103" s="28" t="s">
        <v>143</v>
      </c>
      <c r="I103" s="37"/>
      <c r="J103" s="37"/>
      <c r="K103" s="41" t="str">
        <f>IF(tblIncidents[[#This Row],[Date]]="","",IF(OR(tblIncidents[[#This Row],[Classification]]="Other recordable",tblIncidents[[#This Row],[Classification]]="Restricted or transfer",tblIncidents[[#This Row],[Classification]]="Days away",tblIncidents[[#This Row],[Classification]]="Fatality"),"Yes","No"))</f>
        <v>No</v>
      </c>
      <c r="L103" s="41" t="str">
        <f>IF(tblIncidents[[#This Row],[Date]]="","",IF(OR(tblIncidents[[#This Row],[Classification]]="Restricted or transfer",tblIncidents[[#This Row],[Classification]]="Days away"),"Yes","No"))</f>
        <v>No</v>
      </c>
      <c r="M103" s="41" t="str">
        <f>IF(tblIncidents[[#This Row],[Date]]="","",IF(OR(tblIncidents[[#This Row],[Classification]]="Days away",tblIncidents[[#This Row],[Classification]]="Fatality"),"Yes","No"))</f>
        <v>No</v>
      </c>
      <c r="N103" s="42">
        <f>IF(tblIncidents[[#This Row],[Date]]="","",N(tblIncidents[[#This Row],[Days away]])+N(tblIncidents[[#This Row],[Days restricted]]))</f>
        <v>0</v>
      </c>
      <c r="O103" s="43" t="s">
        <v>209</v>
      </c>
      <c r="P103" s="43" t="s">
        <v>218</v>
      </c>
      <c r="Q103" s="29">
        <v>46165</v>
      </c>
      <c r="R103" s="29">
        <v>46165</v>
      </c>
      <c r="S103" s="41" t="str">
        <f>IF(tblIncidents[[#This Row],[Date]]="","",IF(tblIncidents[[#This Row],[Corrective action]]="","",IF(N(tblIncidents[[#This Row],[Action closed]])&gt;0,"Complete",IF(N(tblIncidents[[#This Row],[Action due]])=0,"Check",IF(tblIncidents[[#This Row],[Action due]]&lt;AsOf,"Overdue","In progress")))))</f>
        <v>Complete</v>
      </c>
      <c r="T10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4" spans="2:20">
      <c r="B104" s="28" t="s">
        <v>333</v>
      </c>
      <c r="C104" s="29">
        <v>46164</v>
      </c>
      <c r="D104" s="28" t="s">
        <v>100</v>
      </c>
      <c r="E104" s="28" t="s">
        <v>202</v>
      </c>
      <c r="F104" s="28" t="s">
        <v>113</v>
      </c>
      <c r="G104" s="28" t="s">
        <v>82</v>
      </c>
      <c r="H104" s="28" t="s">
        <v>143</v>
      </c>
      <c r="I104" s="37"/>
      <c r="J104" s="37"/>
      <c r="K104" s="41" t="str">
        <f>IF(tblIncidents[[#This Row],[Date]]="","",IF(OR(tblIncidents[[#This Row],[Classification]]="Other recordable",tblIncidents[[#This Row],[Classification]]="Restricted or transfer",tblIncidents[[#This Row],[Classification]]="Days away",tblIncidents[[#This Row],[Classification]]="Fatality"),"Yes","No"))</f>
        <v>No</v>
      </c>
      <c r="L104" s="41" t="str">
        <f>IF(tblIncidents[[#This Row],[Date]]="","",IF(OR(tblIncidents[[#This Row],[Classification]]="Restricted or transfer",tblIncidents[[#This Row],[Classification]]="Days away"),"Yes","No"))</f>
        <v>No</v>
      </c>
      <c r="M104" s="41" t="str">
        <f>IF(tblIncidents[[#This Row],[Date]]="","",IF(OR(tblIncidents[[#This Row],[Classification]]="Days away",tblIncidents[[#This Row],[Classification]]="Fatality"),"Yes","No"))</f>
        <v>No</v>
      </c>
      <c r="N104" s="42">
        <f>IF(tblIncidents[[#This Row],[Date]]="","",N(tblIncidents[[#This Row],[Days away]])+N(tblIncidents[[#This Row],[Days restricted]]))</f>
        <v>0</v>
      </c>
      <c r="O104" s="43" t="s">
        <v>182</v>
      </c>
      <c r="P104" s="43" t="s">
        <v>183</v>
      </c>
      <c r="Q104" s="29">
        <v>46194</v>
      </c>
      <c r="R104" s="29">
        <v>46192</v>
      </c>
      <c r="S104" s="41" t="str">
        <f>IF(tblIncidents[[#This Row],[Date]]="","",IF(tblIncidents[[#This Row],[Corrective action]]="","",IF(N(tblIncidents[[#This Row],[Action closed]])&gt;0,"Complete",IF(N(tblIncidents[[#This Row],[Action due]])=0,"Check",IF(tblIncidents[[#This Row],[Action due]]&lt;AsOf,"Overdue","In progress")))))</f>
        <v>Complete</v>
      </c>
      <c r="T10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5" spans="2:20">
      <c r="B105" s="28" t="s">
        <v>334</v>
      </c>
      <c r="C105" s="29">
        <v>46167</v>
      </c>
      <c r="D105" s="28" t="s">
        <v>103</v>
      </c>
      <c r="E105" s="28" t="s">
        <v>239</v>
      </c>
      <c r="F105" s="28" t="s">
        <v>116</v>
      </c>
      <c r="G105" s="28" t="s">
        <v>82</v>
      </c>
      <c r="H105" s="28" t="s">
        <v>143</v>
      </c>
      <c r="I105" s="37"/>
      <c r="J105" s="37"/>
      <c r="K105" s="41" t="str">
        <f>IF(tblIncidents[[#This Row],[Date]]="","",IF(OR(tblIncidents[[#This Row],[Classification]]="Other recordable",tblIncidents[[#This Row],[Classification]]="Restricted or transfer",tblIncidents[[#This Row],[Classification]]="Days away",tblIncidents[[#This Row],[Classification]]="Fatality"),"Yes","No"))</f>
        <v>No</v>
      </c>
      <c r="L105" s="41" t="str">
        <f>IF(tblIncidents[[#This Row],[Date]]="","",IF(OR(tblIncidents[[#This Row],[Classification]]="Restricted or transfer",tblIncidents[[#This Row],[Classification]]="Days away"),"Yes","No"))</f>
        <v>No</v>
      </c>
      <c r="M105" s="41" t="str">
        <f>IF(tblIncidents[[#This Row],[Date]]="","",IF(OR(tblIncidents[[#This Row],[Classification]]="Days away",tblIncidents[[#This Row],[Classification]]="Fatality"),"Yes","No"))</f>
        <v>No</v>
      </c>
      <c r="N105" s="42">
        <f>IF(tblIncidents[[#This Row],[Date]]="","",N(tblIncidents[[#This Row],[Days away]])+N(tblIncidents[[#This Row],[Days restricted]]))</f>
        <v>0</v>
      </c>
      <c r="O105" s="43" t="s">
        <v>177</v>
      </c>
      <c r="P105" s="43" t="s">
        <v>187</v>
      </c>
      <c r="Q105" s="29">
        <v>46212</v>
      </c>
      <c r="R105" s="29">
        <v>46203</v>
      </c>
      <c r="S105" s="41" t="str">
        <f>IF(tblIncidents[[#This Row],[Date]]="","",IF(tblIncidents[[#This Row],[Corrective action]]="","",IF(N(tblIncidents[[#This Row],[Action closed]])&gt;0,"Complete",IF(N(tblIncidents[[#This Row],[Action due]])=0,"Check",IF(tblIncidents[[#This Row],[Action due]]&lt;AsOf,"Overdue","In progress")))))</f>
        <v>Complete</v>
      </c>
      <c r="T10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6" spans="2:20">
      <c r="B106" s="28" t="s">
        <v>335</v>
      </c>
      <c r="C106" s="29">
        <v>46171</v>
      </c>
      <c r="D106" s="28" t="s">
        <v>103</v>
      </c>
      <c r="E106" s="28" t="s">
        <v>239</v>
      </c>
      <c r="F106" s="28" t="s">
        <v>131</v>
      </c>
      <c r="G106" s="28" t="s">
        <v>84</v>
      </c>
      <c r="H106" s="28" t="s">
        <v>336</v>
      </c>
      <c r="I106" s="37"/>
      <c r="J106" s="37"/>
      <c r="K106" s="41" t="str">
        <f>IF(tblIncidents[[#This Row],[Date]]="","",IF(OR(tblIncidents[[#This Row],[Classification]]="Other recordable",tblIncidents[[#This Row],[Classification]]="Restricted or transfer",tblIncidents[[#This Row],[Classification]]="Days away",tblIncidents[[#This Row],[Classification]]="Fatality"),"Yes","No"))</f>
        <v>No</v>
      </c>
      <c r="L106" s="41" t="str">
        <f>IF(tblIncidents[[#This Row],[Date]]="","",IF(OR(tblIncidents[[#This Row],[Classification]]="Restricted or transfer",tblIncidents[[#This Row],[Classification]]="Days away"),"Yes","No"))</f>
        <v>No</v>
      </c>
      <c r="M106" s="41" t="str">
        <f>IF(tblIncidents[[#This Row],[Date]]="","",IF(OR(tblIncidents[[#This Row],[Classification]]="Days away",tblIncidents[[#This Row],[Classification]]="Fatality"),"Yes","No"))</f>
        <v>No</v>
      </c>
      <c r="N106" s="42">
        <f>IF(tblIncidents[[#This Row],[Date]]="","",N(tblIncidents[[#This Row],[Days away]])+N(tblIncidents[[#This Row],[Days restricted]]))</f>
        <v>0</v>
      </c>
      <c r="O106" s="43" t="s">
        <v>197</v>
      </c>
      <c r="P106" s="43" t="s">
        <v>143</v>
      </c>
      <c r="Q106" s="29"/>
      <c r="R106" s="29"/>
      <c r="S106" s="41">
        <f>IF(tblIncidents[[#This Row],[Date]]="","",IF(tblIncidents[[#This Row],[Corrective action]]="","",IF(N(tblIncidents[[#This Row],[Action closed]])&gt;0,"Complete",IF(N(tblIncidents[[#This Row],[Action due]])=0,"Check",IF(tblIncidents[[#This Row],[Action due]]&lt;AsOf,"Overdue","In progress")))))</f>
        <v/>
      </c>
      <c r="T10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7" spans="2:20">
      <c r="B107" s="28" t="s">
        <v>337</v>
      </c>
      <c r="C107" s="29">
        <v>46174</v>
      </c>
      <c r="D107" s="28" t="s">
        <v>100</v>
      </c>
      <c r="E107" s="28" t="s">
        <v>263</v>
      </c>
      <c r="F107" s="28" t="s">
        <v>121</v>
      </c>
      <c r="G107" s="28" t="s">
        <v>84</v>
      </c>
      <c r="H107" s="28" t="s">
        <v>237</v>
      </c>
      <c r="I107" s="37"/>
      <c r="J107" s="37"/>
      <c r="K107" s="41" t="str">
        <f>IF(tblIncidents[[#This Row],[Date]]="","",IF(OR(tblIncidents[[#This Row],[Classification]]="Other recordable",tblIncidents[[#This Row],[Classification]]="Restricted or transfer",tblIncidents[[#This Row],[Classification]]="Days away",tblIncidents[[#This Row],[Classification]]="Fatality"),"Yes","No"))</f>
        <v>No</v>
      </c>
      <c r="L107" s="41" t="str">
        <f>IF(tblIncidents[[#This Row],[Date]]="","",IF(OR(tblIncidents[[#This Row],[Classification]]="Restricted or transfer",tblIncidents[[#This Row],[Classification]]="Days away"),"Yes","No"))</f>
        <v>No</v>
      </c>
      <c r="M107" s="41" t="str">
        <f>IF(tblIncidents[[#This Row],[Date]]="","",IF(OR(tblIncidents[[#This Row],[Classification]]="Days away",tblIncidents[[#This Row],[Classification]]="Fatality"),"Yes","No"))</f>
        <v>No</v>
      </c>
      <c r="N107" s="42">
        <f>IF(tblIncidents[[#This Row],[Date]]="","",N(tblIncidents[[#This Row],[Days away]])+N(tblIncidents[[#This Row],[Days restricted]]))</f>
        <v>0</v>
      </c>
      <c r="O107" s="43" t="s">
        <v>203</v>
      </c>
      <c r="P107" s="43" t="s">
        <v>265</v>
      </c>
      <c r="Q107" s="29">
        <v>46219</v>
      </c>
      <c r="R107" s="29">
        <v>46211</v>
      </c>
      <c r="S107" s="41" t="str">
        <f>IF(tblIncidents[[#This Row],[Date]]="","",IF(tblIncidents[[#This Row],[Corrective action]]="","",IF(N(tblIncidents[[#This Row],[Action closed]])&gt;0,"Complete",IF(N(tblIncidents[[#This Row],[Action due]])=0,"Check",IF(tblIncidents[[#This Row],[Action due]]&lt;AsOf,"Overdue","In progress")))))</f>
        <v>Complete</v>
      </c>
      <c r="T10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8" spans="2:20">
      <c r="B108" s="28" t="s">
        <v>338</v>
      </c>
      <c r="C108" s="29">
        <v>46179</v>
      </c>
      <c r="D108" s="28" t="s">
        <v>106</v>
      </c>
      <c r="E108" s="28" t="s">
        <v>321</v>
      </c>
      <c r="F108" s="28" t="s">
        <v>123</v>
      </c>
      <c r="G108" s="28" t="s">
        <v>82</v>
      </c>
      <c r="H108" s="28" t="s">
        <v>143</v>
      </c>
      <c r="I108" s="37"/>
      <c r="J108" s="37"/>
      <c r="K108" s="41" t="str">
        <f>IF(tblIncidents[[#This Row],[Date]]="","",IF(OR(tblIncidents[[#This Row],[Classification]]="Other recordable",tblIncidents[[#This Row],[Classification]]="Restricted or transfer",tblIncidents[[#This Row],[Classification]]="Days away",tblIncidents[[#This Row],[Classification]]="Fatality"),"Yes","No"))</f>
        <v>No</v>
      </c>
      <c r="L108" s="41" t="str">
        <f>IF(tblIncidents[[#This Row],[Date]]="","",IF(OR(tblIncidents[[#This Row],[Classification]]="Restricted or transfer",tblIncidents[[#This Row],[Classification]]="Days away"),"Yes","No"))</f>
        <v>No</v>
      </c>
      <c r="M108" s="41" t="str">
        <f>IF(tblIncidents[[#This Row],[Date]]="","",IF(OR(tblIncidents[[#This Row],[Classification]]="Days away",tblIncidents[[#This Row],[Classification]]="Fatality"),"Yes","No"))</f>
        <v>No</v>
      </c>
      <c r="N108" s="42">
        <f>IF(tblIncidents[[#This Row],[Date]]="","",N(tblIncidents[[#This Row],[Days away]])+N(tblIncidents[[#This Row],[Days restricted]]))</f>
        <v>0</v>
      </c>
      <c r="O108" s="43" t="s">
        <v>233</v>
      </c>
      <c r="P108" s="43" t="s">
        <v>241</v>
      </c>
      <c r="Q108" s="29">
        <v>46193</v>
      </c>
      <c r="R108" s="29">
        <v>46193</v>
      </c>
      <c r="S108" s="41" t="str">
        <f>IF(tblIncidents[[#This Row],[Date]]="","",IF(tblIncidents[[#This Row],[Corrective action]]="","",IF(N(tblIncidents[[#This Row],[Action closed]])&gt;0,"Complete",IF(N(tblIncidents[[#This Row],[Action due]])=0,"Check",IF(tblIncidents[[#This Row],[Action due]]&lt;AsOf,"Overdue","In progress")))))</f>
        <v>Complete</v>
      </c>
      <c r="T10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09" spans="2:20">
      <c r="B109" s="28" t="s">
        <v>339</v>
      </c>
      <c r="C109" s="29">
        <v>46185</v>
      </c>
      <c r="D109" s="28" t="s">
        <v>106</v>
      </c>
      <c r="E109" s="28" t="s">
        <v>281</v>
      </c>
      <c r="F109" s="28" t="s">
        <v>119</v>
      </c>
      <c r="G109" s="28" t="s">
        <v>84</v>
      </c>
      <c r="H109" s="28" t="s">
        <v>340</v>
      </c>
      <c r="I109" s="37"/>
      <c r="J109" s="37"/>
      <c r="K109" s="41" t="str">
        <f>IF(tblIncidents[[#This Row],[Date]]="","",IF(OR(tblIncidents[[#This Row],[Classification]]="Other recordable",tblIncidents[[#This Row],[Classification]]="Restricted or transfer",tblIncidents[[#This Row],[Classification]]="Days away",tblIncidents[[#This Row],[Classification]]="Fatality"),"Yes","No"))</f>
        <v>No</v>
      </c>
      <c r="L109" s="41" t="str">
        <f>IF(tblIncidents[[#This Row],[Date]]="","",IF(OR(tblIncidents[[#This Row],[Classification]]="Restricted or transfer",tblIncidents[[#This Row],[Classification]]="Days away"),"Yes","No"))</f>
        <v>No</v>
      </c>
      <c r="M109" s="41" t="str">
        <f>IF(tblIncidents[[#This Row],[Date]]="","",IF(OR(tblIncidents[[#This Row],[Classification]]="Days away",tblIncidents[[#This Row],[Classification]]="Fatality"),"Yes","No"))</f>
        <v>No</v>
      </c>
      <c r="N109" s="42">
        <f>IF(tblIncidents[[#This Row],[Date]]="","",N(tblIncidents[[#This Row],[Days away]])+N(tblIncidents[[#This Row],[Days restricted]]))</f>
        <v>0</v>
      </c>
      <c r="O109" s="43" t="s">
        <v>215</v>
      </c>
      <c r="P109" s="43" t="s">
        <v>143</v>
      </c>
      <c r="Q109" s="29"/>
      <c r="R109" s="29"/>
      <c r="S109" s="41">
        <f>IF(tblIncidents[[#This Row],[Date]]="","",IF(tblIncidents[[#This Row],[Corrective action]]="","",IF(N(tblIncidents[[#This Row],[Action closed]])&gt;0,"Complete",IF(N(tblIncidents[[#This Row],[Action due]])=0,"Check",IF(tblIncidents[[#This Row],[Action due]]&lt;AsOf,"Overdue","In progress")))))</f>
        <v/>
      </c>
      <c r="T10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0" spans="2:20">
      <c r="B110" s="28" t="s">
        <v>341</v>
      </c>
      <c r="C110" s="29">
        <v>46192</v>
      </c>
      <c r="D110" s="28" t="s">
        <v>100</v>
      </c>
      <c r="E110" s="28" t="s">
        <v>202</v>
      </c>
      <c r="F110" s="28" t="s">
        <v>121</v>
      </c>
      <c r="G110" s="28" t="s">
        <v>84</v>
      </c>
      <c r="H110" s="28" t="s">
        <v>190</v>
      </c>
      <c r="I110" s="37"/>
      <c r="J110" s="37"/>
      <c r="K110" s="41" t="str">
        <f>IF(tblIncidents[[#This Row],[Date]]="","",IF(OR(tblIncidents[[#This Row],[Classification]]="Other recordable",tblIncidents[[#This Row],[Classification]]="Restricted or transfer",tblIncidents[[#This Row],[Classification]]="Days away",tblIncidents[[#This Row],[Classification]]="Fatality"),"Yes","No"))</f>
        <v>No</v>
      </c>
      <c r="L110" s="41" t="str">
        <f>IF(tblIncidents[[#This Row],[Date]]="","",IF(OR(tblIncidents[[#This Row],[Classification]]="Restricted or transfer",tblIncidents[[#This Row],[Classification]]="Days away"),"Yes","No"))</f>
        <v>No</v>
      </c>
      <c r="M110" s="41" t="str">
        <f>IF(tblIncidents[[#This Row],[Date]]="","",IF(OR(tblIncidents[[#This Row],[Classification]]="Days away",tblIncidents[[#This Row],[Classification]]="Fatality"),"Yes","No"))</f>
        <v>No</v>
      </c>
      <c r="N110" s="42">
        <f>IF(tblIncidents[[#This Row],[Date]]="","",N(tblIncidents[[#This Row],[Days away]])+N(tblIncidents[[#This Row],[Days restricted]]))</f>
        <v>0</v>
      </c>
      <c r="O110" s="43" t="s">
        <v>191</v>
      </c>
      <c r="P110" s="43" t="s">
        <v>204</v>
      </c>
      <c r="Q110" s="29">
        <v>46213</v>
      </c>
      <c r="R110" s="29"/>
      <c r="S110" s="41" t="str">
        <f>IF(tblIncidents[[#This Row],[Date]]="","",IF(tblIncidents[[#This Row],[Corrective action]]="","",IF(N(tblIncidents[[#This Row],[Action closed]])&gt;0,"Complete",IF(N(tblIncidents[[#This Row],[Action due]])=0,"Check",IF(tblIncidents[[#This Row],[Action due]]&lt;AsOf,"Overdue","In progress")))))</f>
        <v>Overdue</v>
      </c>
      <c r="T11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1" spans="2:20">
      <c r="B111" s="28" t="s">
        <v>342</v>
      </c>
      <c r="C111" s="29">
        <v>46196</v>
      </c>
      <c r="D111" s="28" t="s">
        <v>106</v>
      </c>
      <c r="E111" s="28" t="s">
        <v>321</v>
      </c>
      <c r="F111" s="28" t="s">
        <v>116</v>
      </c>
      <c r="G111" s="28" t="s">
        <v>82</v>
      </c>
      <c r="H111" s="28" t="s">
        <v>143</v>
      </c>
      <c r="I111" s="37"/>
      <c r="J111" s="37"/>
      <c r="K111" s="41" t="str">
        <f>IF(tblIncidents[[#This Row],[Date]]="","",IF(OR(tblIncidents[[#This Row],[Classification]]="Other recordable",tblIncidents[[#This Row],[Classification]]="Restricted or transfer",tblIncidents[[#This Row],[Classification]]="Days away",tblIncidents[[#This Row],[Classification]]="Fatality"),"Yes","No"))</f>
        <v>No</v>
      </c>
      <c r="L111" s="41" t="str">
        <f>IF(tblIncidents[[#This Row],[Date]]="","",IF(OR(tblIncidents[[#This Row],[Classification]]="Restricted or transfer",tblIncidents[[#This Row],[Classification]]="Days away"),"Yes","No"))</f>
        <v>No</v>
      </c>
      <c r="M111" s="41" t="str">
        <f>IF(tblIncidents[[#This Row],[Date]]="","",IF(OR(tblIncidents[[#This Row],[Classification]]="Days away",tblIncidents[[#This Row],[Classification]]="Fatality"),"Yes","No"))</f>
        <v>No</v>
      </c>
      <c r="N111" s="42">
        <f>IF(tblIncidents[[#This Row],[Date]]="","",N(tblIncidents[[#This Row],[Days away]])+N(tblIncidents[[#This Row],[Days restricted]]))</f>
        <v>0</v>
      </c>
      <c r="O111" s="43" t="s">
        <v>177</v>
      </c>
      <c r="P111" s="43" t="s">
        <v>187</v>
      </c>
      <c r="Q111" s="29">
        <v>46241</v>
      </c>
      <c r="R111" s="29">
        <v>46239</v>
      </c>
      <c r="S111" s="41" t="str">
        <f>IF(tblIncidents[[#This Row],[Date]]="","",IF(tblIncidents[[#This Row],[Corrective action]]="","",IF(N(tblIncidents[[#This Row],[Action closed]])&gt;0,"Complete",IF(N(tblIncidents[[#This Row],[Action due]])=0,"Check",IF(tblIncidents[[#This Row],[Action due]]&lt;AsOf,"Overdue","In progress")))))</f>
        <v>Complete</v>
      </c>
      <c r="T11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2" spans="2:20">
      <c r="B112" s="28" t="s">
        <v>343</v>
      </c>
      <c r="C112" s="29">
        <v>46210</v>
      </c>
      <c r="D112" s="28" t="s">
        <v>106</v>
      </c>
      <c r="E112" s="28" t="s">
        <v>168</v>
      </c>
      <c r="F112" s="28" t="s">
        <v>123</v>
      </c>
      <c r="G112" s="28" t="s">
        <v>82</v>
      </c>
      <c r="H112" s="28" t="s">
        <v>143</v>
      </c>
      <c r="I112" s="37"/>
      <c r="J112" s="37"/>
      <c r="K112" s="41" t="str">
        <f>IF(tblIncidents[[#This Row],[Date]]="","",IF(OR(tblIncidents[[#This Row],[Classification]]="Other recordable",tblIncidents[[#This Row],[Classification]]="Restricted or transfer",tblIncidents[[#This Row],[Classification]]="Days away",tblIncidents[[#This Row],[Classification]]="Fatality"),"Yes","No"))</f>
        <v>No</v>
      </c>
      <c r="L112" s="41" t="str">
        <f>IF(tblIncidents[[#This Row],[Date]]="","",IF(OR(tblIncidents[[#This Row],[Classification]]="Restricted or transfer",tblIncidents[[#This Row],[Classification]]="Days away"),"Yes","No"))</f>
        <v>No</v>
      </c>
      <c r="M112" s="41" t="str">
        <f>IF(tblIncidents[[#This Row],[Date]]="","",IF(OR(tblIncidents[[#This Row],[Classification]]="Days away",tblIncidents[[#This Row],[Classification]]="Fatality"),"Yes","No"))</f>
        <v>No</v>
      </c>
      <c r="N112" s="42">
        <f>IF(tblIncidents[[#This Row],[Date]]="","",N(tblIncidents[[#This Row],[Days away]])+N(tblIncidents[[#This Row],[Days restricted]]))</f>
        <v>0</v>
      </c>
      <c r="O112" s="43" t="s">
        <v>252</v>
      </c>
      <c r="P112" s="43" t="s">
        <v>241</v>
      </c>
      <c r="Q112" s="29">
        <v>46240</v>
      </c>
      <c r="R112" s="29">
        <v>46237</v>
      </c>
      <c r="S112" s="41" t="str">
        <f>IF(tblIncidents[[#This Row],[Date]]="","",IF(tblIncidents[[#This Row],[Corrective action]]="","",IF(N(tblIncidents[[#This Row],[Action closed]])&gt;0,"Complete",IF(N(tblIncidents[[#This Row],[Action due]])=0,"Check",IF(tblIncidents[[#This Row],[Action due]]&lt;AsOf,"Overdue","In progress")))))</f>
        <v>Complete</v>
      </c>
      <c r="T11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3" spans="2:20">
      <c r="B113" s="28" t="s">
        <v>344</v>
      </c>
      <c r="C113" s="29">
        <v>46215</v>
      </c>
      <c r="D113" s="28" t="s">
        <v>100</v>
      </c>
      <c r="E113" s="28" t="s">
        <v>263</v>
      </c>
      <c r="F113" s="28" t="s">
        <v>113</v>
      </c>
      <c r="G113" s="28" t="s">
        <v>90</v>
      </c>
      <c r="H113" s="28" t="s">
        <v>181</v>
      </c>
      <c r="I113" s="37">
        <v>3</v>
      </c>
      <c r="J113" s="37">
        <v>2</v>
      </c>
      <c r="K113" s="41" t="str">
        <f>IF(tblIncidents[[#This Row],[Date]]="","",IF(OR(tblIncidents[[#This Row],[Classification]]="Other recordable",tblIncidents[[#This Row],[Classification]]="Restricted or transfer",tblIncidents[[#This Row],[Classification]]="Days away",tblIncidents[[#This Row],[Classification]]="Fatality"),"Yes","No"))</f>
        <v>Yes</v>
      </c>
      <c r="L113" s="41" t="str">
        <f>IF(tblIncidents[[#This Row],[Date]]="","",IF(OR(tblIncidents[[#This Row],[Classification]]="Restricted or transfer",tblIncidents[[#This Row],[Classification]]="Days away"),"Yes","No"))</f>
        <v>Yes</v>
      </c>
      <c r="M113" s="41" t="str">
        <f>IF(tblIncidents[[#This Row],[Date]]="","",IF(OR(tblIncidents[[#This Row],[Classification]]="Days away",tblIncidents[[#This Row],[Classification]]="Fatality"),"Yes","No"))</f>
        <v>Yes</v>
      </c>
      <c r="N113" s="42">
        <f>IF(tblIncidents[[#This Row],[Date]]="","",N(tblIncidents[[#This Row],[Days away]])+N(tblIncidents[[#This Row],[Days restricted]]))</f>
        <v>5</v>
      </c>
      <c r="O113" s="43" t="s">
        <v>256</v>
      </c>
      <c r="P113" s="43" t="s">
        <v>212</v>
      </c>
      <c r="Q113" s="29">
        <v>46229</v>
      </c>
      <c r="R113" s="29"/>
      <c r="S113" s="41" t="str">
        <f>IF(tblIncidents[[#This Row],[Date]]="","",IF(tblIncidents[[#This Row],[Corrective action]]="","",IF(N(tblIncidents[[#This Row],[Action closed]])&gt;0,"Complete",IF(N(tblIncidents[[#This Row],[Action due]])=0,"Check",IF(tblIncidents[[#This Row],[Action due]]&lt;AsOf,"Overdue","In progress")))))</f>
        <v>Overdue</v>
      </c>
      <c r="T11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4" spans="2:20">
      <c r="B114" s="28" t="s">
        <v>345</v>
      </c>
      <c r="C114" s="29">
        <v>46220</v>
      </c>
      <c r="D114" s="28" t="s">
        <v>97</v>
      </c>
      <c r="E114" s="28" t="s">
        <v>254</v>
      </c>
      <c r="F114" s="28" t="s">
        <v>119</v>
      </c>
      <c r="G114" s="28" t="s">
        <v>84</v>
      </c>
      <c r="H114" s="28" t="s">
        <v>340</v>
      </c>
      <c r="I114" s="37"/>
      <c r="J114" s="37"/>
      <c r="K114" s="41" t="str">
        <f>IF(tblIncidents[[#This Row],[Date]]="","",IF(OR(tblIncidents[[#This Row],[Classification]]="Other recordable",tblIncidents[[#This Row],[Classification]]="Restricted or transfer",tblIncidents[[#This Row],[Classification]]="Days away",tblIncidents[[#This Row],[Classification]]="Fatality"),"Yes","No"))</f>
        <v>No</v>
      </c>
      <c r="L114" s="41" t="str">
        <f>IF(tblIncidents[[#This Row],[Date]]="","",IF(OR(tblIncidents[[#This Row],[Classification]]="Restricted or transfer",tblIncidents[[#This Row],[Classification]]="Days away"),"Yes","No"))</f>
        <v>No</v>
      </c>
      <c r="M114" s="41" t="str">
        <f>IF(tblIncidents[[#This Row],[Date]]="","",IF(OR(tblIncidents[[#This Row],[Classification]]="Days away",tblIncidents[[#This Row],[Classification]]="Fatality"),"Yes","No"))</f>
        <v>No</v>
      </c>
      <c r="N114" s="42">
        <f>IF(tblIncidents[[#This Row],[Date]]="","",N(tblIncidents[[#This Row],[Days away]])+N(tblIncidents[[#This Row],[Days restricted]]))</f>
        <v>0</v>
      </c>
      <c r="O114" s="43" t="s">
        <v>346</v>
      </c>
      <c r="P114" s="43" t="s">
        <v>143</v>
      </c>
      <c r="Q114" s="29"/>
      <c r="R114" s="29"/>
      <c r="S114" s="41">
        <f>IF(tblIncidents[[#This Row],[Date]]="","",IF(tblIncidents[[#This Row],[Corrective action]]="","",IF(N(tblIncidents[[#This Row],[Action closed]])&gt;0,"Complete",IF(N(tblIncidents[[#This Row],[Action due]])=0,"Check",IF(tblIncidents[[#This Row],[Action due]]&lt;AsOf,"Overdue","In progress")))))</f>
        <v/>
      </c>
      <c r="T11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5" spans="2:20">
      <c r="B115" s="28" t="s">
        <v>347</v>
      </c>
      <c r="C115" s="29">
        <v>46221</v>
      </c>
      <c r="D115" s="28" t="s">
        <v>100</v>
      </c>
      <c r="E115" s="28" t="s">
        <v>180</v>
      </c>
      <c r="F115" s="28" t="s">
        <v>113</v>
      </c>
      <c r="G115" s="28" t="s">
        <v>82</v>
      </c>
      <c r="H115" s="28" t="s">
        <v>143</v>
      </c>
      <c r="I115" s="37"/>
      <c r="J115" s="37"/>
      <c r="K115" s="41" t="str">
        <f>IF(tblIncidents[[#This Row],[Date]]="","",IF(OR(tblIncidents[[#This Row],[Classification]]="Other recordable",tblIncidents[[#This Row],[Classification]]="Restricted or transfer",tblIncidents[[#This Row],[Classification]]="Days away",tblIncidents[[#This Row],[Classification]]="Fatality"),"Yes","No"))</f>
        <v>No</v>
      </c>
      <c r="L115" s="41" t="str">
        <f>IF(tblIncidents[[#This Row],[Date]]="","",IF(OR(tblIncidents[[#This Row],[Classification]]="Restricted or transfer",tblIncidents[[#This Row],[Classification]]="Days away"),"Yes","No"))</f>
        <v>No</v>
      </c>
      <c r="M115" s="41" t="str">
        <f>IF(tblIncidents[[#This Row],[Date]]="","",IF(OR(tblIncidents[[#This Row],[Classification]]="Days away",tblIncidents[[#This Row],[Classification]]="Fatality"),"Yes","No"))</f>
        <v>No</v>
      </c>
      <c r="N115" s="42">
        <f>IF(tblIncidents[[#This Row],[Date]]="","",N(tblIncidents[[#This Row],[Days away]])+N(tblIncidents[[#This Row],[Days restricted]]))</f>
        <v>0</v>
      </c>
      <c r="O115" s="43" t="s">
        <v>256</v>
      </c>
      <c r="P115" s="43" t="s">
        <v>183</v>
      </c>
      <c r="Q115" s="29">
        <v>46242</v>
      </c>
      <c r="R115" s="29">
        <v>46232</v>
      </c>
      <c r="S115" s="41" t="str">
        <f>IF(tblIncidents[[#This Row],[Date]]="","",IF(tblIncidents[[#This Row],[Corrective action]]="","",IF(N(tblIncidents[[#This Row],[Action closed]])&gt;0,"Complete",IF(N(tblIncidents[[#This Row],[Action due]])=0,"Check",IF(tblIncidents[[#This Row],[Action due]]&lt;AsOf,"Overdue","In progress")))))</f>
        <v>Complete</v>
      </c>
      <c r="T11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6" spans="2:20">
      <c r="B116" s="28" t="s">
        <v>348</v>
      </c>
      <c r="C116" s="29">
        <v>46223</v>
      </c>
      <c r="D116" s="28" t="s">
        <v>97</v>
      </c>
      <c r="E116" s="28" t="s">
        <v>214</v>
      </c>
      <c r="F116" s="28" t="s">
        <v>123</v>
      </c>
      <c r="G116" s="28" t="s">
        <v>82</v>
      </c>
      <c r="H116" s="28" t="s">
        <v>143</v>
      </c>
      <c r="I116" s="37"/>
      <c r="J116" s="37"/>
      <c r="K116" s="41" t="str">
        <f>IF(tblIncidents[[#This Row],[Date]]="","",IF(OR(tblIncidents[[#This Row],[Classification]]="Other recordable",tblIncidents[[#This Row],[Classification]]="Restricted or transfer",tblIncidents[[#This Row],[Classification]]="Days away",tblIncidents[[#This Row],[Classification]]="Fatality"),"Yes","No"))</f>
        <v>No</v>
      </c>
      <c r="L116" s="41" t="str">
        <f>IF(tblIncidents[[#This Row],[Date]]="","",IF(OR(tblIncidents[[#This Row],[Classification]]="Restricted or transfer",tblIncidents[[#This Row],[Classification]]="Days away"),"Yes","No"))</f>
        <v>No</v>
      </c>
      <c r="M116" s="41" t="str">
        <f>IF(tblIncidents[[#This Row],[Date]]="","",IF(OR(tblIncidents[[#This Row],[Classification]]="Days away",tblIncidents[[#This Row],[Classification]]="Fatality"),"Yes","No"))</f>
        <v>No</v>
      </c>
      <c r="N116" s="42">
        <f>IF(tblIncidents[[#This Row],[Date]]="","",N(tblIncidents[[#This Row],[Days away]])+N(tblIncidents[[#This Row],[Days restricted]]))</f>
        <v>0</v>
      </c>
      <c r="O116" s="43" t="s">
        <v>233</v>
      </c>
      <c r="P116" s="43" t="s">
        <v>241</v>
      </c>
      <c r="Q116" s="29">
        <v>46237</v>
      </c>
      <c r="R116" s="29">
        <v>46228</v>
      </c>
      <c r="S116" s="41" t="str">
        <f>IF(tblIncidents[[#This Row],[Date]]="","",IF(tblIncidents[[#This Row],[Corrective action]]="","",IF(N(tblIncidents[[#This Row],[Action closed]])&gt;0,"Complete",IF(N(tblIncidents[[#This Row],[Action due]])=0,"Check",IF(tblIncidents[[#This Row],[Action due]]&lt;AsOf,"Overdue","In progress")))))</f>
        <v>Complete</v>
      </c>
      <c r="T11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7" spans="2:20">
      <c r="B117" s="28" t="s">
        <v>349</v>
      </c>
      <c r="C117" s="29">
        <v>46228</v>
      </c>
      <c r="D117" s="28" t="s">
        <v>106</v>
      </c>
      <c r="E117" s="28" t="s">
        <v>321</v>
      </c>
      <c r="F117" s="28" t="s">
        <v>123</v>
      </c>
      <c r="G117" s="28" t="s">
        <v>84</v>
      </c>
      <c r="H117" s="28" t="s">
        <v>251</v>
      </c>
      <c r="I117" s="37"/>
      <c r="J117" s="37"/>
      <c r="K117" s="41" t="str">
        <f>IF(tblIncidents[[#This Row],[Date]]="","",IF(OR(tblIncidents[[#This Row],[Classification]]="Other recordable",tblIncidents[[#This Row],[Classification]]="Restricted or transfer",tblIncidents[[#This Row],[Classification]]="Days away",tblIncidents[[#This Row],[Classification]]="Fatality"),"Yes","No"))</f>
        <v>No</v>
      </c>
      <c r="L117" s="41" t="str">
        <f>IF(tblIncidents[[#This Row],[Date]]="","",IF(OR(tblIncidents[[#This Row],[Classification]]="Restricted or transfer",tblIncidents[[#This Row],[Classification]]="Days away"),"Yes","No"))</f>
        <v>No</v>
      </c>
      <c r="M117" s="41" t="str">
        <f>IF(tblIncidents[[#This Row],[Date]]="","",IF(OR(tblIncidents[[#This Row],[Classification]]="Days away",tblIncidents[[#This Row],[Classification]]="Fatality"),"Yes","No"))</f>
        <v>No</v>
      </c>
      <c r="N117" s="42">
        <f>IF(tblIncidents[[#This Row],[Date]]="","",N(tblIncidents[[#This Row],[Days away]])+N(tblIncidents[[#This Row],[Days restricted]]))</f>
        <v>0</v>
      </c>
      <c r="O117" s="43" t="s">
        <v>252</v>
      </c>
      <c r="P117" s="43" t="s">
        <v>241</v>
      </c>
      <c r="Q117" s="29">
        <v>46258</v>
      </c>
      <c r="R117" s="29">
        <v>46248</v>
      </c>
      <c r="S117" s="41" t="str">
        <f>IF(tblIncidents[[#This Row],[Date]]="","",IF(tblIncidents[[#This Row],[Corrective action]]="","",IF(N(tblIncidents[[#This Row],[Action closed]])&gt;0,"Complete",IF(N(tblIncidents[[#This Row],[Action due]])=0,"Check",IF(tblIncidents[[#This Row],[Action due]]&lt;AsOf,"Overdue","In progress")))))</f>
        <v>Complete</v>
      </c>
      <c r="T11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8" spans="2:20">
      <c r="B118" s="28" t="s">
        <v>350</v>
      </c>
      <c r="C118" s="29">
        <v>46235</v>
      </c>
      <c r="D118" s="28" t="s">
        <v>106</v>
      </c>
      <c r="E118" s="28" t="s">
        <v>321</v>
      </c>
      <c r="F118" s="28" t="s">
        <v>128</v>
      </c>
      <c r="G118" s="28" t="s">
        <v>82</v>
      </c>
      <c r="H118" s="28" t="s">
        <v>143</v>
      </c>
      <c r="I118" s="37"/>
      <c r="J118" s="37"/>
      <c r="K118" s="41" t="str">
        <f>IF(tblIncidents[[#This Row],[Date]]="","",IF(OR(tblIncidents[[#This Row],[Classification]]="Other recordable",tblIncidents[[#This Row],[Classification]]="Restricted or transfer",tblIncidents[[#This Row],[Classification]]="Days away",tblIncidents[[#This Row],[Classification]]="Fatality"),"Yes","No"))</f>
        <v>No</v>
      </c>
      <c r="L118" s="41" t="str">
        <f>IF(tblIncidents[[#This Row],[Date]]="","",IF(OR(tblIncidents[[#This Row],[Classification]]="Restricted or transfer",tblIncidents[[#This Row],[Classification]]="Days away"),"Yes","No"))</f>
        <v>No</v>
      </c>
      <c r="M118" s="41" t="str">
        <f>IF(tblIncidents[[#This Row],[Date]]="","",IF(OR(tblIncidents[[#This Row],[Classification]]="Days away",tblIncidents[[#This Row],[Classification]]="Fatality"),"Yes","No"))</f>
        <v>No</v>
      </c>
      <c r="N118" s="42">
        <f>IF(tblIncidents[[#This Row],[Date]]="","",N(tblIncidents[[#This Row],[Days away]])+N(tblIncidents[[#This Row],[Days restricted]]))</f>
        <v>0</v>
      </c>
      <c r="O118" s="43" t="s">
        <v>351</v>
      </c>
      <c r="P118" s="43" t="s">
        <v>195</v>
      </c>
      <c r="Q118" s="29">
        <v>46265</v>
      </c>
      <c r="R118" s="29">
        <v>46260</v>
      </c>
      <c r="S118" s="41" t="str">
        <f>IF(tblIncidents[[#This Row],[Date]]="","",IF(tblIncidents[[#This Row],[Corrective action]]="","",IF(N(tblIncidents[[#This Row],[Action closed]])&gt;0,"Complete",IF(N(tblIncidents[[#This Row],[Action due]])=0,"Check",IF(tblIncidents[[#This Row],[Action due]]&lt;AsOf,"Overdue","In progress")))))</f>
        <v>Complete</v>
      </c>
      <c r="T11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19" spans="2:20">
      <c r="B119" s="28" t="s">
        <v>352</v>
      </c>
      <c r="C119" s="29">
        <v>46242</v>
      </c>
      <c r="D119" s="28" t="s">
        <v>106</v>
      </c>
      <c r="E119" s="28" t="s">
        <v>168</v>
      </c>
      <c r="F119" s="28" t="s">
        <v>128</v>
      </c>
      <c r="G119" s="28" t="s">
        <v>82</v>
      </c>
      <c r="H119" s="28" t="s">
        <v>143</v>
      </c>
      <c r="I119" s="37"/>
      <c r="J119" s="37"/>
      <c r="K119" s="41" t="str">
        <f>IF(tblIncidents[[#This Row],[Date]]="","",IF(OR(tblIncidents[[#This Row],[Classification]]="Other recordable",tblIncidents[[#This Row],[Classification]]="Restricted or transfer",tblIncidents[[#This Row],[Classification]]="Days away",tblIncidents[[#This Row],[Classification]]="Fatality"),"Yes","No"))</f>
        <v>No</v>
      </c>
      <c r="L119" s="41" t="str">
        <f>IF(tblIncidents[[#This Row],[Date]]="","",IF(OR(tblIncidents[[#This Row],[Classification]]="Restricted or transfer",tblIncidents[[#This Row],[Classification]]="Days away"),"Yes","No"))</f>
        <v>No</v>
      </c>
      <c r="M119" s="41" t="str">
        <f>IF(tblIncidents[[#This Row],[Date]]="","",IF(OR(tblIncidents[[#This Row],[Classification]]="Days away",tblIncidents[[#This Row],[Classification]]="Fatality"),"Yes","No"))</f>
        <v>No</v>
      </c>
      <c r="N119" s="42">
        <f>IF(tblIncidents[[#This Row],[Date]]="","",N(tblIncidents[[#This Row],[Days away]])+N(tblIncidents[[#This Row],[Days restricted]]))</f>
        <v>0</v>
      </c>
      <c r="O119" s="43" t="s">
        <v>194</v>
      </c>
      <c r="P119" s="43" t="s">
        <v>195</v>
      </c>
      <c r="Q119" s="29">
        <v>46256</v>
      </c>
      <c r="R119" s="29">
        <v>46246</v>
      </c>
      <c r="S119" s="41" t="str">
        <f>IF(tblIncidents[[#This Row],[Date]]="","",IF(tblIncidents[[#This Row],[Corrective action]]="","",IF(N(tblIncidents[[#This Row],[Action closed]])&gt;0,"Complete",IF(N(tblIncidents[[#This Row],[Action due]])=0,"Check",IF(tblIncidents[[#This Row],[Action due]]&lt;AsOf,"Overdue","In progress")))))</f>
        <v>Complete</v>
      </c>
      <c r="T11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0" spans="2:20">
      <c r="B120" s="28" t="s">
        <v>353</v>
      </c>
      <c r="C120" s="29">
        <v>46245</v>
      </c>
      <c r="D120" s="28" t="s">
        <v>103</v>
      </c>
      <c r="E120" s="28" t="s">
        <v>222</v>
      </c>
      <c r="F120" s="28" t="s">
        <v>116</v>
      </c>
      <c r="G120" s="28" t="s">
        <v>84</v>
      </c>
      <c r="H120" s="28" t="s">
        <v>176</v>
      </c>
      <c r="I120" s="37"/>
      <c r="J120" s="37"/>
      <c r="K120" s="41" t="str">
        <f>IF(tblIncidents[[#This Row],[Date]]="","",IF(OR(tblIncidents[[#This Row],[Classification]]="Other recordable",tblIncidents[[#This Row],[Classification]]="Restricted or transfer",tblIncidents[[#This Row],[Classification]]="Days away",tblIncidents[[#This Row],[Classification]]="Fatality"),"Yes","No"))</f>
        <v>No</v>
      </c>
      <c r="L120" s="41" t="str">
        <f>IF(tblIncidents[[#This Row],[Date]]="","",IF(OR(tblIncidents[[#This Row],[Classification]]="Restricted or transfer",tblIncidents[[#This Row],[Classification]]="Days away"),"Yes","No"))</f>
        <v>No</v>
      </c>
      <c r="M120" s="41" t="str">
        <f>IF(tblIncidents[[#This Row],[Date]]="","",IF(OR(tblIncidents[[#This Row],[Classification]]="Days away",tblIncidents[[#This Row],[Classification]]="Fatality"),"Yes","No"))</f>
        <v>No</v>
      </c>
      <c r="N120" s="42">
        <f>IF(tblIncidents[[#This Row],[Date]]="","",N(tblIncidents[[#This Row],[Days away]])+N(tblIncidents[[#This Row],[Days restricted]]))</f>
        <v>0</v>
      </c>
      <c r="O120" s="43" t="s">
        <v>177</v>
      </c>
      <c r="P120" s="43" t="s">
        <v>187</v>
      </c>
      <c r="Q120" s="29">
        <v>46266</v>
      </c>
      <c r="R120" s="29">
        <v>46262</v>
      </c>
      <c r="S120" s="41" t="str">
        <f>IF(tblIncidents[[#This Row],[Date]]="","",IF(tblIncidents[[#This Row],[Corrective action]]="","",IF(N(tblIncidents[[#This Row],[Action closed]])&gt;0,"Complete",IF(N(tblIncidents[[#This Row],[Action due]])=0,"Check",IF(tblIncidents[[#This Row],[Action due]]&lt;AsOf,"Overdue","In progress")))))</f>
        <v>Complete</v>
      </c>
      <c r="T120"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1" spans="2:20">
      <c r="B121" s="28" t="s">
        <v>354</v>
      </c>
      <c r="C121" s="29">
        <v>46252</v>
      </c>
      <c r="D121" s="28" t="s">
        <v>97</v>
      </c>
      <c r="E121" s="28" t="s">
        <v>235</v>
      </c>
      <c r="F121" s="28" t="s">
        <v>119</v>
      </c>
      <c r="G121" s="28" t="s">
        <v>86</v>
      </c>
      <c r="H121" s="28" t="s">
        <v>355</v>
      </c>
      <c r="I121" s="37"/>
      <c r="J121" s="37"/>
      <c r="K121" s="41" t="str">
        <f>IF(tblIncidents[[#This Row],[Date]]="","",IF(OR(tblIncidents[[#This Row],[Classification]]="Other recordable",tblIncidents[[#This Row],[Classification]]="Restricted or transfer",tblIncidents[[#This Row],[Classification]]="Days away",tblIncidents[[#This Row],[Classification]]="Fatality"),"Yes","No"))</f>
        <v>Yes</v>
      </c>
      <c r="L121" s="41" t="str">
        <f>IF(tblIncidents[[#This Row],[Date]]="","",IF(OR(tblIncidents[[#This Row],[Classification]]="Restricted or transfer",tblIncidents[[#This Row],[Classification]]="Days away"),"Yes","No"))</f>
        <v>No</v>
      </c>
      <c r="M121" s="41" t="str">
        <f>IF(tblIncidents[[#This Row],[Date]]="","",IF(OR(tblIncidents[[#This Row],[Classification]]="Days away",tblIncidents[[#This Row],[Classification]]="Fatality"),"Yes","No"))</f>
        <v>No</v>
      </c>
      <c r="N121" s="42">
        <f>IF(tblIncidents[[#This Row],[Date]]="","",N(tblIncidents[[#This Row],[Days away]])+N(tblIncidents[[#This Row],[Days restricted]]))</f>
        <v>0</v>
      </c>
      <c r="O121" s="43" t="s">
        <v>215</v>
      </c>
      <c r="P121" s="43" t="s">
        <v>285</v>
      </c>
      <c r="Q121" s="29">
        <v>46282</v>
      </c>
      <c r="R121" s="29">
        <v>46278</v>
      </c>
      <c r="S121" s="41" t="str">
        <f>IF(tblIncidents[[#This Row],[Date]]="","",IF(tblIncidents[[#This Row],[Corrective action]]="","",IF(N(tblIncidents[[#This Row],[Action closed]])&gt;0,"Complete",IF(N(tblIncidents[[#This Row],[Action due]])=0,"Check",IF(tblIncidents[[#This Row],[Action due]]&lt;AsOf,"Overdue","In progress")))))</f>
        <v>Complete</v>
      </c>
      <c r="T121"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2" spans="2:20">
      <c r="B122" s="28" t="s">
        <v>356</v>
      </c>
      <c r="C122" s="29">
        <v>46255</v>
      </c>
      <c r="D122" s="28" t="s">
        <v>100</v>
      </c>
      <c r="E122" s="28" t="s">
        <v>263</v>
      </c>
      <c r="F122" s="28" t="s">
        <v>113</v>
      </c>
      <c r="G122" s="28" t="s">
        <v>82</v>
      </c>
      <c r="H122" s="28" t="s">
        <v>143</v>
      </c>
      <c r="I122" s="37"/>
      <c r="J122" s="37"/>
      <c r="K122" s="41" t="str">
        <f>IF(tblIncidents[[#This Row],[Date]]="","",IF(OR(tblIncidents[[#This Row],[Classification]]="Other recordable",tblIncidents[[#This Row],[Classification]]="Restricted or transfer",tblIncidents[[#This Row],[Classification]]="Days away",tblIncidents[[#This Row],[Classification]]="Fatality"),"Yes","No"))</f>
        <v>No</v>
      </c>
      <c r="L122" s="41" t="str">
        <f>IF(tblIncidents[[#This Row],[Date]]="","",IF(OR(tblIncidents[[#This Row],[Classification]]="Restricted or transfer",tblIncidents[[#This Row],[Classification]]="Days away"),"Yes","No"))</f>
        <v>No</v>
      </c>
      <c r="M122" s="41" t="str">
        <f>IF(tblIncidents[[#This Row],[Date]]="","",IF(OR(tblIncidents[[#This Row],[Classification]]="Days away",tblIncidents[[#This Row],[Classification]]="Fatality"),"Yes","No"))</f>
        <v>No</v>
      </c>
      <c r="N122" s="42">
        <f>IF(tblIncidents[[#This Row],[Date]]="","",N(tblIncidents[[#This Row],[Days away]])+N(tblIncidents[[#This Row],[Days restricted]]))</f>
        <v>0</v>
      </c>
      <c r="O122" s="43" t="s">
        <v>211</v>
      </c>
      <c r="P122" s="43" t="s">
        <v>212</v>
      </c>
      <c r="Q122" s="29">
        <v>46276</v>
      </c>
      <c r="R122" s="29">
        <v>46269</v>
      </c>
      <c r="S122" s="41" t="str">
        <f>IF(tblIncidents[[#This Row],[Date]]="","",IF(tblIncidents[[#This Row],[Corrective action]]="","",IF(N(tblIncidents[[#This Row],[Action closed]])&gt;0,"Complete",IF(N(tblIncidents[[#This Row],[Action due]])=0,"Check",IF(tblIncidents[[#This Row],[Action due]]&lt;AsOf,"Overdue","In progress")))))</f>
        <v>Complete</v>
      </c>
      <c r="T122"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3" spans="2:20">
      <c r="B123" s="28" t="s">
        <v>357</v>
      </c>
      <c r="C123" s="29">
        <v>46260</v>
      </c>
      <c r="D123" s="28" t="s">
        <v>103</v>
      </c>
      <c r="E123" s="28" t="s">
        <v>250</v>
      </c>
      <c r="F123" s="28" t="s">
        <v>116</v>
      </c>
      <c r="G123" s="28" t="s">
        <v>82</v>
      </c>
      <c r="H123" s="28" t="s">
        <v>143</v>
      </c>
      <c r="I123" s="37"/>
      <c r="J123" s="37"/>
      <c r="K123" s="41" t="str">
        <f>IF(tblIncidents[[#This Row],[Date]]="","",IF(OR(tblIncidents[[#This Row],[Classification]]="Other recordable",tblIncidents[[#This Row],[Classification]]="Restricted or transfer",tblIncidents[[#This Row],[Classification]]="Days away",tblIncidents[[#This Row],[Classification]]="Fatality"),"Yes","No"))</f>
        <v>No</v>
      </c>
      <c r="L123" s="41" t="str">
        <f>IF(tblIncidents[[#This Row],[Date]]="","",IF(OR(tblIncidents[[#This Row],[Classification]]="Restricted or transfer",tblIncidents[[#This Row],[Classification]]="Days away"),"Yes","No"))</f>
        <v>No</v>
      </c>
      <c r="M123" s="41" t="str">
        <f>IF(tblIncidents[[#This Row],[Date]]="","",IF(OR(tblIncidents[[#This Row],[Classification]]="Days away",tblIncidents[[#This Row],[Classification]]="Fatality"),"Yes","No"))</f>
        <v>No</v>
      </c>
      <c r="N123" s="42">
        <f>IF(tblIncidents[[#This Row],[Date]]="","",N(tblIncidents[[#This Row],[Days away]])+N(tblIncidents[[#This Row],[Days restricted]]))</f>
        <v>0</v>
      </c>
      <c r="O123" s="43" t="s">
        <v>224</v>
      </c>
      <c r="P123" s="43" t="s">
        <v>273</v>
      </c>
      <c r="Q123" s="29">
        <v>46290</v>
      </c>
      <c r="R123" s="29">
        <v>46287</v>
      </c>
      <c r="S123" s="41" t="str">
        <f>IF(tblIncidents[[#This Row],[Date]]="","",IF(tblIncidents[[#This Row],[Corrective action]]="","",IF(N(tblIncidents[[#This Row],[Action closed]])&gt;0,"Complete",IF(N(tblIncidents[[#This Row],[Action due]])=0,"Check",IF(tblIncidents[[#This Row],[Action due]]&lt;AsOf,"Overdue","In progress")))))</f>
        <v>Complete</v>
      </c>
      <c r="T123"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4" spans="2:20">
      <c r="B124" s="28" t="s">
        <v>358</v>
      </c>
      <c r="C124" s="29">
        <v>46261</v>
      </c>
      <c r="D124" s="28" t="s">
        <v>103</v>
      </c>
      <c r="E124" s="28" t="s">
        <v>222</v>
      </c>
      <c r="F124" s="28" t="s">
        <v>116</v>
      </c>
      <c r="G124" s="28" t="s">
        <v>82</v>
      </c>
      <c r="H124" s="28" t="s">
        <v>143</v>
      </c>
      <c r="I124" s="37"/>
      <c r="J124" s="37"/>
      <c r="K124" s="41" t="str">
        <f>IF(tblIncidents[[#This Row],[Date]]="","",IF(OR(tblIncidents[[#This Row],[Classification]]="Other recordable",tblIncidents[[#This Row],[Classification]]="Restricted or transfer",tblIncidents[[#This Row],[Classification]]="Days away",tblIncidents[[#This Row],[Classification]]="Fatality"),"Yes","No"))</f>
        <v>No</v>
      </c>
      <c r="L124" s="41" t="str">
        <f>IF(tblIncidents[[#This Row],[Date]]="","",IF(OR(tblIncidents[[#This Row],[Classification]]="Restricted or transfer",tblIncidents[[#This Row],[Classification]]="Days away"),"Yes","No"))</f>
        <v>No</v>
      </c>
      <c r="M124" s="41" t="str">
        <f>IF(tblIncidents[[#This Row],[Date]]="","",IF(OR(tblIncidents[[#This Row],[Classification]]="Days away",tblIncidents[[#This Row],[Classification]]="Fatality"),"Yes","No"))</f>
        <v>No</v>
      </c>
      <c r="N124" s="42">
        <f>IF(tblIncidents[[#This Row],[Date]]="","",N(tblIncidents[[#This Row],[Days away]])+N(tblIncidents[[#This Row],[Days restricted]]))</f>
        <v>0</v>
      </c>
      <c r="O124" s="43" t="s">
        <v>186</v>
      </c>
      <c r="P124" s="43" t="s">
        <v>178</v>
      </c>
      <c r="Q124" s="29">
        <v>46306</v>
      </c>
      <c r="R124" s="29"/>
      <c r="S124" s="41" t="str">
        <f>IF(tblIncidents[[#This Row],[Date]]="","",IF(tblIncidents[[#This Row],[Corrective action]]="","",IF(N(tblIncidents[[#This Row],[Action closed]])&gt;0,"Complete",IF(N(tblIncidents[[#This Row],[Action due]])=0,"Check",IF(tblIncidents[[#This Row],[Action due]]&lt;AsOf,"Overdue","In progress")))))</f>
        <v>In progress</v>
      </c>
      <c r="T124"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5" spans="2:20">
      <c r="B125" s="28" t="s">
        <v>359</v>
      </c>
      <c r="C125" s="29">
        <v>46268</v>
      </c>
      <c r="D125" s="28" t="s">
        <v>100</v>
      </c>
      <c r="E125" s="28" t="s">
        <v>189</v>
      </c>
      <c r="F125" s="28" t="s">
        <v>121</v>
      </c>
      <c r="G125" s="28" t="s">
        <v>84</v>
      </c>
      <c r="H125" s="28" t="s">
        <v>237</v>
      </c>
      <c r="I125" s="37"/>
      <c r="J125" s="37"/>
      <c r="K125" s="41" t="str">
        <f>IF(tblIncidents[[#This Row],[Date]]="","",IF(OR(tblIncidents[[#This Row],[Classification]]="Other recordable",tblIncidents[[#This Row],[Classification]]="Restricted or transfer",tblIncidents[[#This Row],[Classification]]="Days away",tblIncidents[[#This Row],[Classification]]="Fatality"),"Yes","No"))</f>
        <v>No</v>
      </c>
      <c r="L125" s="41" t="str">
        <f>IF(tblIncidents[[#This Row],[Date]]="","",IF(OR(tblIncidents[[#This Row],[Classification]]="Restricted or transfer",tblIncidents[[#This Row],[Classification]]="Days away"),"Yes","No"))</f>
        <v>No</v>
      </c>
      <c r="M125" s="41" t="str">
        <f>IF(tblIncidents[[#This Row],[Date]]="","",IF(OR(tblIncidents[[#This Row],[Classification]]="Days away",tblIncidents[[#This Row],[Classification]]="Fatality"),"Yes","No"))</f>
        <v>No</v>
      </c>
      <c r="N125" s="42">
        <f>IF(tblIncidents[[#This Row],[Date]]="","",N(tblIncidents[[#This Row],[Days away]])+N(tblIncidents[[#This Row],[Days restricted]]))</f>
        <v>0</v>
      </c>
      <c r="O125" s="43" t="s">
        <v>191</v>
      </c>
      <c r="P125" s="43" t="s">
        <v>143</v>
      </c>
      <c r="Q125" s="29"/>
      <c r="R125" s="29"/>
      <c r="S125" s="41">
        <f>IF(tblIncidents[[#This Row],[Date]]="","",IF(tblIncidents[[#This Row],[Corrective action]]="","",IF(N(tblIncidents[[#This Row],[Action closed]])&gt;0,"Complete",IF(N(tblIncidents[[#This Row],[Action due]])=0,"Check",IF(tblIncidents[[#This Row],[Action due]]&lt;AsOf,"Overdue","In progress")))))</f>
        <v/>
      </c>
      <c r="T125"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6" spans="2:20">
      <c r="B126" s="28" t="s">
        <v>360</v>
      </c>
      <c r="C126" s="29">
        <v>46280</v>
      </c>
      <c r="D126" s="28" t="s">
        <v>100</v>
      </c>
      <c r="E126" s="28" t="s">
        <v>189</v>
      </c>
      <c r="F126" s="28" t="s">
        <v>113</v>
      </c>
      <c r="G126" s="28" t="s">
        <v>84</v>
      </c>
      <c r="H126" s="28" t="s">
        <v>200</v>
      </c>
      <c r="I126" s="37"/>
      <c r="J126" s="37"/>
      <c r="K126" s="41" t="str">
        <f>IF(tblIncidents[[#This Row],[Date]]="","",IF(OR(tblIncidents[[#This Row],[Classification]]="Other recordable",tblIncidents[[#This Row],[Classification]]="Restricted or transfer",tblIncidents[[#This Row],[Classification]]="Days away",tblIncidents[[#This Row],[Classification]]="Fatality"),"Yes","No"))</f>
        <v>No</v>
      </c>
      <c r="L126" s="41" t="str">
        <f>IF(tblIncidents[[#This Row],[Date]]="","",IF(OR(tblIncidents[[#This Row],[Classification]]="Restricted or transfer",tblIncidents[[#This Row],[Classification]]="Days away"),"Yes","No"))</f>
        <v>No</v>
      </c>
      <c r="M126" s="41" t="str">
        <f>IF(tblIncidents[[#This Row],[Date]]="","",IF(OR(tblIncidents[[#This Row],[Classification]]="Days away",tblIncidents[[#This Row],[Classification]]="Fatality"),"Yes","No"))</f>
        <v>No</v>
      </c>
      <c r="N126" s="42">
        <f>IF(tblIncidents[[#This Row],[Date]]="","",N(tblIncidents[[#This Row],[Days away]])+N(tblIncidents[[#This Row],[Days restricted]]))</f>
        <v>0</v>
      </c>
      <c r="O126" s="43" t="s">
        <v>256</v>
      </c>
      <c r="P126" s="43" t="s">
        <v>257</v>
      </c>
      <c r="Q126" s="29">
        <v>46294</v>
      </c>
      <c r="R126" s="29">
        <v>46287</v>
      </c>
      <c r="S126" s="41" t="str">
        <f>IF(tblIncidents[[#This Row],[Date]]="","",IF(tblIncidents[[#This Row],[Corrective action]]="","",IF(N(tblIncidents[[#This Row],[Action closed]])&gt;0,"Complete",IF(N(tblIncidents[[#This Row],[Action due]])=0,"Check",IF(tblIncidents[[#This Row],[Action due]]&lt;AsOf,"Overdue","In progress")))))</f>
        <v>Complete</v>
      </c>
      <c r="T126"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7" spans="2:20">
      <c r="B127" s="28" t="s">
        <v>361</v>
      </c>
      <c r="C127" s="29">
        <v>46290</v>
      </c>
      <c r="D127" s="28" t="s">
        <v>103</v>
      </c>
      <c r="E127" s="28" t="s">
        <v>208</v>
      </c>
      <c r="F127" s="28" t="s">
        <v>123</v>
      </c>
      <c r="G127" s="28" t="s">
        <v>82</v>
      </c>
      <c r="H127" s="28" t="s">
        <v>143</v>
      </c>
      <c r="I127" s="37"/>
      <c r="J127" s="37"/>
      <c r="K127" s="41" t="str">
        <f>IF(tblIncidents[[#This Row],[Date]]="","",IF(OR(tblIncidents[[#This Row],[Classification]]="Other recordable",tblIncidents[[#This Row],[Classification]]="Restricted or transfer",tblIncidents[[#This Row],[Classification]]="Days away",tblIncidents[[#This Row],[Classification]]="Fatality"),"Yes","No"))</f>
        <v>No</v>
      </c>
      <c r="L127" s="41" t="str">
        <f>IF(tblIncidents[[#This Row],[Date]]="","",IF(OR(tblIncidents[[#This Row],[Classification]]="Restricted or transfer",tblIncidents[[#This Row],[Classification]]="Days away"),"Yes","No"))</f>
        <v>No</v>
      </c>
      <c r="M127" s="41" t="str">
        <f>IF(tblIncidents[[#This Row],[Date]]="","",IF(OR(tblIncidents[[#This Row],[Classification]]="Days away",tblIncidents[[#This Row],[Classification]]="Fatality"),"Yes","No"))</f>
        <v>No</v>
      </c>
      <c r="N127" s="42">
        <f>IF(tblIncidents[[#This Row],[Date]]="","",N(tblIncidents[[#This Row],[Days away]])+N(tblIncidents[[#This Row],[Days restricted]]))</f>
        <v>0</v>
      </c>
      <c r="O127" s="43" t="s">
        <v>252</v>
      </c>
      <c r="P127" s="43" t="s">
        <v>241</v>
      </c>
      <c r="Q127" s="29">
        <v>46311</v>
      </c>
      <c r="R127" s="29">
        <v>46293</v>
      </c>
      <c r="S127" s="41" t="str">
        <f>IF(tblIncidents[[#This Row],[Date]]="","",IF(tblIncidents[[#This Row],[Corrective action]]="","",IF(N(tblIncidents[[#This Row],[Action closed]])&gt;0,"Complete",IF(N(tblIncidents[[#This Row],[Action due]])=0,"Check",IF(tblIncidents[[#This Row],[Action due]]&lt;AsOf,"Overdue","In progress")))))</f>
        <v>Complete</v>
      </c>
      <c r="T127"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8" spans="2:20">
      <c r="B128" s="28" t="s">
        <v>362</v>
      </c>
      <c r="C128" s="29">
        <v>46294</v>
      </c>
      <c r="D128" s="28" t="s">
        <v>100</v>
      </c>
      <c r="E128" s="28" t="s">
        <v>202</v>
      </c>
      <c r="F128" s="28" t="s">
        <v>121</v>
      </c>
      <c r="G128" s="28" t="s">
        <v>82</v>
      </c>
      <c r="H128" s="28" t="s">
        <v>143</v>
      </c>
      <c r="I128" s="37"/>
      <c r="J128" s="37"/>
      <c r="K128" s="41" t="str">
        <f>IF(tblIncidents[[#This Row],[Date]]="","",IF(OR(tblIncidents[[#This Row],[Classification]]="Other recordable",tblIncidents[[#This Row],[Classification]]="Restricted or transfer",tblIncidents[[#This Row],[Classification]]="Days away",tblIncidents[[#This Row],[Classification]]="Fatality"),"Yes","No"))</f>
        <v>No</v>
      </c>
      <c r="L128" s="41" t="str">
        <f>IF(tblIncidents[[#This Row],[Date]]="","",IF(OR(tblIncidents[[#This Row],[Classification]]="Restricted or transfer",tblIncidents[[#This Row],[Classification]]="Days away"),"Yes","No"))</f>
        <v>No</v>
      </c>
      <c r="M128" s="41" t="str">
        <f>IF(tblIncidents[[#This Row],[Date]]="","",IF(OR(tblIncidents[[#This Row],[Classification]]="Days away",tblIncidents[[#This Row],[Classification]]="Fatality"),"Yes","No"))</f>
        <v>No</v>
      </c>
      <c r="N128" s="42">
        <f>IF(tblIncidents[[#This Row],[Date]]="","",N(tblIncidents[[#This Row],[Days away]])+N(tblIncidents[[#This Row],[Days restricted]]))</f>
        <v>0</v>
      </c>
      <c r="O128" s="43" t="s">
        <v>203</v>
      </c>
      <c r="P128" s="43" t="s">
        <v>204</v>
      </c>
      <c r="Q128" s="29">
        <v>46339</v>
      </c>
      <c r="R128" s="29"/>
      <c r="S128" s="41" t="str">
        <f>IF(tblIncidents[[#This Row],[Date]]="","",IF(tblIncidents[[#This Row],[Corrective action]]="","",IF(N(tblIncidents[[#This Row],[Action closed]])&gt;0,"Complete",IF(N(tblIncidents[[#This Row],[Action due]])=0,"Check",IF(tblIncidents[[#This Row],[Action due]]&lt;AsOf,"Overdue","In progress")))))</f>
        <v>In progress</v>
      </c>
      <c r="T128"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row r="129" spans="2:20">
      <c r="B129" s="28" t="s">
        <v>363</v>
      </c>
      <c r="C129" s="29">
        <v>46295</v>
      </c>
      <c r="D129" s="28" t="s">
        <v>103</v>
      </c>
      <c r="E129" s="28" t="s">
        <v>222</v>
      </c>
      <c r="F129" s="28" t="s">
        <v>131</v>
      </c>
      <c r="G129" s="28" t="s">
        <v>82</v>
      </c>
      <c r="H129" s="28" t="s">
        <v>143</v>
      </c>
      <c r="I129" s="37"/>
      <c r="J129" s="37"/>
      <c r="K129" s="41" t="str">
        <f>IF(tblIncidents[[#This Row],[Date]]="","",IF(OR(tblIncidents[[#This Row],[Classification]]="Other recordable",tblIncidents[[#This Row],[Classification]]="Restricted or transfer",tblIncidents[[#This Row],[Classification]]="Days away",tblIncidents[[#This Row],[Classification]]="Fatality"),"Yes","No"))</f>
        <v>No</v>
      </c>
      <c r="L129" s="41" t="str">
        <f>IF(tblIncidents[[#This Row],[Date]]="","",IF(OR(tblIncidents[[#This Row],[Classification]]="Restricted or transfer",tblIncidents[[#This Row],[Classification]]="Days away"),"Yes","No"))</f>
        <v>No</v>
      </c>
      <c r="M129" s="41" t="str">
        <f>IF(tblIncidents[[#This Row],[Date]]="","",IF(OR(tblIncidents[[#This Row],[Classification]]="Days away",tblIncidents[[#This Row],[Classification]]="Fatality"),"Yes","No"))</f>
        <v>No</v>
      </c>
      <c r="N129" s="42">
        <f>IF(tblIncidents[[#This Row],[Date]]="","",N(tblIncidents[[#This Row],[Days away]])+N(tblIncidents[[#This Row],[Days restricted]]))</f>
        <v>0</v>
      </c>
      <c r="O129" s="43" t="s">
        <v>268</v>
      </c>
      <c r="P129" s="43" t="s">
        <v>259</v>
      </c>
      <c r="Q129" s="29">
        <v>46309</v>
      </c>
      <c r="R129" s="29"/>
      <c r="S129" s="41" t="str">
        <f>IF(tblIncidents[[#This Row],[Date]]="","",IF(tblIncidents[[#This Row],[Corrective action]]="","",IF(N(tblIncidents[[#This Row],[Action closed]])&gt;0,"Complete",IF(N(tblIncidents[[#This Row],[Action due]])=0,"Check",IF(tblIncidents[[#This Row],[Action due]]&lt;AsOf,"Overdue","In progress")))))</f>
        <v>In progress</v>
      </c>
      <c r="T129" s="40" t="str">
        <f>IF(tblIncidents[[#This Row],[Date]]="","",IF(tblIncidents[[#This Row],[Department]]="","Missing department",IF(tblIncidents[[#This Row],[Event type]]="","Missing event type",IF(tblIncidents[[#This Row],[Classification]]="","Missing classification",IF(COUNTIFS(tblIncidents[Case no.],tblIncidents[[#This Row],[Case no.]])&gt;1,"Duplicate case number",IF(tblIncidents[[#This Row],[Date]]&gt;AsOf,"Date after the as-of date",IF(AND(N(tblIncidents[[#This Row],[Days away]])&gt;0,tblIncidents[[#This Row],[Classification]]&lt;&gt;"Days away",tblIncidents[[#This Row],[Classification]]&lt;&gt;"Fatality"),"Days away on a non-days-away case",IF(AND(tblIncidents[[#This Row],[Classification]]="Days away",N(tblIncidents[[#This Row],[Days away]])=0),"Days away case needs days away",IF(AND(N(tblIncidents[[#This Row],[Days restricted]])&gt;0,tblIncidents[[#This Row],[DART]]="No",tblIncidents[[#This Row],[Classification]]&lt;&gt;"Fatality"),"Restricted days on a non-DART case",IF(tblIncidents[[#This Row],[Days lost]]&gt;180,"Over 180 days: OSHA caps at 180",IF(AND(N(tblIncidents[[#This Row],[Action closed]])&gt;0,tblIncidents[[#This Row],[Action closed]]&lt;tblIncidents[[#This Row],[Date]]),"Action closed before the incident","OK")))))))))))</f>
        <v>OK</v>
      </c>
    </row>
  </sheetData>
  <mergeCells count="3">
    <mergeCell ref="A1:T1"/>
    <mergeCell ref="B2:S2"/>
    <mergeCell ref="B4:T4"/>
  </mergeCells>
  <conditionalFormatting sqref="S6:S6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T6:T629">
    <cfRule type="expression" dxfId="3" priority="21">
      <formula>$T6="OK"</formula>
    </cfRule>
    <cfRule type="expression" dxfId="1" priority="22">
      <formula>AND($T6&lt;&gt;"",$T6&lt;&gt;"OK")</formula>
    </cfRule>
  </conditionalFormatting>
  <dataValidations count="13">
    <dataValidation type="textLength" allowBlank="1" showInputMessage="1" showErrorMessage="1" errorTitle="Check this entry" error="Text up to 20 characters." promptTitle="Case no." prompt="Your own case number, e.g. 2026-014. Must be unique. Text up to 20 characters." sqref="B6:B629">
      <formula1>0</formula1>
      <formula2>20</formula2>
    </dataValidation>
    <dataValidation type="date" allowBlank="1" showInputMessage="1" showErrorMessage="1" errorTitle="Check this entry" error="Enter a date between 01 Jan 2000 and 31 Dec 2100." promptTitle="Date" prompt="Enter a date between 01 Jan 2000 and 31 Dec 2100." sqref="C6:C629">
      <formula1>36526</formula1>
      <formula2>73415</formula2>
    </dataValidation>
    <dataValidation type="list" allowBlank="1" showInputMessage="1" showErrorMessage="1" errorTitle="Check this entry" error="Pick from the list (edit the list on Setup: Departments)." promptTitle="Department" prompt="Pick from the list (edit the list on Setup: Departments)." sqref="D6:D629">
      <formula1>Departments</formula1>
    </dataValidation>
    <dataValidation type="textLength" allowBlank="1" showInputMessage="1" showErrorMessage="1" errorTitle="Check this entry" error="Text up to 60 characters." promptTitle="Job title" prompt="Job title, not the person's name: keep names in your confidential records. Text up to 60 characters." sqref="E6:E629">
      <formula1>0</formula1>
      <formula2>60</formula2>
    </dataValidation>
    <dataValidation type="list" allowBlank="1" showInputMessage="1" showErrorMessage="1" errorTitle="Check this entry" error="Pick from the list (edit the list on Setup: EventTypes)." promptTitle="Event type" prompt="Pick from the list (edit the list on Setup: EventTypes)." sqref="F6:F629">
      <formula1>EventTypes</formula1>
    </dataValidation>
    <dataValidation type="list" allowBlank="1" showInputMessage="1" showErrorMessage="1" errorTitle="Check this entry" error="Pick one of: Near miss, First aid, Other recordable, Restricted or transfer, Days away, Fatality." promptTitle="Classification" prompt="Most serious outcome of the case (see Setup). Pick one of: Near miss, First aid, Other recordable, Restricted or transfer, Days away, Fatality." sqref="G6:G629">
      <formula1>"Near miss,First aid,Other recordable,Restricted or transfer,Days away,Fatality"</formula1>
    </dataValidation>
    <dataValidation type="textLength" allowBlank="1" showInputMessage="1" showErrorMessage="1" errorTitle="Check this entry" error="Text up to 120 characters." promptTitle="Injury or illness" prompt="Nature and body part, e.g. Laceration, left hand. Blank for a near miss. Text up to 120 characters." sqref="H6:H629">
      <formula1>0</formula1>
      <formula2>120</formula2>
    </dataValidation>
    <dataValidation type="whole" allowBlank="1" showInputMessage="1" showErrorMessage="1" errorTitle="Check this entry" error="Enter a whole number from 0 to 10,000." promptTitle="Days away" prompt="Calendar days away from work, not counting the day of injury. Enter a whole number from 0 to 10,000." sqref="I6:I629">
      <formula1>0</formula1>
      <formula2>10000</formula2>
    </dataValidation>
    <dataValidation type="whole" allowBlank="1" showInputMessage="1" showErrorMessage="1" errorTitle="Check this entry" error="Enter a whole number from 0 to 10,000." promptTitle="Days restricted" prompt="Calendar days of restricted work or job transfer. Enter a whole number from 0 to 10,000." sqref="J6:J629">
      <formula1>0</formula1>
      <formula2>10000</formula2>
    </dataValidation>
    <dataValidation type="textLength" allowBlank="1" showInputMessage="1" showErrorMessage="1" errorTitle="Check this entry" error="Text up to 255 characters." promptTitle="What happened" prompt="Text up to 255 characters." sqref="O6:O629">
      <formula1>0</formula1>
      <formula2>255</formula2>
    </dataValidation>
    <dataValidation type="textLength" allowBlank="1" showInputMessage="1" showErrorMessage="1" errorTitle="Check this entry" error="Text up to 255 characters." promptTitle="Corrective action" prompt="Text up to 255 characters." sqref="P6:P629">
      <formula1>0</formula1>
      <formula2>255</formula2>
    </dataValidation>
    <dataValidation type="date" allowBlank="1" showInputMessage="1" showErrorMessage="1" errorTitle="Check this entry" error="Enter a date between 01 Jan 2000 and 31 Dec 2100." promptTitle="Action due" prompt="Enter a date between 01 Jan 2000 and 31 Dec 2100." sqref="Q6:Q629">
      <formula1>36526</formula1>
      <formula2>73415</formula2>
    </dataValidation>
    <dataValidation type="date" allowBlank="1" showInputMessage="1" showErrorMessage="1" errorTitle="Check this entry" error="Enter a date between 01 Jan 2000 and 31 Dec 2100." promptTitle="Action closed" prompt="Leave blank while the action is open. Enter a date between 01 Jan 2000 and 31 Dec 2100." sqref="R6:R629">
      <formula1>36526</formula1>
      <formula2>73415</formula2>
    </dataValidation>
  </dataValidations>
  <hyperlinks>
    <hyperlink ref="T2" r:id="rId1" tooltip="Free manufacturing calculators and templates"/>
  </hyperlinks>
  <pageMargins left="0.4" right="0.4" top="0.7" bottom="0.65" header="0.3" footer="0.3"/>
  <pageSetup fitToHeight="0" orientation="landscape"/>
  <headerFooter>
    <oddHeader>&amp;L&amp;8MFG Calcs - Safety Incident Log with TRIR and DART&amp;R&amp;8&amp;A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9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64</v>
      </c>
      <c r="C4" s="27"/>
      <c r="D4" s="28"/>
      <c r="E4" s="28"/>
      <c r="G4" s="27" t="s">
        <v>364</v>
      </c>
      <c r="H4" s="27"/>
      <c r="I4" s="44"/>
      <c r="J4" s="44"/>
    </row>
    <row r="5" spans="1:12" x14ac:dyDescent="0.25">
      <c r="B5" s="27" t="s">
        <v>365</v>
      </c>
      <c r="C5" s="27"/>
      <c r="D5" s="45">
        <f>IF(FEnd=0,"",FStart)</f>
        <v>45931</v>
      </c>
      <c r="E5" s="45"/>
      <c r="G5" s="27" t="s">
        <v>366</v>
      </c>
      <c r="H5" s="27"/>
      <c r="I5" s="45">
        <f>IF(FEnd=0,"",FEnd)</f>
        <v>46266</v>
      </c>
      <c r="J5" s="45"/>
    </row>
    <row r="6" spans="1:12" x14ac:dyDescent="0.25">
      <c r="B6" s="46" t="str">
        <f>IF(DashDept="","Whole site. ","Department: "&amp;DashDept&amp;". ")&amp;"Rates are per 200,000 hours worked (the OSHA basis), except LTIFR per 1,000,000 hours. Leave the filters blank to see the latest 12 months for the whole site."</f>
        <v>Whole site. Rates are per 200,000 hours worked (the OSHA basis), except LTIFR per 1,000,000 hours. Leave the filters blank to see the latest 12 months for the whole site.</v>
      </c>
      <c r="C6" s="46"/>
      <c r="D6" s="46"/>
      <c r="E6" s="46"/>
      <c r="F6" s="46"/>
      <c r="G6" s="46"/>
      <c r="H6" s="46"/>
      <c r="I6" s="46"/>
      <c r="J6" s="46"/>
      <c r="K6" s="46"/>
      <c r="L6" s="46"/>
    </row>
    <row r="8" spans="1:12" ht="18" customHeight="1" x14ac:dyDescent="0.25">
      <c r="B8" s="47" t="s">
        <v>367</v>
      </c>
      <c r="C8" s="47"/>
      <c r="D8" s="47" t="s">
        <v>368</v>
      </c>
      <c r="E8" s="47"/>
      <c r="F8" s="47"/>
      <c r="G8" s="47" t="s">
        <v>369</v>
      </c>
      <c r="H8" s="47"/>
      <c r="I8" s="47"/>
      <c r="J8" s="47" t="s">
        <v>370</v>
      </c>
      <c r="K8" s="47"/>
      <c r="L8" s="47"/>
    </row>
    <row r="9" spans="1:12" ht="21" customHeight="1" x14ac:dyDescent="0.25">
      <c r="B9" s="48">
        <f>IF((SUMIFS(tblHours[Hours worked],tblHours[Department],FDept,tblHours[Month start],"&gt;="&amp;FStart,tblHours[Month start],"&lt;="&amp;FEnd))=0,"",(COUNTIFS(tblIncidents[Recordable],"Yes",tblIncidents[Department],FDept,tblIncidents[Date],"&gt;="&amp;FStart,tblIncidents[Date],"&lt;="&amp;EOMONTH(FEnd,0))*200000)/(SUMIFS(tblHours[Hours worked],tblHours[Department],FDept,tblHours[Month start],"&gt;="&amp;FStart,tblHours[Month start],"&lt;="&amp;FEnd)))</f>
        <v>2.75475769610431</v>
      </c>
      <c r="C9" s="48"/>
      <c r="D9" s="48">
        <f>IF((SUMIFS(tblHours[Hours worked],tblHours[Department],FDept,tblHours[Month start],"&gt;="&amp;FStart,tblHours[Month start],"&lt;="&amp;FEnd))=0,"",(COUNTIFS(tblIncidents[DART],"Yes",tblIncidents[Department],FDept,tblIncidents[Date],"&gt;="&amp;FStart,tblIncidents[Date],"&lt;="&amp;EOMONTH(FEnd,0))*200000)/(SUMIFS(tblHours[Hours worked],tblHours[Department],FDept,tblHours[Month start],"&gt;="&amp;FStart,tblHours[Month start],"&lt;="&amp;FEnd)))</f>
        <v>1.37737884805216</v>
      </c>
      <c r="E9" s="48"/>
      <c r="F9" s="48"/>
      <c r="G9" s="48">
        <f>IF((SUMIFS(tblHours[Hours worked],tblHours[Department],FDept,tblHours[Month start],"&gt;="&amp;FStart,tblHours[Month start],"&lt;="&amp;FEnd))=0,"",(COUNTIFS(tblIncidents[Lost time],"Yes",tblIncidents[Department],FDept,tblIncidents[Date],"&gt;="&amp;FStart,tblIncidents[Date],"&lt;="&amp;EOMONTH(FEnd,0))*1000000)/(SUMIFS(tblHours[Hours worked],tblHours[Department],FDept,tblHours[Month start],"&gt;="&amp;FStart,tblHours[Month start],"&lt;="&amp;FEnd)))</f>
        <v>4.59126282684052</v>
      </c>
      <c r="H9" s="48"/>
      <c r="I9" s="48"/>
      <c r="J9" s="49">
        <f>COUNTIFS(tblIncidents[Recordable],"Yes",tblIncidents[Department],FDept,tblIncidents[Date],"&gt;="&amp;FStart,tblIncidents[Date],"&lt;="&amp;EOMONTH(FEnd,0))</f>
        <v>6</v>
      </c>
      <c r="K9" s="49"/>
      <c r="L9" s="49"/>
    </row>
    <row r="10" spans="1:12" ht="21" customHeight="1" x14ac:dyDescent="0.25">
      <c r="B10" s="48"/>
      <c r="C10" s="48"/>
      <c r="D10" s="48"/>
      <c r="E10" s="48"/>
      <c r="F10" s="48"/>
      <c r="G10" s="48"/>
      <c r="H10" s="48"/>
      <c r="I10" s="48"/>
      <c r="J10" s="49"/>
      <c r="K10" s="49"/>
      <c r="L10" s="49"/>
    </row>
    <row r="11" spans="1:12" x14ac:dyDescent="0.25">
      <c r="B11" s="50">
        <f>TargetTRIR</f>
        <v>3</v>
      </c>
      <c r="C11" s="50"/>
      <c r="D11" s="50">
        <f>TargetDART</f>
        <v>1.5</v>
      </c>
      <c r="E11" s="50"/>
      <c r="F11" s="50"/>
      <c r="G11" s="51" t="s">
        <v>371</v>
      </c>
      <c r="H11" s="51"/>
      <c r="I11" s="51"/>
      <c r="J11" s="51" t="s">
        <v>372</v>
      </c>
      <c r="K11" s="51"/>
      <c r="L11" s="51"/>
    </row>
    <row r="12" spans="1:12" ht="18" customHeight="1" x14ac:dyDescent="0.25">
      <c r="B12" s="52" t="str">
        <f>IF(NOT(ISNUMBER(KpiTRIR)),"No data",IF(KpiTRIR&lt;=(TargetTRIR),"On target",IF(KpiTRIR&lt;=(TargetTRIR)*(1+0.05),"Near target","Above target")))</f>
        <v>On target</v>
      </c>
      <c r="C12" s="52"/>
      <c r="D12" s="52" t="str">
        <f>IF(NOT(ISNUMBER(KpiDART)),"No data",IF(KpiDART&lt;=(TargetDART),"On target",IF(KpiDART&lt;=(TargetDART)*(1+0.05),"Near target","Above target")))</f>
        <v>On target</v>
      </c>
      <c r="E12" s="52"/>
      <c r="F12" s="52"/>
      <c r="G12" s="52"/>
      <c r="H12" s="52"/>
      <c r="I12" s="52"/>
      <c r="J12" s="52"/>
      <c r="K12" s="52"/>
      <c r="L12" s="52"/>
    </row>
    <row r="30" spans="2:12" ht="18" customHeight="1" x14ac:dyDescent="0.25">
      <c r="B30" s="47" t="s">
        <v>373</v>
      </c>
      <c r="C30" s="47"/>
      <c r="D30" s="47" t="s">
        <v>374</v>
      </c>
      <c r="E30" s="47"/>
      <c r="F30" s="47"/>
      <c r="G30" s="47" t="s">
        <v>375</v>
      </c>
      <c r="H30" s="47"/>
      <c r="I30" s="47"/>
      <c r="J30" s="47" t="s">
        <v>376</v>
      </c>
      <c r="K30" s="47"/>
      <c r="L30" s="47"/>
    </row>
    <row r="31" spans="2:12" ht="21" customHeight="1" x14ac:dyDescent="0.25">
      <c r="B31" s="49">
        <f>SUMIFS(tblIncidents[Days lost],tblIncidents[Department],FDept,tblIncidents[Date],"&gt;="&amp;FStart,tblIncidents[Date],"&lt;="&amp;EOMONTH(FEnd,0))</f>
        <v>23</v>
      </c>
      <c r="C31" s="49"/>
      <c r="D31" s="49">
        <f>COUNTIFS(tblIncidents[Classification],"Near miss",tblIncidents[Department],FDept,tblIncidents[Date],"&gt;="&amp;FStart,tblIncidents[Date],"&lt;="&amp;EOMONTH(FEnd,0))+COUNTIFS(tblIncidents[Classification],"First aid",tblIncidents[Department],FDept,tblIncidents[Date],"&gt;="&amp;FStart,tblIncidents[Date],"&lt;="&amp;EOMONTH(FEnd,0))</f>
        <v>61</v>
      </c>
      <c r="E31" s="49"/>
      <c r="F31" s="49"/>
      <c r="G31" s="49">
        <f>COUNTIFS(tblIncidents[Action status],"Overdue",tblIncidents[Department],FDept)</f>
        <v>2</v>
      </c>
      <c r="H31" s="49"/>
      <c r="I31" s="49"/>
      <c r="J31" s="49">
        <f>IF(COUNTIFS(tblIncidents[Recordable],"Yes",tblIncidents[Department],FDept,tblIncidents[Date],"&lt;="&amp;AsOf)=0,"",AsOf-SUMPRODUCT(MAX((tblIncidents[Recordable]="Yes")*(((DashDept="")+(tblIncidents[Department]=DashDept))&gt;0)*(tblIncidents[Date]&lt;=AsOf)*tblIncidents[Date])))</f>
        <v>43</v>
      </c>
      <c r="K31" s="49"/>
      <c r="L31" s="49"/>
    </row>
    <row r="32" spans="2:12" ht="21" customHeight="1" x14ac:dyDescent="0.25">
      <c r="B32" s="49"/>
      <c r="C32" s="49"/>
      <c r="D32" s="49"/>
      <c r="E32" s="49"/>
      <c r="F32" s="49"/>
      <c r="G32" s="49"/>
      <c r="H32" s="49"/>
      <c r="I32" s="49"/>
      <c r="J32" s="49"/>
      <c r="K32" s="49"/>
      <c r="L32" s="49"/>
    </row>
    <row r="33" spans="2:12" x14ac:dyDescent="0.25">
      <c r="B33" s="51" t="s">
        <v>377</v>
      </c>
      <c r="C33" s="51"/>
      <c r="D33" s="51" t="s">
        <v>378</v>
      </c>
      <c r="E33" s="51"/>
      <c r="F33" s="51"/>
      <c r="G33" s="53">
        <f>0</f>
        <v>0</v>
      </c>
      <c r="H33" s="53"/>
      <c r="I33" s="53"/>
      <c r="J33" s="51" t="s">
        <v>379</v>
      </c>
      <c r="K33" s="51"/>
      <c r="L33" s="51"/>
    </row>
    <row r="34" spans="2:12" ht="18" customHeight="1" x14ac:dyDescent="0.25">
      <c r="B34" s="52"/>
      <c r="C34" s="52"/>
      <c r="D34" s="52"/>
      <c r="E34" s="52"/>
      <c r="F34" s="52"/>
      <c r="G34" s="52" t="str">
        <f>IF(NOT(ISNUMBER(KpiOverdue)),"No data",IF(KpiOverdue&lt;=(0),"On target",IF(KpiOverdue&lt;=(0)*(1+0.05),"Near target","Above target")))</f>
        <v>Above target</v>
      </c>
      <c r="H34" s="52"/>
      <c r="I34" s="52"/>
      <c r="J34" s="52"/>
      <c r="K34" s="52"/>
      <c r="L34" s="52"/>
    </row>
    <row r="52" spans="2:43" x14ac:dyDescent="0.25">
      <c r="B52" s="34" t="s">
        <v>380</v>
      </c>
      <c r="C52" s="34"/>
      <c r="D52" s="34"/>
      <c r="E52" s="34"/>
      <c r="F52" s="34"/>
      <c r="G52" s="34"/>
    </row>
    <row r="53" spans="2:43" ht="20" customHeight="1" x14ac:dyDescent="0.25">
      <c r="B53" s="35" t="s">
        <v>381</v>
      </c>
      <c r="C53" s="31" t="s">
        <v>67</v>
      </c>
      <c r="D53" s="31"/>
      <c r="E53" s="35" t="s">
        <v>382</v>
      </c>
      <c r="F53" s="35" t="s">
        <v>383</v>
      </c>
      <c r="G53" s="35" t="s">
        <v>384</v>
      </c>
      <c r="AO53" s="7" t="s">
        <v>385</v>
      </c>
      <c r="AP53" s="7" t="s">
        <v>386</v>
      </c>
      <c r="AQ53" s="7" t="s">
        <v>387</v>
      </c>
    </row>
    <row r="54" spans="2:43" x14ac:dyDescent="0.25">
      <c r="B54" s="54"/>
      <c r="C54" s="54"/>
      <c r="D54" s="54"/>
      <c r="E54" s="54" t="s">
        <v>388</v>
      </c>
      <c r="F54" s="54" t="s">
        <v>389</v>
      </c>
      <c r="G54" s="54" t="s">
        <v>389</v>
      </c>
    </row>
    <row r="55" spans="2:43" x14ac:dyDescent="0.25">
      <c r="B55" s="55">
        <v>1</v>
      </c>
      <c r="C55" s="56" t="str">
        <f>IF(INDEX($AP$55:$AP$64,MATCH(1,$AQ$55:$AQ$64,0))&lt;0,"",INDEX($AO$55:$AO$64,MATCH(1,$AQ$55:$AQ$64,0)))</f>
        <v>Foreign body in eye</v>
      </c>
      <c r="D55" s="56"/>
      <c r="E55" s="42">
        <f>IF($C$55="","",INDEX($AP$55:$AP$64,MATCH(1,$AQ$55:$AQ$64,0)))</f>
        <v>7</v>
      </c>
      <c r="F55" s="57">
        <f>IF(OR($C$55="",$E$65=0),"",$E$55/$E$65)</f>
        <v>0.241379310344828</v>
      </c>
      <c r="G55" s="57">
        <f>IF(OR($C$55="",$E$65=0),"",SUM($E$55:$E$55)/$E$65)</f>
        <v>0.241379310344828</v>
      </c>
      <c r="AO55" s="11" t="str">
        <f>IFERROR(INDEX(tblEventTypes[Event type],1)&amp;"","")</f>
        <v>Cut or laceration</v>
      </c>
      <c r="AP55" s="58">
        <f>IF($AO$55="",-1,COUNTIFS(tblIncidents[Event type],$AO$55,tblIncidents[Classification],"&lt;&gt;Near miss",tblIncidents[Department],FDept,tblIncidents[Date],"&gt;="&amp;FStart,tblIncidents[Date],"&lt;="&amp;EOMONTH(FEnd,0)))</f>
        <v>1</v>
      </c>
      <c r="AQ55" s="58">
        <f>COUNTIF($AP$55:$AP$64,"&gt;"&amp;$AP$55)+COUNTIF($AP$55:$AP$55,$AP$55)</f>
        <v>6</v>
      </c>
    </row>
    <row r="56" spans="2:43" x14ac:dyDescent="0.25">
      <c r="B56" s="55">
        <v>2</v>
      </c>
      <c r="C56" s="56" t="str">
        <f>IF(INDEX($AP$55:$AP$64,MATCH(2,$AQ$55:$AQ$64,0))&lt;0,"",INDEX($AO$55:$AO$64,MATCH(2,$AQ$55:$AQ$64,0)))</f>
        <v>Overexertion or lifting</v>
      </c>
      <c r="D56" s="56"/>
      <c r="E56" s="42">
        <f>IF($C$56="","",INDEX($AP$55:$AP$64,MATCH(2,$AQ$55:$AQ$64,0)))</f>
        <v>6</v>
      </c>
      <c r="F56" s="57">
        <f>IF(OR($C$56="",$E$65=0),"",$E$56/$E$65)</f>
        <v>0.206896551724138</v>
      </c>
      <c r="G56" s="57">
        <f>IF(OR($C$56="",$E$65=0),"",SUM($E$55:$E$56)/$E$65)</f>
        <v>0.448275862068966</v>
      </c>
      <c r="AO56" s="11" t="str">
        <f>IFERROR(INDEX(tblEventTypes[Event type],2)&amp;"","")</f>
        <v>Burn or hot spatter</v>
      </c>
      <c r="AP56" s="58">
        <f>IF($AO$56="",-1,COUNTIFS(tblIncidents[Event type],$AO$56,tblIncidents[Classification],"&lt;&gt;Near miss",tblIncidents[Department],FDept,tblIncidents[Date],"&gt;="&amp;FStart,tblIncidents[Date],"&lt;="&amp;EOMONTH(FEnd,0)))</f>
        <v>5</v>
      </c>
      <c r="AQ56" s="58">
        <f>COUNTIF($AP$55:$AP$64,"&gt;"&amp;$AP$56)+COUNTIF($AP$55:$AP$56,$AP$56)</f>
        <v>3</v>
      </c>
    </row>
    <row r="57" spans="2:43" x14ac:dyDescent="0.25">
      <c r="B57" s="55">
        <v>3</v>
      </c>
      <c r="C57" s="56" t="str">
        <f>IF(INDEX($AP$55:$AP$64,MATCH(3,$AQ$55:$AQ$64,0))&lt;0,"",INDEX($AO$55:$AO$64,MATCH(3,$AQ$55:$AQ$64,0)))</f>
        <v>Burn or hot spatter</v>
      </c>
      <c r="D57" s="56"/>
      <c r="E57" s="42">
        <f>IF($C$57="","",INDEX($AP$55:$AP$64,MATCH(3,$AQ$55:$AQ$64,0)))</f>
        <v>5</v>
      </c>
      <c r="F57" s="57">
        <f>IF(OR($C$57="",$E$65=0),"",$E$57/$E$65)</f>
        <v>0.172413793103448</v>
      </c>
      <c r="G57" s="57">
        <f>IF(OR($C$57="",$E$65=0),"",SUM($E$55:$E$57)/$E$65)</f>
        <v>0.620689655172414</v>
      </c>
      <c r="AO57" s="11" t="str">
        <f>IFERROR(INDEX(tblEventTypes[Event type],3)&amp;"","")</f>
        <v>Overexertion or lifting</v>
      </c>
      <c r="AP57" s="58">
        <f>IF($AO$57="",-1,COUNTIFS(tblIncidents[Event type],$AO$57,tblIncidents[Classification],"&lt;&gt;Near miss",tblIncidents[Department],FDept,tblIncidents[Date],"&gt;="&amp;FStart,tblIncidents[Date],"&lt;="&amp;EOMONTH(FEnd,0)))</f>
        <v>6</v>
      </c>
      <c r="AQ57" s="58">
        <f>COUNTIF($AP$55:$AP$64,"&gt;"&amp;$AP$57)+COUNTIF($AP$55:$AP$57,$AP$57)</f>
        <v>2</v>
      </c>
    </row>
    <row r="58" spans="2:43" x14ac:dyDescent="0.25">
      <c r="B58" s="55">
        <v>4</v>
      </c>
      <c r="C58" s="56" t="str">
        <f>IF(INDEX($AP$55:$AP$64,MATCH(4,$AQ$55:$AQ$64,0))&lt;0,"",INDEX($AO$55:$AO$64,MATCH(4,$AQ$55:$AQ$64,0)))</f>
        <v>Struck by object</v>
      </c>
      <c r="D58" s="56"/>
      <c r="E58" s="42">
        <f>IF($C$58="","",INDEX($AP$55:$AP$64,MATCH(4,$AQ$55:$AQ$64,0)))</f>
        <v>5</v>
      </c>
      <c r="F58" s="57">
        <f>IF(OR($C$58="",$E$65=0),"",$E$58/$E$65)</f>
        <v>0.172413793103448</v>
      </c>
      <c r="G58" s="57">
        <f>IF(OR($C$58="",$E$65=0),"",SUM($E$55:$E$58)/$E$65)</f>
        <v>0.793103448275862</v>
      </c>
      <c r="AO58" s="11" t="str">
        <f>IFERROR(INDEX(tblEventTypes[Event type],4)&amp;"","")</f>
        <v>Struck by object</v>
      </c>
      <c r="AP58" s="58">
        <f>IF($AO$58="",-1,COUNTIFS(tblIncidents[Event type],$AO$58,tblIncidents[Classification],"&lt;&gt;Near miss",tblIncidents[Department],FDept,tblIncidents[Date],"&gt;="&amp;FStart,tblIncidents[Date],"&lt;="&amp;EOMONTH(FEnd,0)))</f>
        <v>5</v>
      </c>
      <c r="AQ58" s="58">
        <f>COUNTIF($AP$55:$AP$64,"&gt;"&amp;$AP$58)+COUNTIF($AP$55:$AP$58,$AP$58)</f>
        <v>4</v>
      </c>
    </row>
    <row r="59" spans="2:43" x14ac:dyDescent="0.25">
      <c r="B59" s="55">
        <v>5</v>
      </c>
      <c r="C59" s="56" t="str">
        <f>IF(INDEX($AP$55:$AP$64,MATCH(5,$AQ$55:$AQ$64,0))&lt;0,"",INDEX($AO$55:$AO$64,MATCH(5,$AQ$55:$AQ$64,0)))</f>
        <v>Slip, trip or fall</v>
      </c>
      <c r="D59" s="56"/>
      <c r="E59" s="42">
        <f>IF($C$59="","",INDEX($AP$55:$AP$64,MATCH(5,$AQ$55:$AQ$64,0)))</f>
        <v>3</v>
      </c>
      <c r="F59" s="57">
        <f>IF(OR($C$59="",$E$65=0),"",$E$59/$E$65)</f>
        <v>0.103448275862069</v>
      </c>
      <c r="G59" s="57">
        <f>IF(OR($C$59="",$E$65=0),"",SUM($E$55:$E$59)/$E$65)</f>
        <v>0.896551724137931</v>
      </c>
      <c r="AO59" s="11" t="str">
        <f>IFERROR(INDEX(tblEventTypes[Event type],5)&amp;"","")</f>
        <v>Foreign body in eye</v>
      </c>
      <c r="AP59" s="58">
        <f>IF($AO$59="",-1,COUNTIFS(tblIncidents[Event type],$AO$59,tblIncidents[Classification],"&lt;&gt;Near miss",tblIncidents[Department],FDept,tblIncidents[Date],"&gt;="&amp;FStart,tblIncidents[Date],"&lt;="&amp;EOMONTH(FEnd,0)))</f>
        <v>7</v>
      </c>
      <c r="AQ59" s="58">
        <f>COUNTIF($AP$55:$AP$64,"&gt;"&amp;$AP$59)+COUNTIF($AP$55:$AP$59,$AP$59)</f>
        <v>1</v>
      </c>
    </row>
    <row r="60" spans="2:43" x14ac:dyDescent="0.25">
      <c r="B60" s="55">
        <v>6</v>
      </c>
      <c r="C60" s="56" t="str">
        <f>IF(INDEX($AP$55:$AP$64,MATCH(6,$AQ$55:$AQ$64,0))&lt;0,"",INDEX($AO$55:$AO$64,MATCH(6,$AQ$55:$AQ$64,0)))</f>
        <v>Cut or laceration</v>
      </c>
      <c r="D60" s="56"/>
      <c r="E60" s="42">
        <f>IF($C$60="","",INDEX($AP$55:$AP$64,MATCH(6,$AQ$55:$AQ$64,0)))</f>
        <v>1</v>
      </c>
      <c r="F60" s="57">
        <f>IF(OR($C$60="",$E$65=0),"",$E$60/$E$65)</f>
        <v>0.0344827586206897</v>
      </c>
      <c r="G60" s="57">
        <f>IF(OR($C$60="",$E$65=0),"",SUM($E$55:$E$60)/$E$65)</f>
        <v>0.931034482758621</v>
      </c>
      <c r="AO60" s="11" t="str">
        <f>IFERROR(INDEX(tblEventTypes[Event type],6)&amp;"","")</f>
        <v>Slip, trip or fall</v>
      </c>
      <c r="AP60" s="58">
        <f>IF($AO$60="",-1,COUNTIFS(tblIncidents[Event type],$AO$60,tblIncidents[Classification],"&lt;&gt;Near miss",tblIncidents[Department],FDept,tblIncidents[Date],"&gt;="&amp;FStart,tblIncidents[Date],"&lt;="&amp;EOMONTH(FEnd,0)))</f>
        <v>3</v>
      </c>
      <c r="AQ60" s="58">
        <f>COUNTIF($AP$55:$AP$64,"&gt;"&amp;$AP$60)+COUNTIF($AP$55:$AP$60,$AP$60)</f>
        <v>5</v>
      </c>
    </row>
    <row r="61" spans="2:43" x14ac:dyDescent="0.25">
      <c r="B61" s="55">
        <v>7</v>
      </c>
      <c r="C61" s="56" t="str">
        <f>IF(INDEX($AP$55:$AP$64,MATCH(7,$AQ$55:$AQ$64,0))&lt;0,"",INDEX($AO$55:$AO$64,MATCH(7,$AQ$55:$AQ$64,0)))</f>
        <v>Caught in or between</v>
      </c>
      <c r="D61" s="56"/>
      <c r="E61" s="42">
        <f>IF($C$61="","",INDEX($AP$55:$AP$64,MATCH(7,$AQ$55:$AQ$64,0)))</f>
        <v>1</v>
      </c>
      <c r="F61" s="57">
        <f>IF(OR($C$61="",$E$65=0),"",$E$61/$E$65)</f>
        <v>0.0344827586206897</v>
      </c>
      <c r="G61" s="57">
        <f>IF(OR($C$61="",$E$65=0),"",SUM($E$55:$E$61)/$E$65)</f>
        <v>0.96551724137931</v>
      </c>
      <c r="AO61" s="11" t="str">
        <f>IFERROR(INDEX(tblEventTypes[Event type],7)&amp;"","")</f>
        <v>Caught in or between</v>
      </c>
      <c r="AP61" s="58">
        <f>IF($AO$61="",-1,COUNTIFS(tblIncidents[Event type],$AO$61,tblIncidents[Classification],"&lt;&gt;Near miss",tblIncidents[Department],FDept,tblIncidents[Date],"&gt;="&amp;FStart,tblIncidents[Date],"&lt;="&amp;EOMONTH(FEnd,0)))</f>
        <v>1</v>
      </c>
      <c r="AQ61" s="58">
        <f>COUNTIF($AP$55:$AP$64,"&gt;"&amp;$AP$61)+COUNTIF($AP$55:$AP$61,$AP$61)</f>
        <v>7</v>
      </c>
    </row>
    <row r="62" spans="2:43" x14ac:dyDescent="0.25">
      <c r="B62" s="55">
        <v>8</v>
      </c>
      <c r="C62" s="56" t="str">
        <f>IF(INDEX($AP$55:$AP$64,MATCH(8,$AQ$55:$AQ$64,0))&lt;0,"",INDEX($AO$55:$AO$64,MATCH(8,$AQ$55:$AQ$64,0)))</f>
        <v>Chemical or fume exposure</v>
      </c>
      <c r="D62" s="56"/>
      <c r="E62" s="42">
        <f>IF($C$62="","",INDEX($AP$55:$AP$64,MATCH(8,$AQ$55:$AQ$64,0)))</f>
        <v>1</v>
      </c>
      <c r="F62" s="57">
        <f>IF(OR($C$62="",$E$65=0),"",$E$62/$E$65)</f>
        <v>0.0344827586206897</v>
      </c>
      <c r="G62" s="57">
        <f>IF(OR($C$62="",$E$65=0),"",SUM($E$55:$E$62)/$E$65)</f>
        <v>1</v>
      </c>
      <c r="AO62" s="11" t="str">
        <f>IFERROR(INDEX(tblEventTypes[Event type],8)&amp;"","")</f>
        <v>Forklift or vehicle</v>
      </c>
      <c r="AP62" s="58">
        <f>IF($AO$62="",-1,COUNTIFS(tblIncidents[Event type],$AO$62,tblIncidents[Classification],"&lt;&gt;Near miss",tblIncidents[Department],FDept,tblIncidents[Date],"&gt;="&amp;FStart,tblIncidents[Date],"&lt;="&amp;EOMONTH(FEnd,0)))</f>
        <v>0</v>
      </c>
      <c r="AQ62" s="58">
        <f>COUNTIF($AP$55:$AP$64,"&gt;"&amp;$AP$62)+COUNTIF($AP$55:$AP$62,$AP$62)</f>
        <v>9</v>
      </c>
    </row>
    <row r="63" spans="2:43" x14ac:dyDescent="0.25">
      <c r="B63" s="55">
        <v>9</v>
      </c>
      <c r="C63" s="56" t="str">
        <f>IF(INDEX($AP$55:$AP$64,MATCH(9,$AQ$55:$AQ$64,0))&lt;0,"",INDEX($AO$55:$AO$64,MATCH(9,$AQ$55:$AQ$64,0)))</f>
        <v>Forklift or vehicle</v>
      </c>
      <c r="D63" s="56"/>
      <c r="E63" s="42">
        <f>IF($C$63="","",INDEX($AP$55:$AP$64,MATCH(9,$AQ$55:$AQ$64,0)))</f>
        <v>0</v>
      </c>
      <c r="F63" s="57">
        <f>IF(OR($C$63="",$E$65=0),"",$E$63/$E$65)</f>
        <v>0</v>
      </c>
      <c r="G63" s="57">
        <f>IF(OR($C$63="",$E$65=0),"",SUM($E$55:$E$63)/$E$65)</f>
        <v>1</v>
      </c>
      <c r="AO63" s="11" t="str">
        <f>IFERROR(INDEX(tblEventTypes[Event type],9)&amp;"","")</f>
        <v>Chemical or fume exposure</v>
      </c>
      <c r="AP63" s="58">
        <f>IF($AO$63="",-1,COUNTIFS(tblIncidents[Event type],$AO$63,tblIncidents[Classification],"&lt;&gt;Near miss",tblIncidents[Department],FDept,tblIncidents[Date],"&gt;="&amp;FStart,tblIncidents[Date],"&lt;="&amp;EOMONTH(FEnd,0)))</f>
        <v>1</v>
      </c>
      <c r="AQ63" s="58">
        <f>COUNTIF($AP$55:$AP$64,"&gt;"&amp;$AP$63)+COUNTIF($AP$55:$AP$63,$AP$63)</f>
        <v>8</v>
      </c>
    </row>
    <row r="64" spans="2:43" x14ac:dyDescent="0.25">
      <c r="B64" s="55">
        <v>10</v>
      </c>
      <c r="C64" s="56" t="str">
        <f>IF(INDEX($AP$55:$AP$64,MATCH(10,$AQ$55:$AQ$64,0))&lt;0,"",INDEX($AO$55:$AO$64,MATCH(10,$AQ$55:$AQ$64,0)))</f>
        <v>Other</v>
      </c>
      <c r="D64" s="56"/>
      <c r="E64" s="42">
        <f>IF($C$64="","",INDEX($AP$55:$AP$64,MATCH(10,$AQ$55:$AQ$64,0)))</f>
        <v>0</v>
      </c>
      <c r="F64" s="57">
        <f>IF(OR($C$64="",$E$65=0),"",$E$64/$E$65)</f>
        <v>0</v>
      </c>
      <c r="G64" s="57">
        <f>IF(OR($C$64="",$E$65=0),"",SUM($E$55:$E$64)/$E$65)</f>
        <v>1</v>
      </c>
      <c r="AO64" s="11" t="str">
        <f>IFERROR(INDEX(tblEventTypes[Event type],10)&amp;"","")</f>
        <v>Other</v>
      </c>
      <c r="AP64" s="58">
        <f>IF($AO$64="",-1,COUNTIFS(tblIncidents[Event type],$AO$64,tblIncidents[Classification],"&lt;&gt;Near miss",tblIncidents[Department],FDept,tblIncidents[Date],"&gt;="&amp;FStart,tblIncidents[Date],"&lt;="&amp;EOMONTH(FEnd,0)))</f>
        <v>0</v>
      </c>
      <c r="AQ64" s="58">
        <f>COUNTIF($AP$55:$AP$64,"&gt;"&amp;$AP$64)+COUNTIF($AP$55:$AP$64,$AP$64)</f>
        <v>10</v>
      </c>
    </row>
    <row r="65" spans="2:10" x14ac:dyDescent="0.25">
      <c r="B65" s="59"/>
      <c r="C65" s="59" t="s">
        <v>390</v>
      </c>
      <c r="D65" s="59"/>
      <c r="E65" s="60">
        <f>SUMIF($AP$55:$AP$64,"&gt;0")</f>
        <v>29</v>
      </c>
      <c r="F65" s="59"/>
      <c r="G65" s="59"/>
    </row>
    <row r="67" spans="2:10" x14ac:dyDescent="0.25">
      <c r="B67" s="34" t="s">
        <v>391</v>
      </c>
      <c r="C67" s="34"/>
      <c r="D67" s="34"/>
      <c r="E67" s="34"/>
      <c r="F67" s="34"/>
      <c r="G67" s="34"/>
      <c r="H67" s="34"/>
      <c r="I67" s="34"/>
      <c r="J67" s="34"/>
    </row>
    <row r="68" spans="2:10" ht="45.5" customHeight="1" x14ac:dyDescent="0.25">
      <c r="B68" s="31" t="s">
        <v>135</v>
      </c>
      <c r="C68" s="35" t="s">
        <v>137</v>
      </c>
      <c r="D68" s="35" t="s">
        <v>392</v>
      </c>
      <c r="E68" s="35" t="s">
        <v>86</v>
      </c>
      <c r="F68" s="35" t="s">
        <v>84</v>
      </c>
      <c r="G68" s="35" t="s">
        <v>393</v>
      </c>
      <c r="H68" s="35" t="s">
        <v>394</v>
      </c>
      <c r="I68" s="35" t="s">
        <v>395</v>
      </c>
      <c r="J68" s="35" t="s">
        <v>74</v>
      </c>
    </row>
    <row r="69" spans="2:10" x14ac:dyDescent="0.25">
      <c r="B69" s="61">
        <f>IF(FEnd=0,"",FStart)</f>
        <v>45931</v>
      </c>
      <c r="C69" s="42">
        <f>IF($B$69="","",SUMIFS(tblHours[Hours worked],tblHours[Department],FDept,tblHours[Month start],$B$69))</f>
        <v>36160</v>
      </c>
      <c r="D69" s="42">
        <f>IF($B$69="","",COUNTIFS(tblIncidents[DART],"Yes",tblIncidents[Department],FDept,tblIncidents[Date],"&gt;="&amp;$B$69,tblIncidents[Date],"&lt;="&amp;EOMONTH($B$69,0)))</f>
        <v>0</v>
      </c>
      <c r="E69" s="42">
        <f>IF($B$69="","",COUNTIFS(tblIncidents[Recordable],"Yes",tblIncidents[Department],FDept,tblIncidents[Date],"&gt;="&amp;$B$69,tblIncidents[Date],"&lt;="&amp;EOMONTH($B$69,0))-$D$69)</f>
        <v>0</v>
      </c>
      <c r="F69" s="42">
        <f>IF($B$69="","",COUNTIFS(tblIncidents[Classification],"First aid",tblIncidents[Department],FDept,tblIncidents[Date],"&gt;="&amp;$B$69,tblIncidents[Date],"&lt;="&amp;EOMONTH($B$69,0)))</f>
        <v>2</v>
      </c>
      <c r="G69" s="42">
        <f>IF($B$69="","",COUNTIFS(tblIncidents[Classification],"Near miss",tblIncidents[Department],FDept,tblIncidents[Date],"&gt;="&amp;$B$69,tblIncidents[Date],"&lt;="&amp;EOMONTH($B$69,0)))</f>
        <v>5</v>
      </c>
      <c r="H69" s="62">
        <f>IF($B$69="","",IF(NOT(MIN(tblHours[Month start])&lt;=EDATE($B$69,-11)),"",IF(SUMIFS(tblHours[Hours worked],tblHours[Department],FDept,tblHours[Month start],"&gt;="&amp;EDATE($B$69,-11),tblHours[Month start],"&lt;="&amp;$B$69)=0,"",COUNTIFS(tblIncidents[Recordable],"Yes",tblIncidents[Department],FDept,tblIncidents[Date],"&gt;="&amp;EDATE($B$69,-11),tblIncidents[Date],"&lt;="&amp;EOMONTH($B$69,0))*200000/SUMIFS(tblHours[Hours worked],tblHours[Department],FDept,tblHours[Month start],"&gt;="&amp;EDATE($B$69,-11),tblHours[Month start],"&lt;="&amp;$B$69))))</f>
        <v>3.77056134231984</v>
      </c>
      <c r="I69" s="62">
        <f>IF($B$69="","",IF(NOT(MIN(tblHours[Month start])&lt;=EDATE($B$69,-11)),"",IF(SUMIFS(tblHours[Hours worked],tblHours[Department],FDept,tblHours[Month start],"&gt;="&amp;EDATE($B$69,-11),tblHours[Month start],"&lt;="&amp;$B$69)=0,"",COUNTIFS(tblIncidents[DART],"Yes",tblIncidents[Department],FDept,tblIncidents[Date],"&gt;="&amp;EDATE($B$69,-11),tblIncidents[Date],"&lt;="&amp;EOMONTH($B$69,0))*200000/SUMIFS(tblHours[Hours worked],tblHours[Department],FDept,tblHours[Month start],"&gt;="&amp;EDATE($B$69,-11),tblHours[Month start],"&lt;="&amp;$B$69))))</f>
        <v>2.3566008389499</v>
      </c>
      <c r="J69" s="63">
        <f>TargetTRIR</f>
        <v>3</v>
      </c>
    </row>
    <row r="70" spans="2:10" x14ac:dyDescent="0.25">
      <c r="B70" s="61">
        <f>IF($B$69="","",EDATE($B$69,1))</f>
        <v>45962</v>
      </c>
      <c r="C70" s="42">
        <f>IF($B$70="","",SUMIFS(tblHours[Hours worked],tblHours[Department],FDept,tblHours[Month start],$B$70))</f>
        <v>35360</v>
      </c>
      <c r="D70" s="42">
        <f>IF($B$70="","",COUNTIFS(tblIncidents[DART],"Yes",tblIncidents[Department],FDept,tblIncidents[Date],"&gt;="&amp;$B$70,tblIncidents[Date],"&lt;="&amp;EOMONTH($B$70,0)))</f>
        <v>1</v>
      </c>
      <c r="E70" s="42">
        <f>IF($B$70="","",COUNTIFS(tblIncidents[Recordable],"Yes",tblIncidents[Department],FDept,tblIncidents[Date],"&gt;="&amp;$B$70,tblIncidents[Date],"&lt;="&amp;EOMONTH($B$70,0))-$D$70)</f>
        <v>0</v>
      </c>
      <c r="F70" s="42">
        <f>IF($B$70="","",COUNTIFS(tblIncidents[Classification],"First aid",tblIncidents[Department],FDept,tblIncidents[Date],"&gt;="&amp;$B$70,tblIncidents[Date],"&lt;="&amp;EOMONTH($B$70,0)))</f>
        <v>2</v>
      </c>
      <c r="G70" s="42">
        <f>IF($B$70="","",COUNTIFS(tblIncidents[Classification],"Near miss",tblIncidents[Department],FDept,tblIncidents[Date],"&gt;="&amp;$B$70,tblIncidents[Date],"&lt;="&amp;EOMONTH($B$70,0)))</f>
        <v>3</v>
      </c>
      <c r="H70" s="62">
        <f>IF($B$70="","",IF(NOT(MIN(tblHours[Month start])&lt;=EDATE($B$70,-11)),"",IF(SUMIFS(tblHours[Hours worked],tblHours[Department],FDept,tblHours[Month start],"&gt;="&amp;EDATE($B$70,-11),tblHours[Month start],"&lt;="&amp;$B$70)=0,"",COUNTIFS(tblIncidents[Recordable],"Yes",tblIncidents[Department],FDept,tblIncidents[Date],"&gt;="&amp;EDATE($B$70,-11),tblIncidents[Date],"&lt;="&amp;EOMONTH($B$70,0))*200000/SUMIFS(tblHours[Hours worked],tblHours[Department],FDept,tblHours[Month start],"&gt;="&amp;EDATE($B$70,-11),tblHours[Month start],"&lt;="&amp;$B$70))))</f>
        <v>3.77065020149412</v>
      </c>
      <c r="I70" s="62">
        <f>IF($B$70="","",IF(NOT(MIN(tblHours[Month start])&lt;=EDATE($B$70,-11)),"",IF(SUMIFS(tblHours[Hours worked],tblHours[Department],FDept,tblHours[Month start],"&gt;="&amp;EDATE($B$70,-11),tblHours[Month start],"&lt;="&amp;$B$70)=0,"",COUNTIFS(tblIncidents[DART],"Yes",tblIncidents[Department],FDept,tblIncidents[Date],"&gt;="&amp;EDATE($B$70,-11),tblIncidents[Date],"&lt;="&amp;EOMONTH($B$70,0))*200000/SUMIFS(tblHours[Hours worked],tblHours[Department],FDept,tblHours[Month start],"&gt;="&amp;EDATE($B$70,-11),tblHours[Month start],"&lt;="&amp;$B$70))))</f>
        <v>2.35665637593383</v>
      </c>
      <c r="J70" s="63">
        <f>TargetTRIR</f>
        <v>3</v>
      </c>
    </row>
    <row r="71" spans="2:10" x14ac:dyDescent="0.25">
      <c r="B71" s="61">
        <f>IF($B$70="","",EDATE($B$70,1))</f>
        <v>45992</v>
      </c>
      <c r="C71" s="42">
        <f>IF($B$71="","",SUMIFS(tblHours[Hours worked],tblHours[Department],FDept,tblHours[Month start],$B$71))</f>
        <v>31850</v>
      </c>
      <c r="D71" s="42">
        <f>IF($B$71="","",COUNTIFS(tblIncidents[DART],"Yes",tblIncidents[Department],FDept,tblIncidents[Date],"&gt;="&amp;$B$71,tblIncidents[Date],"&lt;="&amp;EOMONTH($B$71,0)))</f>
        <v>0</v>
      </c>
      <c r="E71" s="42">
        <f>IF($B$71="","",COUNTIFS(tblIncidents[Recordable],"Yes",tblIncidents[Department],FDept,tblIncidents[Date],"&gt;="&amp;$B$71,tblIncidents[Date],"&lt;="&amp;EOMONTH($B$71,0))-$D$71)</f>
        <v>0</v>
      </c>
      <c r="F71" s="42">
        <f>IF($B$71="","",COUNTIFS(tblIncidents[Classification],"First aid",tblIncidents[Department],FDept,tblIncidents[Date],"&gt;="&amp;$B$71,tblIncidents[Date],"&lt;="&amp;EOMONTH($B$71,0)))</f>
        <v>1</v>
      </c>
      <c r="G71" s="42">
        <f>IF($B$71="","",COUNTIFS(tblIncidents[Classification],"Near miss",tblIncidents[Department],FDept,tblIncidents[Date],"&gt;="&amp;$B$71,tblIncidents[Date],"&lt;="&amp;EOMONTH($B$71,0)))</f>
        <v>3</v>
      </c>
      <c r="H71" s="62">
        <f>IF($B$71="","",IF(NOT(MIN(tblHours[Month start])&lt;=EDATE($B$71,-11)),"",IF(SUMIFS(tblHours[Hours worked],tblHours[Department],FDept,tblHours[Month start],"&gt;="&amp;EDATE($B$71,-11),tblHours[Month start],"&lt;="&amp;$B$71)=0,"",COUNTIFS(tblIncidents[Recordable],"Yes",tblIncidents[Department],FDept,tblIncidents[Date],"&gt;="&amp;EDATE($B$71,-11),tblIncidents[Date],"&lt;="&amp;EOMONTH($B$71,0))*200000/SUMIFS(tblHours[Hours worked],tblHours[Department],FDept,tblHours[Month start],"&gt;="&amp;EDATE($B$71,-11),tblHours[Month start],"&lt;="&amp;$B$71))))</f>
        <v>3.30680019840801</v>
      </c>
      <c r="I71" s="62">
        <f>IF($B$71="","",IF(NOT(MIN(tblHours[Month start])&lt;=EDATE($B$71,-11)),"",IF(SUMIFS(tblHours[Hours worked],tblHours[Department],FDept,tblHours[Month start],"&gt;="&amp;EDATE($B$71,-11),tblHours[Month start],"&lt;="&amp;$B$71)=0,"",COUNTIFS(tblIncidents[DART],"Yes",tblIncidents[Department],FDept,tblIncidents[Date],"&gt;="&amp;EDATE($B$71,-11),tblIncidents[Date],"&lt;="&amp;EOMONTH($B$71,0))*200000/SUMIFS(tblHours[Hours worked],tblHours[Department],FDept,tblHours[Month start],"&gt;="&amp;EDATE($B$71,-11),tblHours[Month start],"&lt;="&amp;$B$71))))</f>
        <v>1.88960011337601</v>
      </c>
      <c r="J71" s="63">
        <f>TargetTRIR</f>
        <v>3</v>
      </c>
    </row>
    <row r="72" spans="2:10" x14ac:dyDescent="0.25">
      <c r="B72" s="61">
        <f>IF($B$71="","",EDATE($B$71,1))</f>
        <v>46023</v>
      </c>
      <c r="C72" s="42">
        <f>IF($B$72="","",SUMIFS(tblHours[Hours worked],tblHours[Department],FDept,tblHours[Month start],$B$72))</f>
        <v>38260</v>
      </c>
      <c r="D72" s="42">
        <f>IF($B$72="","",COUNTIFS(tblIncidents[DART],"Yes",tblIncidents[Department],FDept,tblIncidents[Date],"&gt;="&amp;$B$72,tblIncidents[Date],"&lt;="&amp;EOMONTH($B$72,0)))</f>
        <v>0</v>
      </c>
      <c r="E72" s="42">
        <f>IF($B$72="","",COUNTIFS(tblIncidents[Recordable],"Yes",tblIncidents[Department],FDept,tblIncidents[Date],"&gt;="&amp;$B$72,tblIncidents[Date],"&lt;="&amp;EOMONTH($B$72,0))-$D$72)</f>
        <v>1</v>
      </c>
      <c r="F72" s="42">
        <f>IF($B$72="","",COUNTIFS(tblIncidents[Classification],"First aid",tblIncidents[Department],FDept,tblIncidents[Date],"&gt;="&amp;$B$72,tblIncidents[Date],"&lt;="&amp;EOMONTH($B$72,0)))</f>
        <v>2</v>
      </c>
      <c r="G72" s="42">
        <f>IF($B$72="","",COUNTIFS(tblIncidents[Classification],"Near miss",tblIncidents[Department],FDept,tblIncidents[Date],"&gt;="&amp;$B$72,tblIncidents[Date],"&lt;="&amp;EOMONTH($B$72,0)))</f>
        <v>2</v>
      </c>
      <c r="H72" s="62">
        <f>IF($B$72="","",IF(NOT(MIN(tblHours[Month start])&lt;=EDATE($B$72,-11)),"",IF(SUMIFS(tblHours[Hours worked],tblHours[Department],FDept,tblHours[Month start],"&gt;="&amp;EDATE($B$72,-11),tblHours[Month start],"&lt;="&amp;$B$72)=0,"",COUNTIFS(tblIncidents[Recordable],"Yes",tblIncidents[Department],FDept,tblIncidents[Date],"&gt;="&amp;EDATE($B$72,-11),tblIncidents[Date],"&lt;="&amp;EOMONTH($B$72,0))*200000/SUMIFS(tblHours[Hours worked],tblHours[Department],FDept,tblHours[Month start],"&gt;="&amp;EDATE($B$72,-11),tblHours[Month start],"&lt;="&amp;$B$72))))</f>
        <v>3.28307107848885</v>
      </c>
      <c r="I72" s="62">
        <f>IF($B$72="","",IF(NOT(MIN(tblHours[Month start])&lt;=EDATE($B$72,-11)),"",IF(SUMIFS(tblHours[Hours worked],tblHours[Department],FDept,tblHours[Month start],"&gt;="&amp;EDATE($B$72,-11),tblHours[Month start],"&lt;="&amp;$B$72)=0,"",COUNTIFS(tblIncidents[DART],"Yes",tblIncidents[Department],FDept,tblIncidents[Date],"&gt;="&amp;EDATE($B$72,-11),tblIncidents[Date],"&lt;="&amp;EOMONTH($B$72,0))*200000/SUMIFS(tblHours[Hours worked],tblHours[Department],FDept,tblHours[Month start],"&gt;="&amp;EDATE($B$72,-11),tblHours[Month start],"&lt;="&amp;$B$72))))</f>
        <v>1.87604061627934</v>
      </c>
      <c r="J72" s="63">
        <f>TargetTRIR</f>
        <v>3</v>
      </c>
    </row>
    <row r="73" spans="2:10" x14ac:dyDescent="0.25">
      <c r="B73" s="61">
        <f>IF($B$72="","",EDATE($B$72,1))</f>
        <v>46054</v>
      </c>
      <c r="C73" s="42">
        <f>IF($B$73="","",SUMIFS(tblHours[Hours worked],tblHours[Department],FDept,tblHours[Month start],$B$73))</f>
        <v>37070</v>
      </c>
      <c r="D73" s="42">
        <f>IF($B$73="","",COUNTIFS(tblIncidents[DART],"Yes",tblIncidents[Department],FDept,tblIncidents[Date],"&gt;="&amp;$B$73,tblIncidents[Date],"&lt;="&amp;EOMONTH($B$73,0)))</f>
        <v>0</v>
      </c>
      <c r="E73" s="42">
        <f>IF($B$73="","",COUNTIFS(tblIncidents[Recordable],"Yes",tblIncidents[Department],FDept,tblIncidents[Date],"&gt;="&amp;$B$73,tblIncidents[Date],"&lt;="&amp;EOMONTH($B$73,0))-$D$73)</f>
        <v>0</v>
      </c>
      <c r="F73" s="42">
        <f>IF($B$73="","",COUNTIFS(tblIncidents[Classification],"First aid",tblIncidents[Department],FDept,tblIncidents[Date],"&gt;="&amp;$B$73,tblIncidents[Date],"&lt;="&amp;EOMONTH($B$73,0)))</f>
        <v>3</v>
      </c>
      <c r="G73" s="42">
        <f>IF($B$73="","",COUNTIFS(tblIncidents[Classification],"Near miss",tblIncidents[Department],FDept,tblIncidents[Date],"&gt;="&amp;$B$73,tblIncidents[Date],"&lt;="&amp;EOMONTH($B$73,0)))</f>
        <v>2</v>
      </c>
      <c r="H73" s="62">
        <f>IF($B$73="","",IF(NOT(MIN(tblHours[Month start])&lt;=EDATE($B$73,-11)),"",IF(SUMIFS(tblHours[Hours worked],tblHours[Department],FDept,tblHours[Month start],"&gt;="&amp;EDATE($B$73,-11),tblHours[Month start],"&lt;="&amp;$B$73)=0,"",COUNTIFS(tblIncidents[Recordable],"Yes",tblIncidents[Department],FDept,tblIncidents[Date],"&gt;="&amp;EDATE($B$73,-11),tblIncidents[Date],"&lt;="&amp;EOMONTH($B$73,0))*200000/SUMIFS(tblHours[Hours worked],tblHours[Department],FDept,tblHours[Month start],"&gt;="&amp;EDATE($B$73,-11),tblHours[Month start],"&lt;="&amp;$B$73))))</f>
        <v>3.27861174211377</v>
      </c>
      <c r="I73" s="62">
        <f>IF($B$73="","",IF(NOT(MIN(tblHours[Month start])&lt;=EDATE($B$73,-11)),"",IF(SUMIFS(tblHours[Hours worked],tblHours[Department],FDept,tblHours[Month start],"&gt;="&amp;EDATE($B$73,-11),tblHours[Month start],"&lt;="&amp;$B$73)=0,"",COUNTIFS(tblIncidents[DART],"Yes",tblIncidents[Department],FDept,tblIncidents[Date],"&gt;="&amp;EDATE($B$73,-11),tblIncidents[Date],"&lt;="&amp;EOMONTH($B$73,0))*200000/SUMIFS(tblHours[Hours worked],tblHours[Department],FDept,tblHours[Month start],"&gt;="&amp;EDATE($B$73,-11),tblHours[Month start],"&lt;="&amp;$B$73))))</f>
        <v>1.87349242406501</v>
      </c>
      <c r="J73" s="63">
        <f>TargetTRIR</f>
        <v>3</v>
      </c>
    </row>
    <row r="74" spans="2:10" x14ac:dyDescent="0.25">
      <c r="B74" s="61">
        <f>IF($B$73="","",EDATE($B$73,1))</f>
        <v>46082</v>
      </c>
      <c r="C74" s="42">
        <f>IF($B$74="","",SUMIFS(tblHours[Hours worked],tblHours[Department],FDept,tblHours[Month start],$B$74))</f>
        <v>36900</v>
      </c>
      <c r="D74" s="42">
        <f>IF($B$74="","",COUNTIFS(tblIncidents[DART],"Yes",tblIncidents[Department],FDept,tblIncidents[Date],"&gt;="&amp;$B$74,tblIncidents[Date],"&lt;="&amp;EOMONTH($B$74,0)))</f>
        <v>1</v>
      </c>
      <c r="E74" s="42">
        <f>IF($B$74="","",COUNTIFS(tblIncidents[Recordable],"Yes",tblIncidents[Department],FDept,tblIncidents[Date],"&gt;="&amp;$B$74,tblIncidents[Date],"&lt;="&amp;EOMONTH($B$74,0))-$D$74)</f>
        <v>0</v>
      </c>
      <c r="F74" s="42">
        <f>IF($B$74="","",COUNTIFS(tblIncidents[Classification],"First aid",tblIncidents[Department],FDept,tblIncidents[Date],"&gt;="&amp;$B$74,tblIncidents[Date],"&lt;="&amp;EOMONTH($B$74,0)))</f>
        <v>1</v>
      </c>
      <c r="G74" s="42">
        <f>IF($B$74="","",COUNTIFS(tblIncidents[Classification],"Near miss",tblIncidents[Department],FDept,tblIncidents[Date],"&gt;="&amp;$B$74,tblIncidents[Date],"&lt;="&amp;EOMONTH($B$74,0)))</f>
        <v>3</v>
      </c>
      <c r="H74" s="62">
        <f>IF($B$74="","",IF(NOT(MIN(tblHours[Month start])&lt;=EDATE($B$74,-11)),"",IF(SUMIFS(tblHours[Hours worked],tblHours[Department],FDept,tblHours[Month start],"&gt;="&amp;EDATE($B$74,-11),tblHours[Month start],"&lt;="&amp;$B$74)=0,"",COUNTIFS(tblIncidents[Recordable],"Yes",tblIncidents[Department],FDept,tblIncidents[Date],"&gt;="&amp;EDATE($B$74,-11),tblIncidents[Date],"&lt;="&amp;EOMONTH($B$74,0))*200000/SUMIFS(tblHours[Hours worked],tblHours[Department],FDept,tblHours[Month start],"&gt;="&amp;EDATE($B$74,-11),tblHours[Month start],"&lt;="&amp;$B$74))))</f>
        <v>3.26957658983162</v>
      </c>
      <c r="I74" s="62">
        <f>IF($B$74="","",IF(NOT(MIN(tblHours[Month start])&lt;=EDATE($B$74,-11)),"",IF(SUMIFS(tblHours[Hours worked],tblHours[Department],FDept,tblHours[Month start],"&gt;="&amp;EDATE($B$74,-11),tblHours[Month start],"&lt;="&amp;$B$74)=0,"",COUNTIFS(tblIncidents[DART],"Yes",tblIncidents[Department],FDept,tblIncidents[Date],"&gt;="&amp;EDATE($B$74,-11),tblIncidents[Date],"&lt;="&amp;EOMONTH($B$74,0))*200000/SUMIFS(tblHours[Hours worked],tblHours[Department],FDept,tblHours[Month start],"&gt;="&amp;EDATE($B$74,-11),tblHours[Month start],"&lt;="&amp;$B$74))))</f>
        <v>1.86832947990378</v>
      </c>
      <c r="J74" s="63">
        <f>TargetTRIR</f>
        <v>3</v>
      </c>
    </row>
    <row r="75" spans="2:10" x14ac:dyDescent="0.25">
      <c r="B75" s="61">
        <f>IF($B$74="","",EDATE($B$74,1))</f>
        <v>46113</v>
      </c>
      <c r="C75" s="42">
        <f>IF($B$75="","",SUMIFS(tblHours[Hours worked],tblHours[Department],FDept,tblHours[Month start],$B$75))</f>
        <v>36380</v>
      </c>
      <c r="D75" s="42">
        <f>IF($B$75="","",COUNTIFS(tblIncidents[DART],"Yes",tblIncidents[Department],FDept,tblIncidents[Date],"&gt;="&amp;$B$75,tblIncidents[Date],"&lt;="&amp;EOMONTH($B$75,0)))</f>
        <v>0</v>
      </c>
      <c r="E75" s="42">
        <f>IF($B$75="","",COUNTIFS(tblIncidents[Recordable],"Yes",tblIncidents[Department],FDept,tblIncidents[Date],"&gt;="&amp;$B$75,tblIncidents[Date],"&lt;="&amp;EOMONTH($B$75,0))-$D$75)</f>
        <v>0</v>
      </c>
      <c r="F75" s="42">
        <f>IF($B$75="","",COUNTIFS(tblIncidents[Classification],"First aid",tblIncidents[Department],FDept,tblIncidents[Date],"&gt;="&amp;$B$75,tblIncidents[Date],"&lt;="&amp;EOMONTH($B$75,0)))</f>
        <v>2</v>
      </c>
      <c r="G75" s="42">
        <f>IF($B$75="","",COUNTIFS(tblIncidents[Classification],"Near miss",tblIncidents[Department],FDept,tblIncidents[Date],"&gt;="&amp;$B$75,tblIncidents[Date],"&lt;="&amp;EOMONTH($B$75,0)))</f>
        <v>4</v>
      </c>
      <c r="H75" s="62">
        <f>IF($B$75="","",IF(NOT(MIN(tblHours[Month start])&lt;=EDATE($B$75,-11)),"",IF(SUMIFS(tblHours[Hours worked],tblHours[Department],FDept,tblHours[Month start],"&gt;="&amp;EDATE($B$75,-11),tblHours[Month start],"&lt;="&amp;$B$75)=0,"",COUNTIFS(tblIncidents[Recordable],"Yes",tblIncidents[Department],FDept,tblIncidents[Date],"&gt;="&amp;EDATE($B$75,-11),tblIncidents[Date],"&lt;="&amp;EOMONTH($B$75,0))*200000/SUMIFS(tblHours[Hours worked],tblHours[Department],FDept,tblHours[Month start],"&gt;="&amp;EDATE($B$75,-11),tblHours[Month start],"&lt;="&amp;$B$75))))</f>
        <v>2.80000933336444</v>
      </c>
      <c r="I75" s="62">
        <f>IF($B$75="","",IF(NOT(MIN(tblHours[Month start])&lt;=EDATE($B$75,-11)),"",IF(SUMIFS(tblHours[Hours worked],tblHours[Department],FDept,tblHours[Month start],"&gt;="&amp;EDATE($B$75,-11),tblHours[Month start],"&lt;="&amp;$B$75)=0,"",COUNTIFS(tblIncidents[DART],"Yes",tblIncidents[Department],FDept,tblIncidents[Date],"&gt;="&amp;EDATE($B$75,-11),tblIncidents[Date],"&lt;="&amp;EOMONTH($B$75,0))*200000/SUMIFS(tblHours[Hours worked],tblHours[Department],FDept,tblHours[Month start],"&gt;="&amp;EDATE($B$75,-11),tblHours[Month start],"&lt;="&amp;$B$75))))</f>
        <v>1.86667288890963</v>
      </c>
      <c r="J75" s="63">
        <f>TargetTRIR</f>
        <v>3</v>
      </c>
    </row>
    <row r="76" spans="2:10" x14ac:dyDescent="0.25">
      <c r="B76" s="61">
        <f>IF($B$75="","",EDATE($B$75,1))</f>
        <v>46143</v>
      </c>
      <c r="C76" s="42">
        <f>IF($B$76="","",SUMIFS(tblHours[Hours worked],tblHours[Department],FDept,tblHours[Month start],$B$76))</f>
        <v>37630</v>
      </c>
      <c r="D76" s="42">
        <f>IF($B$76="","",COUNTIFS(tblIncidents[DART],"Yes",tblIncidents[Department],FDept,tblIncidents[Date],"&gt;="&amp;$B$76,tblIncidents[Date],"&lt;="&amp;EOMONTH($B$76,0)))</f>
        <v>0</v>
      </c>
      <c r="E76" s="42">
        <f>IF($B$76="","",COUNTIFS(tblIncidents[Recordable],"Yes",tblIncidents[Department],FDept,tblIncidents[Date],"&gt;="&amp;$B$76,tblIncidents[Date],"&lt;="&amp;EOMONTH($B$76,0))-$D$76)</f>
        <v>1</v>
      </c>
      <c r="F76" s="42">
        <f>IF($B$76="","",COUNTIFS(tblIncidents[Classification],"First aid",tblIncidents[Department],FDept,tblIncidents[Date],"&gt;="&amp;$B$76,tblIncidents[Date],"&lt;="&amp;EOMONTH($B$76,0)))</f>
        <v>2</v>
      </c>
      <c r="G76" s="42">
        <f>IF($B$76="","",COUNTIFS(tblIncidents[Classification],"Near miss",tblIncidents[Department],FDept,tblIncidents[Date],"&gt;="&amp;$B$76,tblIncidents[Date],"&lt;="&amp;EOMONTH($B$76,0)))</f>
        <v>3</v>
      </c>
      <c r="H76" s="62">
        <f>IF($B$76="","",IF(NOT(MIN(tblHours[Month start])&lt;=EDATE($B$76,-11)),"",IF(SUMIFS(tblHours[Hours worked],tblHours[Department],FDept,tblHours[Month start],"&gt;="&amp;EDATE($B$76,-11),tblHours[Month start],"&lt;="&amp;$B$76)=0,"",COUNTIFS(tblIncidents[Recordable],"Yes",tblIncidents[Department],FDept,tblIncidents[Date],"&gt;="&amp;EDATE($B$76,-11),tblIncidents[Date],"&lt;="&amp;EOMONTH($B$76,0))*200000/SUMIFS(tblHours[Hours worked],tblHours[Department],FDept,tblHours[Month start],"&gt;="&amp;EDATE($B$76,-11),tblHours[Month start],"&lt;="&amp;$B$76))))</f>
        <v>2.79037321241716</v>
      </c>
      <c r="I76" s="62">
        <f>IF($B$76="","",IF(NOT(MIN(tblHours[Month start])&lt;=EDATE($B$76,-11)),"",IF(SUMIFS(tblHours[Hours worked],tblHours[Department],FDept,tblHours[Month start],"&gt;="&amp;EDATE($B$76,-11),tblHours[Month start],"&lt;="&amp;$B$76)=0,"",COUNTIFS(tblIncidents[DART],"Yes",tblIncidents[Department],FDept,tblIncidents[Date],"&gt;="&amp;EDATE($B$76,-11),tblIncidents[Date],"&lt;="&amp;EOMONTH($B$76,0))*200000/SUMIFS(tblHours[Hours worked],tblHours[Department],FDept,tblHours[Month start],"&gt;="&amp;EDATE($B$76,-11),tblHours[Month start],"&lt;="&amp;$B$76))))</f>
        <v>1.39518660620858</v>
      </c>
      <c r="J76" s="63">
        <f>TargetTRIR</f>
        <v>3</v>
      </c>
    </row>
    <row r="77" spans="2:10" x14ac:dyDescent="0.25">
      <c r="B77" s="61">
        <f>IF($B$76="","",EDATE($B$76,1))</f>
        <v>46174</v>
      </c>
      <c r="C77" s="42">
        <f>IF($B$77="","",SUMIFS(tblHours[Hours worked],tblHours[Department],FDept,tblHours[Month start],$B$77))</f>
        <v>37290</v>
      </c>
      <c r="D77" s="42">
        <f>IF($B$77="","",COUNTIFS(tblIncidents[DART],"Yes",tblIncidents[Department],FDept,tblIncidents[Date],"&gt;="&amp;$B$77,tblIncidents[Date],"&lt;="&amp;EOMONTH($B$77,0)))</f>
        <v>0</v>
      </c>
      <c r="E77" s="42">
        <f>IF($B$77="","",COUNTIFS(tblIncidents[Recordable],"Yes",tblIncidents[Department],FDept,tblIncidents[Date],"&gt;="&amp;$B$77,tblIncidents[Date],"&lt;="&amp;EOMONTH($B$77,0))-$D$77)</f>
        <v>0</v>
      </c>
      <c r="F77" s="42">
        <f>IF($B$77="","",COUNTIFS(tblIncidents[Classification],"First aid",tblIncidents[Department],FDept,tblIncidents[Date],"&gt;="&amp;$B$77,tblIncidents[Date],"&lt;="&amp;EOMONTH($B$77,0)))</f>
        <v>3</v>
      </c>
      <c r="G77" s="42">
        <f>IF($B$77="","",COUNTIFS(tblIncidents[Classification],"Near miss",tblIncidents[Department],FDept,tblIncidents[Date],"&gt;="&amp;$B$77,tblIncidents[Date],"&lt;="&amp;EOMONTH($B$77,0)))</f>
        <v>2</v>
      </c>
      <c r="H77" s="62">
        <f>IF($B$77="","",IF(NOT(MIN(tblHours[Month start])&lt;=EDATE($B$77,-11)),"",IF(SUMIFS(tblHours[Hours worked],tblHours[Department],FDept,tblHours[Month start],"&gt;="&amp;EDATE($B$77,-11),tblHours[Month start],"&lt;="&amp;$B$77)=0,"",COUNTIFS(tblIncidents[Recordable],"Yes",tblIncidents[Department],FDept,tblIncidents[Date],"&gt;="&amp;EDATE($B$77,-11),tblIncidents[Date],"&lt;="&amp;EOMONTH($B$77,0))*200000/SUMIFS(tblHours[Hours worked],tblHours[Department],FDept,tblHours[Month start],"&gt;="&amp;EDATE($B$77,-11),tblHours[Month start],"&lt;="&amp;$B$77))))</f>
        <v>2.31663809479683</v>
      </c>
      <c r="I77" s="62">
        <f>IF($B$77="","",IF(NOT(MIN(tblHours[Month start])&lt;=EDATE($B$77,-11)),"",IF(SUMIFS(tblHours[Hours worked],tblHours[Department],FDept,tblHours[Month start],"&gt;="&amp;EDATE($B$77,-11),tblHours[Month start],"&lt;="&amp;$B$77)=0,"",COUNTIFS(tblIncidents[DART],"Yes",tblIncidents[Department],FDept,tblIncidents[Date],"&gt;="&amp;EDATE($B$77,-11),tblIncidents[Date],"&lt;="&amp;EOMONTH($B$77,0))*200000/SUMIFS(tblHours[Hours worked],tblHours[Department],FDept,tblHours[Month start],"&gt;="&amp;EDATE($B$77,-11),tblHours[Month start],"&lt;="&amp;$B$77))))</f>
        <v>0.926655237918732</v>
      </c>
      <c r="J77" s="63">
        <f>TargetTRIR</f>
        <v>3</v>
      </c>
    </row>
    <row r="78" spans="2:10" x14ac:dyDescent="0.25">
      <c r="B78" s="61">
        <f>IF($B$77="","",EDATE($B$77,1))</f>
        <v>46204</v>
      </c>
      <c r="C78" s="42">
        <f>IF($B$78="","",SUMIFS(tblHours[Hours worked],tblHours[Department],FDept,tblHours[Month start],$B$78))</f>
        <v>37420</v>
      </c>
      <c r="D78" s="42">
        <f>IF($B$78="","",COUNTIFS(tblIncidents[DART],"Yes",tblIncidents[Department],FDept,tblIncidents[Date],"&gt;="&amp;$B$78,tblIncidents[Date],"&lt;="&amp;EOMONTH($B$78,0)))</f>
        <v>1</v>
      </c>
      <c r="E78" s="42">
        <f>IF($B$78="","",COUNTIFS(tblIncidents[Recordable],"Yes",tblIncidents[Department],FDept,tblIncidents[Date],"&gt;="&amp;$B$78,tblIncidents[Date],"&lt;="&amp;EOMONTH($B$78,0))-$D$78)</f>
        <v>0</v>
      </c>
      <c r="F78" s="42">
        <f>IF($B$78="","",COUNTIFS(tblIncidents[Classification],"First aid",tblIncidents[Department],FDept,tblIncidents[Date],"&gt;="&amp;$B$78,tblIncidents[Date],"&lt;="&amp;EOMONTH($B$78,0)))</f>
        <v>2</v>
      </c>
      <c r="G78" s="42">
        <f>IF($B$78="","",COUNTIFS(tblIncidents[Classification],"Near miss",tblIncidents[Department],FDept,tblIncidents[Date],"&gt;="&amp;$B$78,tblIncidents[Date],"&lt;="&amp;EOMONTH($B$78,0)))</f>
        <v>3</v>
      </c>
      <c r="H78" s="62">
        <f>IF($B$78="","",IF(NOT(MIN(tblHours[Month start])&lt;=EDATE($B$78,-11)),"",IF(SUMIFS(tblHours[Hours worked],tblHours[Department],FDept,tblHours[Month start],"&gt;="&amp;EDATE($B$78,-11),tblHours[Month start],"&lt;="&amp;$B$78)=0,"",COUNTIFS(tblIncidents[Recordable],"Yes",tblIncidents[Department],FDept,tblIncidents[Date],"&gt;="&amp;EDATE($B$78,-11),tblIncidents[Date],"&lt;="&amp;EOMONTH($B$78,0))*200000/SUMIFS(tblHours[Hours worked],tblHours[Department],FDept,tblHours[Month start],"&gt;="&amp;EDATE($B$78,-11),tblHours[Month start],"&lt;="&amp;$B$78))))</f>
        <v>2.7654229944922</v>
      </c>
      <c r="I78" s="62">
        <f>IF($B$78="","",IF(NOT(MIN(tblHours[Month start])&lt;=EDATE($B$78,-11)),"",IF(SUMIFS(tblHours[Hours worked],tblHours[Department],FDept,tblHours[Month start],"&gt;="&amp;EDATE($B$78,-11),tblHours[Month start],"&lt;="&amp;$B$78)=0,"",COUNTIFS(tblIncidents[DART],"Yes",tblIncidents[Department],FDept,tblIncidents[Date],"&gt;="&amp;EDATE($B$78,-11),tblIncidents[Date],"&lt;="&amp;EOMONTH($B$78,0))*200000/SUMIFS(tblHours[Hours worked],tblHours[Department],FDept,tblHours[Month start],"&gt;="&amp;EDATE($B$78,-11),tblHours[Month start],"&lt;="&amp;$B$78))))</f>
        <v>1.3827114972461</v>
      </c>
      <c r="J78" s="63">
        <f>TargetTRIR</f>
        <v>3</v>
      </c>
    </row>
    <row r="79" spans="2:10" x14ac:dyDescent="0.25">
      <c r="B79" s="61">
        <f>IF($B$78="","",EDATE($B$78,1))</f>
        <v>46235</v>
      </c>
      <c r="C79" s="42">
        <f>IF($B$79="","",SUMIFS(tblHours[Hours worked],tblHours[Department],FDept,tblHours[Month start],$B$79))</f>
        <v>34850</v>
      </c>
      <c r="D79" s="42">
        <f>IF($B$79="","",COUNTIFS(tblIncidents[DART],"Yes",tblIncidents[Department],FDept,tblIncidents[Date],"&gt;="&amp;$B$79,tblIncidents[Date],"&lt;="&amp;EOMONTH($B$79,0)))</f>
        <v>0</v>
      </c>
      <c r="E79" s="42">
        <f>IF($B$79="","",COUNTIFS(tblIncidents[Recordable],"Yes",tblIncidents[Department],FDept,tblIncidents[Date],"&gt;="&amp;$B$79,tblIncidents[Date],"&lt;="&amp;EOMONTH($B$79,0))-$D$79)</f>
        <v>1</v>
      </c>
      <c r="F79" s="42">
        <f>IF($B$79="","",COUNTIFS(tblIncidents[Classification],"First aid",tblIncidents[Department],FDept,tblIncidents[Date],"&gt;="&amp;$B$79,tblIncidents[Date],"&lt;="&amp;EOMONTH($B$79,0)))</f>
        <v>1</v>
      </c>
      <c r="G79" s="42">
        <f>IF($B$79="","",COUNTIFS(tblIncidents[Classification],"Near miss",tblIncidents[Department],FDept,tblIncidents[Date],"&gt;="&amp;$B$79,tblIncidents[Date],"&lt;="&amp;EOMONTH($B$79,0)))</f>
        <v>5</v>
      </c>
      <c r="H79" s="62">
        <f>IF($B$79="","",IF(NOT(MIN(tblHours[Month start])&lt;=EDATE($B$79,-11)),"",IF(SUMIFS(tblHours[Hours worked],tblHours[Department],FDept,tblHours[Month start],"&gt;="&amp;EDATE($B$79,-11),tblHours[Month start],"&lt;="&amp;$B$79)=0,"",COUNTIFS(tblIncidents[Recordable],"Yes",tblIncidents[Department],FDept,tblIncidents[Date],"&gt;="&amp;EDATE($B$79,-11),tblIncidents[Date],"&lt;="&amp;EOMONTH($B$79,0))*200000/SUMIFS(tblHours[Hours worked],tblHours[Department],FDept,tblHours[Month start],"&gt;="&amp;EDATE($B$79,-11),tblHours[Month start],"&lt;="&amp;$B$79))))</f>
        <v>2.75570660910302</v>
      </c>
      <c r="I79" s="62">
        <f>IF($B$79="","",IF(NOT(MIN(tblHours[Month start])&lt;=EDATE($B$79,-11)),"",IF(SUMIFS(tblHours[Hours worked],tblHours[Department],FDept,tblHours[Month start],"&gt;="&amp;EDATE($B$79,-11),tblHours[Month start],"&lt;="&amp;$B$79)=0,"",COUNTIFS(tblIncidents[DART],"Yes",tblIncidents[Department],FDept,tblIncidents[Date],"&gt;="&amp;EDATE($B$79,-11),tblIncidents[Date],"&lt;="&amp;EOMONTH($B$79,0))*200000/SUMIFS(tblHours[Hours worked],tblHours[Department],FDept,tblHours[Month start],"&gt;="&amp;EDATE($B$79,-11),tblHours[Month start],"&lt;="&amp;$B$79))))</f>
        <v>1.37785330455151</v>
      </c>
      <c r="J79" s="63">
        <f>TargetTRIR</f>
        <v>3</v>
      </c>
    </row>
    <row r="80" spans="2:10" x14ac:dyDescent="0.25">
      <c r="B80" s="61">
        <f>IF($B$79="","",EDATE($B$79,1))</f>
        <v>46266</v>
      </c>
      <c r="C80" s="42">
        <f>IF($B$80="","",SUMIFS(tblHours[Hours worked],tblHours[Department],FDept,tblHours[Month start],$B$80))</f>
        <v>36440</v>
      </c>
      <c r="D80" s="42">
        <f>IF($B$80="","",COUNTIFS(tblIncidents[DART],"Yes",tblIncidents[Department],FDept,tblIncidents[Date],"&gt;="&amp;$B$80,tblIncidents[Date],"&lt;="&amp;EOMONTH($B$80,0)))</f>
        <v>0</v>
      </c>
      <c r="E80" s="42">
        <f>IF($B$80="","",COUNTIFS(tblIncidents[Recordable],"Yes",tblIncidents[Department],FDept,tblIncidents[Date],"&gt;="&amp;$B$80,tblIncidents[Date],"&lt;="&amp;EOMONTH($B$80,0))-$D$80)</f>
        <v>0</v>
      </c>
      <c r="F80" s="42">
        <f>IF($B$80="","",COUNTIFS(tblIncidents[Classification],"First aid",tblIncidents[Department],FDept,tblIncidents[Date],"&gt;="&amp;$B$80,tblIncidents[Date],"&lt;="&amp;EOMONTH($B$80,0)))</f>
        <v>2</v>
      </c>
      <c r="G80" s="42">
        <f>IF($B$80="","",COUNTIFS(tblIncidents[Classification],"Near miss",tblIncidents[Department],FDept,tblIncidents[Date],"&gt;="&amp;$B$80,tblIncidents[Date],"&lt;="&amp;EOMONTH($B$80,0)))</f>
        <v>3</v>
      </c>
      <c r="H80" s="62">
        <f>IF($B$80="","",IF(NOT(MIN(tblHours[Month start])&lt;=EDATE($B$80,-11)),"",IF(SUMIFS(tblHours[Hours worked],tblHours[Department],FDept,tblHours[Month start],"&gt;="&amp;EDATE($B$80,-11),tblHours[Month start],"&lt;="&amp;$B$80)=0,"",COUNTIFS(tblIncidents[Recordable],"Yes",tblIncidents[Department],FDept,tblIncidents[Date],"&gt;="&amp;EDATE($B$80,-11),tblIncidents[Date],"&lt;="&amp;EOMONTH($B$80,0))*200000/SUMIFS(tblHours[Hours worked],tblHours[Department],FDept,tblHours[Month start],"&gt;="&amp;EDATE($B$80,-11),tblHours[Month start],"&lt;="&amp;$B$80))))</f>
        <v>2.75475769610431</v>
      </c>
      <c r="I80" s="62">
        <f>IF($B$80="","",IF(NOT(MIN(tblHours[Month start])&lt;=EDATE($B$80,-11)),"",IF(SUMIFS(tblHours[Hours worked],tblHours[Department],FDept,tblHours[Month start],"&gt;="&amp;EDATE($B$80,-11),tblHours[Month start],"&lt;="&amp;$B$80)=0,"",COUNTIFS(tblIncidents[DART],"Yes",tblIncidents[Department],FDept,tblIncidents[Date],"&gt;="&amp;EDATE($B$80,-11),tblIncidents[Date],"&lt;="&amp;EOMONTH($B$80,0))*200000/SUMIFS(tblHours[Hours worked],tblHours[Department],FDept,tblHours[Month start],"&gt;="&amp;EDATE($B$80,-11),tblHours[Month start],"&lt;="&amp;$B$80))))</f>
        <v>1.37737884805216</v>
      </c>
      <c r="J80" s="63">
        <f>TargetTRIR</f>
        <v>3</v>
      </c>
    </row>
    <row r="82" spans="2:12" x14ac:dyDescent="0.25">
      <c r="B82" s="34" t="s">
        <v>396</v>
      </c>
      <c r="C82" s="34"/>
      <c r="D82" s="34"/>
      <c r="E82" s="34"/>
      <c r="F82" s="34"/>
      <c r="G82" s="34"/>
      <c r="H82" s="34"/>
      <c r="I82" s="34"/>
      <c r="J82" s="34"/>
      <c r="K82" s="34"/>
    </row>
    <row r="83" spans="2:12" ht="32" customHeight="1" x14ac:dyDescent="0.25">
      <c r="B83" s="31" t="s">
        <v>64</v>
      </c>
      <c r="C83" s="35" t="s">
        <v>137</v>
      </c>
      <c r="D83" s="35" t="s">
        <v>149</v>
      </c>
      <c r="E83" s="35" t="s">
        <v>392</v>
      </c>
      <c r="F83" s="35" t="s">
        <v>84</v>
      </c>
      <c r="G83" s="35" t="s">
        <v>393</v>
      </c>
      <c r="H83" s="35" t="s">
        <v>152</v>
      </c>
      <c r="I83" s="35" t="s">
        <v>397</v>
      </c>
      <c r="J83" s="35" t="s">
        <v>398</v>
      </c>
      <c r="K83" s="35" t="s">
        <v>74</v>
      </c>
    </row>
    <row r="84" spans="2:12" x14ac:dyDescent="0.25">
      <c r="B84" s="32" t="str">
        <f>IFERROR(INDEX(tblDepartments[Department],1)&amp;"","")</f>
        <v>Press and fab</v>
      </c>
      <c r="C84" s="42">
        <f>IF($B$84="","",SUMIFS(tblHours[Hours worked],tblHours[Department],$B$84,tblHours[Department],FDept,tblHours[Month start],"&gt;="&amp;FStart,tblHours[Month start],"&lt;="&amp;FEnd))</f>
        <v>126240</v>
      </c>
      <c r="D84" s="42">
        <f>IF($B$84="","",COUNTIFS(tblIncidents[Recordable],"Yes",tblIncidents[Department],$B$84,tblIncidents[Department],FDept,tblIncidents[Date],"&gt;="&amp;FStart,tblIncidents[Date],"&lt;="&amp;EOMONTH(FEnd,0)))</f>
        <v>1</v>
      </c>
      <c r="E84" s="42">
        <f>IF($B$84="","",COUNTIFS(tblIncidents[DART],"Yes",tblIncidents[Department],$B$84,tblIncidents[Department],FDept,tblIncidents[Date],"&gt;="&amp;FStart,tblIncidents[Date],"&lt;="&amp;EOMONTH(FEnd,0)))</f>
        <v>0</v>
      </c>
      <c r="F84" s="42">
        <f>IF($B$84="","",COUNTIFS(tblIncidents[Classification],"First aid",tblIncidents[Department],$B$84,tblIncidents[Department],FDept,tblIncidents[Date],"&gt;="&amp;FStart,tblIncidents[Date],"&lt;="&amp;EOMONTH(FEnd,0)))</f>
        <v>8</v>
      </c>
      <c r="G84" s="42">
        <f>IF($B$84="","",COUNTIFS(tblIncidents[Classification],"Near miss",tblIncidents[Department],$B$84,tblIncidents[Department],FDept,tblIncidents[Date],"&gt;="&amp;FStart,tblIncidents[Date],"&lt;="&amp;EOMONTH(FEnd,0)))</f>
        <v>9</v>
      </c>
      <c r="H84" s="42">
        <f>IF($B$84="","",SUMIFS(tblIncidents[Days lost],tblIncidents[Department],$B$84,tblIncidents[Department],FDept,tblIncidents[Date],"&gt;="&amp;FStart,tblIncidents[Date],"&lt;="&amp;EOMONTH(FEnd,0)))</f>
        <v>0</v>
      </c>
      <c r="I84" s="62">
        <f>IF($B$84="","",IF(($C$84)=0,"",($D$84*200000)/($C$84)))</f>
        <v>1.58428390367554</v>
      </c>
      <c r="J84" s="62">
        <f>IF($B$84="","",IF(($C$84)=0,"",($E$84*200000)/($C$84)))</f>
        <v>0</v>
      </c>
      <c r="K84" s="63">
        <f>TargetTRIR</f>
        <v>3</v>
      </c>
    </row>
    <row r="85" spans="2:12" x14ac:dyDescent="0.25">
      <c r="B85" s="32" t="str">
        <f>IFERROR(INDEX(tblDepartments[Department],2)&amp;"","")</f>
        <v>Welding</v>
      </c>
      <c r="C85" s="42">
        <f>IF($B$85="","",SUMIFS(tblHours[Hours worked],tblHours[Department],$B$85,tblHours[Department],FDept,tblHours[Month start],"&gt;="&amp;FStart,tblHours[Month start],"&lt;="&amp;FEnd))</f>
        <v>102460</v>
      </c>
      <c r="D85" s="42">
        <f>IF($B$85="","",COUNTIFS(tblIncidents[Recordable],"Yes",tblIncidents[Department],$B$85,tblIncidents[Department],FDept,tblIncidents[Date],"&gt;="&amp;FStart,tblIncidents[Date],"&lt;="&amp;EOMONTH(FEnd,0)))</f>
        <v>3</v>
      </c>
      <c r="E85" s="42">
        <f>IF($B$85="","",COUNTIFS(tblIncidents[DART],"Yes",tblIncidents[Department],$B$85,tblIncidents[Department],FDept,tblIncidents[Date],"&gt;="&amp;FStart,tblIncidents[Date],"&lt;="&amp;EOMONTH(FEnd,0)))</f>
        <v>2</v>
      </c>
      <c r="F85" s="42">
        <f>IF($B$85="","",COUNTIFS(tblIncidents[Classification],"First aid",tblIncidents[Department],$B$85,tblIncidents[Department],FDept,tblIncidents[Date],"&gt;="&amp;FStart,tblIncidents[Date],"&lt;="&amp;EOMONTH(FEnd,0)))</f>
        <v>6</v>
      </c>
      <c r="G85" s="42">
        <f>IF($B$85="","",COUNTIFS(tblIncidents[Classification],"Near miss",tblIncidents[Department],$B$85,tblIncidents[Department],FDept,tblIncidents[Date],"&gt;="&amp;FStart,tblIncidents[Date],"&lt;="&amp;EOMONTH(FEnd,0)))</f>
        <v>12</v>
      </c>
      <c r="H85" s="42">
        <f>IF($B$85="","",SUMIFS(tblIncidents[Days lost],tblIncidents[Department],$B$85,tblIncidents[Department],FDept,tblIncidents[Date],"&gt;="&amp;FStart,tblIncidents[Date],"&lt;="&amp;EOMONTH(FEnd,0)))</f>
        <v>9</v>
      </c>
      <c r="I85" s="62">
        <f>IF($B$85="","",IF(($C$85)=0,"",($D$85*200000)/($C$85)))</f>
        <v>5.85594378293968</v>
      </c>
      <c r="J85" s="62">
        <f>IF($B$85="","",IF(($C$85)=0,"",($E$85*200000)/($C$85)))</f>
        <v>3.90396252195979</v>
      </c>
      <c r="K85" s="63">
        <f>TargetTRIR</f>
        <v>3</v>
      </c>
    </row>
    <row r="86" spans="2:12" x14ac:dyDescent="0.25">
      <c r="B86" s="32" t="str">
        <f>IFERROR(INDEX(tblDepartments[Department],3)&amp;"","")</f>
        <v>Paint and assembly</v>
      </c>
      <c r="C86" s="42">
        <f>IF($B$86="","",SUMIFS(tblHours[Hours worked],tblHours[Department],$B$86,tblHours[Department],FDept,tblHours[Month start],"&gt;="&amp;FStart,tblHours[Month start],"&lt;="&amp;FEnd))</f>
        <v>146620</v>
      </c>
      <c r="D86" s="42">
        <f>IF($B$86="","",COUNTIFS(tblIncidents[Recordable],"Yes",tblIncidents[Department],$B$86,tblIncidents[Department],FDept,tblIncidents[Date],"&gt;="&amp;FStart,tblIncidents[Date],"&lt;="&amp;EOMONTH(FEnd,0)))</f>
        <v>1</v>
      </c>
      <c r="E86" s="42">
        <f>IF($B$86="","",COUNTIFS(tblIncidents[DART],"Yes",tblIncidents[Department],$B$86,tblIncidents[Department],FDept,tblIncidents[Date],"&gt;="&amp;FStart,tblIncidents[Date],"&lt;="&amp;EOMONTH(FEnd,0)))</f>
        <v>0</v>
      </c>
      <c r="F86" s="42">
        <f>IF($B$86="","",COUNTIFS(tblIncidents[Classification],"First aid",tblIncidents[Department],$B$86,tblIncidents[Department],FDept,tblIncidents[Date],"&gt;="&amp;FStart,tblIncidents[Date],"&lt;="&amp;EOMONTH(FEnd,0)))</f>
        <v>2</v>
      </c>
      <c r="G86" s="42">
        <f>IF($B$86="","",COUNTIFS(tblIncidents[Classification],"Near miss",tblIncidents[Department],$B$86,tblIncidents[Department],FDept,tblIncidents[Date],"&gt;="&amp;FStart,tblIncidents[Date],"&lt;="&amp;EOMONTH(FEnd,0)))</f>
        <v>11</v>
      </c>
      <c r="H86" s="42">
        <f>IF($B$86="","",SUMIFS(tblIncidents[Days lost],tblIncidents[Department],$B$86,tblIncidents[Department],FDept,tblIncidents[Date],"&gt;="&amp;FStart,tblIncidents[Date],"&lt;="&amp;EOMONTH(FEnd,0)))</f>
        <v>0</v>
      </c>
      <c r="I86" s="62">
        <f>IF($B$86="","",IF(($C$86)=0,"",($D$86*200000)/($C$86)))</f>
        <v>1.36407038603192</v>
      </c>
      <c r="J86" s="62">
        <f>IF($B$86="","",IF(($C$86)=0,"",($E$86*200000)/($C$86)))</f>
        <v>0</v>
      </c>
      <c r="K86" s="63">
        <f>TargetTRIR</f>
        <v>3</v>
      </c>
    </row>
    <row r="87" spans="2:12" x14ac:dyDescent="0.25">
      <c r="B87" s="32" t="str">
        <f>IFERROR(INDEX(tblDepartments[Department],4)&amp;"","")</f>
        <v>Warehouse</v>
      </c>
      <c r="C87" s="42">
        <f>IF($B$87="","",SUMIFS(tblHours[Hours worked],tblHours[Department],$B$87,tblHours[Department],FDept,tblHours[Month start],"&gt;="&amp;FStart,tblHours[Month start],"&lt;="&amp;FEnd))</f>
        <v>60290</v>
      </c>
      <c r="D87" s="42">
        <f>IF($B$87="","",COUNTIFS(tblIncidents[Recordable],"Yes",tblIncidents[Department],$B$87,tblIncidents[Department],FDept,tblIncidents[Date],"&gt;="&amp;FStart,tblIncidents[Date],"&lt;="&amp;EOMONTH(FEnd,0)))</f>
        <v>1</v>
      </c>
      <c r="E87" s="42">
        <f>IF($B$87="","",COUNTIFS(tblIncidents[DART],"Yes",tblIncidents[Department],$B$87,tblIncidents[Department],FDept,tblIncidents[Date],"&gt;="&amp;FStart,tblIncidents[Date],"&lt;="&amp;EOMONTH(FEnd,0)))</f>
        <v>1</v>
      </c>
      <c r="F87" s="42">
        <f>IF($B$87="","",COUNTIFS(tblIncidents[Classification],"First aid",tblIncidents[Department],$B$87,tblIncidents[Department],FDept,tblIncidents[Date],"&gt;="&amp;FStart,tblIncidents[Date],"&lt;="&amp;EOMONTH(FEnd,0)))</f>
        <v>7</v>
      </c>
      <c r="G87" s="42">
        <f>IF($B$87="","",COUNTIFS(tblIncidents[Classification],"Near miss",tblIncidents[Department],$B$87,tblIncidents[Department],FDept,tblIncidents[Date],"&gt;="&amp;FStart,tblIncidents[Date],"&lt;="&amp;EOMONTH(FEnd,0)))</f>
        <v>6</v>
      </c>
      <c r="H87" s="42">
        <f>IF($B$87="","",SUMIFS(tblIncidents[Days lost],tblIncidents[Department],$B$87,tblIncidents[Department],FDept,tblIncidents[Date],"&gt;="&amp;FStart,tblIncidents[Date],"&lt;="&amp;EOMONTH(FEnd,0)))</f>
        <v>14</v>
      </c>
      <c r="I87" s="62">
        <f>IF($B$87="","",IF(($C$87)=0,"",($D$87*200000)/($C$87)))</f>
        <v>3.31729971802952</v>
      </c>
      <c r="J87" s="62">
        <f>IF($B$87="","",IF(($C$87)=0,"",($E$87*200000)/($C$87)))</f>
        <v>3.31729971802952</v>
      </c>
      <c r="K87" s="63">
        <f>TargetTRIR</f>
        <v>3</v>
      </c>
    </row>
    <row r="89" spans="2:12" x14ac:dyDescent="0.25">
      <c r="B89" s="34" t="s">
        <v>399</v>
      </c>
      <c r="C89" s="34"/>
      <c r="D89" s="34"/>
      <c r="E89" s="34"/>
      <c r="F89" s="34"/>
      <c r="G89" s="34"/>
      <c r="H89" s="34"/>
      <c r="I89" s="34"/>
      <c r="J89" s="34"/>
      <c r="K89" s="34"/>
    </row>
    <row r="90" spans="2:12" ht="32" customHeight="1" x14ac:dyDescent="0.25">
      <c r="B90" s="31" t="s">
        <v>400</v>
      </c>
      <c r="C90" s="35" t="s">
        <v>401</v>
      </c>
      <c r="D90" s="35" t="s">
        <v>402</v>
      </c>
      <c r="E90" s="35" t="s">
        <v>88</v>
      </c>
      <c r="F90" s="35" t="s">
        <v>86</v>
      </c>
      <c r="G90" s="35" t="s">
        <v>90</v>
      </c>
      <c r="H90" s="35" t="s">
        <v>148</v>
      </c>
      <c r="I90" s="35" t="s">
        <v>137</v>
      </c>
      <c r="J90" s="35" t="s">
        <v>397</v>
      </c>
      <c r="K90" s="35" t="s">
        <v>398</v>
      </c>
    </row>
    <row r="91" spans="2:12" x14ac:dyDescent="0.25">
      <c r="B91" s="32" t="str">
        <f>IF($B$92="","",(VALUE($B$92)-1)&amp;"")</f>
        <v>2025</v>
      </c>
      <c r="C91" s="42">
        <f>IF($B$91="","",COUNTIFS(tblIncidents[Classification],"Fatality",tblIncidents[Department],FDept,tblIncidents[Date],"&gt;="&amp;DATE(VALUE($B$91),1,1),tblIncidents[Date],"&lt;="&amp;DATE(VALUE($B$91),12,31)))</f>
        <v>0</v>
      </c>
      <c r="D91" s="42">
        <f>IF($B$91="","",COUNTIFS(tblIncidents[Classification],"Days away",tblIncidents[Department],FDept,tblIncidents[Date],"&gt;="&amp;DATE(VALUE($B$91),1,1),tblIncidents[Date],"&lt;="&amp;DATE(VALUE($B$91),12,31)))</f>
        <v>2</v>
      </c>
      <c r="E91" s="42">
        <f>IF($B$91="","",COUNTIFS(tblIncidents[Classification],"Restricted or transfer",tblIncidents[Department],FDept,tblIncidents[Date],"&gt;="&amp;DATE(VALUE($B$91),1,1),tblIncidents[Date],"&lt;="&amp;DATE(VALUE($B$91),12,31)))</f>
        <v>2</v>
      </c>
      <c r="F91" s="42">
        <f>IF($B$91="","",COUNTIFS(tblIncidents[Classification],"Other recordable",tblIncidents[Department],FDept,tblIncidents[Date],"&gt;="&amp;DATE(VALUE($B$91),1,1),tblIncidents[Date],"&lt;="&amp;DATE(VALUE($B$91),12,31)))</f>
        <v>3</v>
      </c>
      <c r="G91" s="42">
        <f>IF($B$91="","",SUMIFS(tblIncidents[Days away],tblIncidents[Department],FDept,tblIncidents[Date],"&gt;="&amp;DATE(VALUE($B$91),1,1),tblIncidents[Date],"&lt;="&amp;DATE(VALUE($B$91),12,31)))</f>
        <v>12</v>
      </c>
      <c r="H91" s="42">
        <f>IF($B$91="","",SUMIFS(tblIncidents[Days restricted],tblIncidents[Department],FDept,tblIncidents[Date],"&gt;="&amp;DATE(VALUE($B$91),1,1),tblIncidents[Date],"&lt;="&amp;DATE(VALUE($B$91),12,31)))</f>
        <v>26</v>
      </c>
      <c r="I91" s="42">
        <f>IF($B$91="","",SUMIFS(tblHours[Hours worked],tblHours[Department],FDept,tblHours[Month start],"&gt;="&amp;DATE(VALUE($B$91),1,1),tblHours[Month start],"&lt;="&amp;DATE(VALUE($B$91),12,1)))</f>
        <v>423370</v>
      </c>
      <c r="J91" s="62">
        <f>IF($B$91="","",IF(($I$91)=0,"",(($C$91+$D$91+$E$91+$F$91)*200000)/($I$91)))</f>
        <v>3.30680019840801</v>
      </c>
      <c r="K91" s="62">
        <f>IF($B$91="","",IF(($I$91)=0,"",(($D$91+$E$91)*200000)/($I$91)))</f>
        <v>1.88960011337601</v>
      </c>
    </row>
    <row r="92" spans="2:12" x14ac:dyDescent="0.25">
      <c r="B92" s="32" t="str">
        <f>IF(FEnd=0,"",YEAR(FEnd)&amp;"")</f>
        <v>2026</v>
      </c>
      <c r="C92" s="42">
        <f>IF($B$92="","",COUNTIFS(tblIncidents[Classification],"Fatality",tblIncidents[Department],FDept,tblIncidents[Date],"&gt;="&amp;DATE(VALUE($B$92),1,1),tblIncidents[Date],"&lt;="&amp;DATE(VALUE($B$92),12,31)))</f>
        <v>0</v>
      </c>
      <c r="D92" s="42">
        <f>IF($B$92="","",COUNTIFS(tblIncidents[Classification],"Days away",tblIncidents[Department],FDept,tblIncidents[Date],"&gt;="&amp;DATE(VALUE($B$92),1,1),tblIncidents[Date],"&lt;="&amp;DATE(VALUE($B$92),12,31)))</f>
        <v>2</v>
      </c>
      <c r="E92" s="42">
        <f>IF($B$92="","",COUNTIFS(tblIncidents[Classification],"Restricted or transfer",tblIncidents[Department],FDept,tblIncidents[Date],"&gt;="&amp;DATE(VALUE($B$92),1,1),tblIncidents[Date],"&lt;="&amp;DATE(VALUE($B$92),12,31)))</f>
        <v>0</v>
      </c>
      <c r="F92" s="42">
        <f>IF($B$92="","",COUNTIFS(tblIncidents[Classification],"Other recordable",tblIncidents[Department],FDept,tblIncidents[Date],"&gt;="&amp;DATE(VALUE($B$92),1,1),tblIncidents[Date],"&lt;="&amp;DATE(VALUE($B$92),12,31)))</f>
        <v>3</v>
      </c>
      <c r="G92" s="42">
        <f>IF($B$92="","",SUMIFS(tblIncidents[Days away],tblIncidents[Department],FDept,tblIncidents[Date],"&gt;="&amp;DATE(VALUE($B$92),1,1),tblIncidents[Date],"&lt;="&amp;DATE(VALUE($B$92),12,31)))</f>
        <v>9</v>
      </c>
      <c r="H92" s="42">
        <f>IF($B$92="","",SUMIFS(tblIncidents[Days restricted],tblIncidents[Department],FDept,tblIncidents[Date],"&gt;="&amp;DATE(VALUE($B$92),1,1),tblIncidents[Date],"&lt;="&amp;DATE(VALUE($B$92),12,31)))</f>
        <v>10</v>
      </c>
      <c r="I92" s="42">
        <f>IF($B$92="","",SUMIFS(tblHours[Hours worked],tblHours[Department],FDept,tblHours[Month start],"&gt;="&amp;DATE(VALUE($B$92),1,1),tblHours[Month start],"&lt;="&amp;DATE(VALUE($B$92),12,1)))</f>
        <v>332240</v>
      </c>
      <c r="J92" s="62">
        <f>IF($B$92="","",IF(($I$92)=0,"",(($C$92+$D$92+$E$92+$F$92)*200000)/($I$92)))</f>
        <v>3.00987238141103</v>
      </c>
      <c r="K92" s="62">
        <f>IF($B$92="","",IF(($I$92)=0,"",(($D$92+$E$92)*200000)/($I$92)))</f>
        <v>1.20394895256441</v>
      </c>
    </row>
    <row r="93" spans="2:12" ht="8" customHeight="1" x14ac:dyDescent="0.25"/>
    <row r="94" spans="2:12" ht="26.76" customHeight="1" x14ac:dyDescent="0.25">
      <c r="B94" s="21" t="s">
        <v>403</v>
      </c>
      <c r="C94" s="21"/>
      <c r="D94" s="21"/>
      <c r="E94" s="21"/>
      <c r="F94" s="21"/>
      <c r="G94" s="21"/>
      <c r="H94" s="21"/>
      <c r="I94" s="21"/>
      <c r="J94" s="21"/>
      <c r="K94" s="21"/>
      <c r="L94" s="21"/>
    </row>
    <row r="95" spans="2:12" x14ac:dyDescent="0.25">
      <c r="B95" s="64">
        <f>IF(OR(COUNTA(tblDepartments[Department])&gt;4,COUNTA(tblEventTypes[Event type])&gt;10),"Setup lists are longer than the Dashboard blocks: some departments or event types are not shown.","")</f>
        <v/>
      </c>
      <c r="C95" s="64"/>
      <c r="D95" s="64"/>
      <c r="E95" s="64"/>
      <c r="F95" s="64"/>
      <c r="G95" s="64"/>
      <c r="H95" s="64"/>
      <c r="I95" s="64"/>
      <c r="J95" s="64"/>
      <c r="K95" s="64"/>
      <c r="L95" s="64"/>
    </row>
  </sheetData>
  <sheetProtection sheet="1" formatColumns="0" formatRows="0"/>
  <mergeCells count="63">
    <mergeCell ref="A1:L1"/>
    <mergeCell ref="B2:J2"/>
    <mergeCell ref="K2:L2"/>
    <mergeCell ref="B4:C4"/>
    <mergeCell ref="D4:E4"/>
    <mergeCell ref="B5:C5"/>
    <mergeCell ref="D5:E5"/>
    <mergeCell ref="G4:H4"/>
    <mergeCell ref="I4:J4"/>
    <mergeCell ref="G5:H5"/>
    <mergeCell ref="I5:J5"/>
    <mergeCell ref="B6:L6"/>
    <mergeCell ref="B8:C8"/>
    <mergeCell ref="B9:C10"/>
    <mergeCell ref="B11:C11"/>
    <mergeCell ref="B12:C12"/>
    <mergeCell ref="D8:F8"/>
    <mergeCell ref="D9:F10"/>
    <mergeCell ref="D11:F11"/>
    <mergeCell ref="D12:F12"/>
    <mergeCell ref="G8:I8"/>
    <mergeCell ref="G9:I10"/>
    <mergeCell ref="G11:I11"/>
    <mergeCell ref="G12:I12"/>
    <mergeCell ref="J8:L8"/>
    <mergeCell ref="J9:L10"/>
    <mergeCell ref="J11:L11"/>
    <mergeCell ref="J12:L12"/>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52:G52"/>
    <mergeCell ref="C53:D53"/>
    <mergeCell ref="C54:D54"/>
    <mergeCell ref="C55:D55"/>
    <mergeCell ref="C56:D56"/>
    <mergeCell ref="C57:D57"/>
    <mergeCell ref="C58:D58"/>
    <mergeCell ref="C59:D59"/>
    <mergeCell ref="C60:D60"/>
    <mergeCell ref="C61:D61"/>
    <mergeCell ref="C62:D62"/>
    <mergeCell ref="C63:D63"/>
    <mergeCell ref="C64:D64"/>
    <mergeCell ref="C65:D65"/>
    <mergeCell ref="B67:J67"/>
    <mergeCell ref="B82:K82"/>
    <mergeCell ref="B89:K89"/>
    <mergeCell ref="B94:L94"/>
    <mergeCell ref="B95:L95"/>
  </mergeCells>
  <conditionalFormatting sqref="B1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2">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E55:E64">
    <cfRule type="dataBar" priority="6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G34">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H69:H80">
    <cfRule type="expression" dxfId="3" priority="62" stopIfTrue="1">
      <formula>AND(ISNUMBER(H69),H69&lt;=(TargetTRIR))</formula>
    </cfRule>
    <cfRule type="expression" dxfId="4" priority="63" stopIfTrue="1">
      <formula>AND(ISNUMBER(H69),H69&lt;=(TargetTRIR)*(1+0.05))</formula>
    </cfRule>
    <cfRule type="expression" dxfId="5" priority="64">
      <formula>ISNUMBER(H69)</formula>
    </cfRule>
  </conditionalFormatting>
  <conditionalFormatting sqref="I69:I80">
    <cfRule type="expression" dxfId="3" priority="65" stopIfTrue="1">
      <formula>AND(ISNUMBER(I69),I69&lt;=(TargetDART))</formula>
    </cfRule>
    <cfRule type="expression" dxfId="4" priority="66" stopIfTrue="1">
      <formula>AND(ISNUMBER(I69),I69&lt;=(TargetDART)*(1+0.05))</formula>
    </cfRule>
    <cfRule type="expression" dxfId="5" priority="67">
      <formula>ISNUMBER(I69)</formula>
    </cfRule>
  </conditionalFormatting>
  <conditionalFormatting sqref="I84:I87">
    <cfRule type="expression" dxfId="3" priority="68" stopIfTrue="1">
      <formula>AND(ISNUMBER(I84),I84&lt;=(TargetTRIR))</formula>
    </cfRule>
    <cfRule type="expression" dxfId="4" priority="69" stopIfTrue="1">
      <formula>AND(ISNUMBER(I84),I84&lt;=(TargetTRIR)*(1+0.05))</formula>
    </cfRule>
    <cfRule type="expression" dxfId="5" priority="70">
      <formula>ISNUMBER(I84)</formula>
    </cfRule>
  </conditionalFormatting>
  <conditionalFormatting sqref="J84:J87">
    <cfRule type="expression" dxfId="3" priority="71" stopIfTrue="1">
      <formula>AND(ISNUMBER(J84),J84&lt;=(TargetDART))</formula>
    </cfRule>
    <cfRule type="expression" dxfId="4" priority="72" stopIfTrue="1">
      <formula>AND(ISNUMBER(J84),J84&lt;=(TargetDART)*(1+0.05))</formula>
    </cfRule>
    <cfRule type="expression" dxfId="5" priority="73">
      <formula>ISNUMBER(J84)</formula>
    </cfRule>
  </conditionalFormatting>
  <dataValidations count="2">
    <dataValidation type="list" allowBlank="1" showInputMessage="1" showErrorMessage="1" errorTitle="Check this entry" error="Pick from the list (edit the list on Setup: Departments)." promptTitle="Department" prompt="Leave blank for the whole site. Pick from the list (edit the list on Setup: Departments)." sqref="D4">
      <formula1>Departments</formula1>
    </dataValidation>
    <dataValidation type="date" allowBlank="1" showInputMessage="1" showErrorMessage="1" errorTitle="Check this entry" error="Enter a date between 01 Jan 2000 and 31 Dec 2100." promptTitle="12 months ending" prompt="Any date in the last month to include. Leave blank to end at the latest month on the Hours Log. Enter a date between 01 Jan 2000 and 31 Dec 2100." sqref="I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Safety Incident Log with TRIR and DART&amp;R&amp;8&amp;A</oddHeader>
    <oddFooter>&amp;L&amp;8mfgcalcs.com - free manufacturing templates&amp;R&amp;8Page &amp;P of &amp;N</oddFooter>
  </headerFooter>
  <rowBreaks count="3" manualBreakCount="3">
    <brk id="29" max="16383" man="1"/>
    <brk id="51" max="16383" man="1"/>
    <brk id="80"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E55:E64</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404</v>
      </c>
      <c r="C4" s="8"/>
      <c r="D4" s="8"/>
    </row>
    <row r="5" spans="1:4" ht="5" customHeight="1"/>
    <row r="6" spans="1:4" ht="55.8" customHeight="1">
      <c r="B6" s="10" t="s">
        <v>405</v>
      </c>
      <c r="C6" s="10"/>
      <c r="D6" s="10"/>
    </row>
    <row r="8" spans="1:4" ht="21" customHeight="1">
      <c r="B8" s="8" t="s">
        <v>406</v>
      </c>
      <c r="C8" s="8"/>
      <c r="D8" s="8"/>
    </row>
    <row r="9" spans="1:4" ht="5" customHeight="1"/>
    <row r="10" spans="1:4" ht="20" customHeight="1">
      <c r="B10" s="31" t="s">
        <v>407</v>
      </c>
      <c r="C10" s="31" t="s">
        <v>408</v>
      </c>
      <c r="D10" s="35" t="s">
        <v>409</v>
      </c>
    </row>
    <row r="11" spans="1:4" ht="30.4" customHeight="1">
      <c r="B11" s="65" t="s">
        <v>149</v>
      </c>
      <c r="C11" s="33" t="s">
        <v>410</v>
      </c>
      <c r="D11" s="66" t="s">
        <v>411</v>
      </c>
    </row>
    <row r="12" spans="1:4" ht="17.2" customHeight="1">
      <c r="B12" s="65" t="s">
        <v>412</v>
      </c>
      <c r="C12" s="33" t="s">
        <v>413</v>
      </c>
      <c r="D12" s="66" t="s">
        <v>411</v>
      </c>
    </row>
    <row r="13" spans="1:4" ht="17.2" customHeight="1">
      <c r="B13" s="65" t="s">
        <v>151</v>
      </c>
      <c r="C13" s="33" t="s">
        <v>414</v>
      </c>
      <c r="D13" s="66" t="s">
        <v>411</v>
      </c>
    </row>
    <row r="14" spans="1:4" ht="30.4" customHeight="1">
      <c r="B14" s="65" t="s">
        <v>152</v>
      </c>
      <c r="C14" s="33" t="s">
        <v>415</v>
      </c>
      <c r="D14" s="66" t="s">
        <v>416</v>
      </c>
    </row>
    <row r="15" spans="1:4" ht="30.4" customHeight="1">
      <c r="B15" s="65" t="s">
        <v>157</v>
      </c>
      <c r="C15" s="33" t="s">
        <v>417</v>
      </c>
      <c r="D15" s="66" t="s">
        <v>418</v>
      </c>
    </row>
    <row r="16" spans="1:4" ht="30.4" customHeight="1">
      <c r="B16" s="65" t="s">
        <v>138</v>
      </c>
      <c r="C16" s="33" t="s">
        <v>419</v>
      </c>
      <c r="D16" s="66" t="s">
        <v>420</v>
      </c>
    </row>
    <row r="17" spans="2:4" ht="30.4" customHeight="1">
      <c r="B17" s="65" t="s">
        <v>139</v>
      </c>
      <c r="C17" s="33" t="s">
        <v>421</v>
      </c>
      <c r="D17" s="66" t="s">
        <v>422</v>
      </c>
    </row>
    <row r="18" spans="2:4" ht="30.4" customHeight="1">
      <c r="B18" s="65" t="s">
        <v>397</v>
      </c>
      <c r="C18" s="33" t="s">
        <v>423</v>
      </c>
      <c r="D18" s="66" t="s">
        <v>75</v>
      </c>
    </row>
    <row r="19" spans="2:4" ht="17.2" customHeight="1">
      <c r="B19" s="65" t="s">
        <v>398</v>
      </c>
      <c r="C19" s="33" t="s">
        <v>424</v>
      </c>
      <c r="D19" s="66" t="s">
        <v>75</v>
      </c>
    </row>
    <row r="20" spans="2:4" ht="30.4" customHeight="1">
      <c r="B20" s="65" t="s">
        <v>425</v>
      </c>
      <c r="C20" s="33" t="s">
        <v>426</v>
      </c>
      <c r="D20" s="66" t="s">
        <v>427</v>
      </c>
    </row>
    <row r="21" spans="2:4" ht="30.4" customHeight="1">
      <c r="B21" s="65" t="s">
        <v>428</v>
      </c>
      <c r="C21" s="33" t="s">
        <v>429</v>
      </c>
      <c r="D21" s="66" t="s">
        <v>75</v>
      </c>
    </row>
    <row r="22" spans="2:4" ht="17.2" customHeight="1">
      <c r="B22" s="65" t="s">
        <v>430</v>
      </c>
      <c r="C22" s="33" t="s">
        <v>431</v>
      </c>
      <c r="D22" s="66" t="s">
        <v>416</v>
      </c>
    </row>
    <row r="23" spans="2:4" ht="30.4" customHeight="1">
      <c r="B23" s="65" t="s">
        <v>432</v>
      </c>
      <c r="C23" s="33" t="s">
        <v>433</v>
      </c>
      <c r="D23" s="66" t="s">
        <v>434</v>
      </c>
    </row>
    <row r="24" spans="2:4" ht="30.4" customHeight="1">
      <c r="B24" s="65" t="s">
        <v>435</v>
      </c>
      <c r="C24" s="33" t="s">
        <v>436</v>
      </c>
      <c r="D24" s="66" t="s">
        <v>437</v>
      </c>
    </row>
    <row r="26" spans="2:4" ht="21" customHeight="1">
      <c r="B26" s="8" t="s">
        <v>438</v>
      </c>
      <c r="C26" s="8"/>
      <c r="D26" s="8"/>
    </row>
    <row r="27" spans="2:4" ht="5" customHeight="1"/>
    <row r="28" spans="2:4" ht="29.4" customHeight="1">
      <c r="B28" s="26" t="s">
        <v>57</v>
      </c>
      <c r="C28" s="10" t="s">
        <v>439</v>
      </c>
      <c r="D28" s="10"/>
    </row>
    <row r="29" spans="2:4" ht="29.4" customHeight="1">
      <c r="B29" s="26" t="s">
        <v>57</v>
      </c>
      <c r="C29" s="10" t="s">
        <v>440</v>
      </c>
      <c r="D29" s="10"/>
    </row>
    <row r="30" spans="2:4" ht="29.4" customHeight="1">
      <c r="B30" s="26" t="s">
        <v>57</v>
      </c>
      <c r="C30" s="10" t="s">
        <v>441</v>
      </c>
      <c r="D30" s="10"/>
    </row>
    <row r="32" spans="2:4" ht="21" customHeight="1">
      <c r="B32" s="8" t="s">
        <v>442</v>
      </c>
      <c r="C32" s="8"/>
      <c r="D32" s="8"/>
    </row>
    <row r="33" spans="2:4" ht="5" customHeight="1"/>
    <row r="34" spans="2:4" ht="29.4" customHeight="1">
      <c r="B34" s="26" t="s">
        <v>57</v>
      </c>
      <c r="C34" s="10" t="s">
        <v>443</v>
      </c>
      <c r="D34" s="10"/>
    </row>
    <row r="35" spans="2:4" ht="29.4" customHeight="1">
      <c r="B35" s="26" t="s">
        <v>57</v>
      </c>
      <c r="C35" s="10" t="s">
        <v>444</v>
      </c>
      <c r="D35" s="10"/>
    </row>
    <row r="36" spans="2:4" ht="29.4" customHeight="1">
      <c r="B36" s="26" t="s">
        <v>57</v>
      </c>
      <c r="C36" s="10" t="s">
        <v>445</v>
      </c>
      <c r="D36" s="10"/>
    </row>
    <row r="37" spans="2:4" ht="29.4" customHeight="1">
      <c r="B37" s="26" t="s">
        <v>57</v>
      </c>
      <c r="C37" s="10" t="s">
        <v>446</v>
      </c>
      <c r="D37" s="10"/>
    </row>
    <row r="39" spans="2:4" ht="21" customHeight="1">
      <c r="B39" s="8" t="s">
        <v>447</v>
      </c>
      <c r="C39" s="8"/>
      <c r="D39" s="8"/>
    </row>
    <row r="40" spans="2:4" ht="5" customHeight="1"/>
    <row r="41" spans="2:4" ht="69" customHeight="1">
      <c r="B41" s="10" t="s">
        <v>448</v>
      </c>
      <c r="C41" s="10"/>
      <c r="D41" s="10"/>
    </row>
    <row r="42" spans="2:4">
      <c r="B42" s="24" t="s">
        <v>449</v>
      </c>
      <c r="C42" s="24"/>
      <c r="D42" s="24"/>
    </row>
    <row r="44" spans="2:4" ht="21" customHeight="1">
      <c r="B44" s="8" t="s">
        <v>44</v>
      </c>
      <c r="C44" s="8"/>
      <c r="D44" s="8"/>
    </row>
    <row r="45" spans="2:4" ht="5" customHeight="1"/>
    <row r="46" spans="2:4" ht="42.6" customHeight="1">
      <c r="B46" s="10" t="s">
        <v>450</v>
      </c>
      <c r="C46" s="10"/>
      <c r="D46" s="10"/>
    </row>
    <row r="48" spans="2:4" ht="21" customHeight="1">
      <c r="B48" s="8" t="s">
        <v>451</v>
      </c>
      <c r="C48" s="8"/>
      <c r="D48" s="8"/>
    </row>
    <row r="49" spans="2:4" ht="5" customHeight="1"/>
    <row r="50" spans="2:4" ht="29.4" customHeight="1">
      <c r="B50" s="26" t="s">
        <v>57</v>
      </c>
      <c r="C50" s="10" t="s">
        <v>452</v>
      </c>
      <c r="D50" s="10"/>
    </row>
    <row r="51" spans="2:4" ht="29.4" customHeight="1">
      <c r="B51" s="26" t="s">
        <v>57</v>
      </c>
      <c r="C51" s="10" t="s">
        <v>453</v>
      </c>
      <c r="D51" s="10"/>
    </row>
    <row r="52" spans="2:4" ht="29.4" customHeight="1">
      <c r="B52" s="26" t="s">
        <v>57</v>
      </c>
      <c r="C52" s="10" t="s">
        <v>454</v>
      </c>
      <c r="D52" s="10"/>
    </row>
    <row r="53" spans="2:4" ht="16.2" customHeight="1">
      <c r="B53" s="26" t="s">
        <v>57</v>
      </c>
      <c r="C53" s="10" t="s">
        <v>455</v>
      </c>
      <c r="D53" s="10"/>
    </row>
    <row r="54" spans="2:4">
      <c r="B54" s="21" t="s">
        <v>456</v>
      </c>
      <c r="C54" s="21"/>
      <c r="D54" s="21"/>
    </row>
    <row r="56" spans="2:4" ht="21" customHeight="1">
      <c r="B56" s="8" t="s">
        <v>457</v>
      </c>
      <c r="C56" s="8"/>
      <c r="D56" s="8"/>
    </row>
    <row r="57" spans="2:4" ht="5" customHeight="1"/>
    <row r="58" spans="2:4">
      <c r="B58" s="31" t="s">
        <v>52</v>
      </c>
      <c r="C58" s="31" t="s">
        <v>458</v>
      </c>
      <c r="D58" s="35" t="s">
        <v>145</v>
      </c>
    </row>
    <row r="59" spans="2:4" ht="16.2" customHeight="1">
      <c r="B59" s="67" t="s">
        <v>459</v>
      </c>
      <c r="C59" s="68" t="s">
        <v>460</v>
      </c>
      <c r="D59" s="69" t="s">
        <v>461</v>
      </c>
    </row>
    <row r="61" spans="2:4">
      <c r="B61" s="21" t="s">
        <v>63</v>
      </c>
      <c r="C61" s="21"/>
      <c r="D61" s="21"/>
    </row>
  </sheetData>
  <sheetProtection sheet="1" formatColumns="0" formatRows="0"/>
  <mergeCells count="27">
    <mergeCell ref="A1:D1"/>
    <mergeCell ref="B2:C2"/>
    <mergeCell ref="B4:D4"/>
    <mergeCell ref="B6:D6"/>
    <mergeCell ref="B8:D8"/>
    <mergeCell ref="B26:D26"/>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C53:D53"/>
    <mergeCell ref="B54:D54"/>
    <mergeCell ref="B56:D56"/>
    <mergeCell ref="B61:D61"/>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Safety Incident Log with TRIR and DART&amp;R&amp;8&amp;A</oddHeader>
    <oddFooter>&amp;L&amp;8mfgcalcs.com - free manufacturing templates&amp;R&amp;8Page &amp;P of &amp;N</oddFooter>
  </headerFooter>
  <rowBreaks count="2" manualBreakCount="2">
    <brk id="25" max="16383" man="1"/>
    <brk id="55"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T63"/>
  <sheetViews>
    <sheetView showGridLines="0" workbookViewId="0"/>
  </sheetViews>
  <sheetFormatPr defaultRowHeight="15"/>
  <cols>
    <col min="1" max="1" width="2.7109375" customWidth="1"/>
    <col min="2" max="19" width="12.7109375" customWidth="1"/>
    <col min="20" max="20" width="27.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30</v>
      </c>
      <c r="C2" s="2"/>
      <c r="D2" s="2"/>
      <c r="E2" s="2"/>
      <c r="F2" s="2"/>
      <c r="G2" s="2"/>
      <c r="H2" s="2"/>
      <c r="I2" s="2"/>
      <c r="J2" s="2"/>
      <c r="K2" s="2"/>
      <c r="L2" s="2"/>
      <c r="M2" s="2"/>
      <c r="N2" s="2"/>
      <c r="O2" s="2"/>
      <c r="P2" s="2"/>
      <c r="Q2" s="2"/>
      <c r="R2" s="2"/>
      <c r="S2" s="2"/>
      <c r="T2" s="3" t="s">
        <v>2</v>
      </c>
    </row>
    <row r="3" spans="1:20" ht="6" customHeight="1"/>
    <row r="4" spans="1:20" ht="30" customHeight="1">
      <c r="B4" s="70" t="s">
        <v>462</v>
      </c>
      <c r="C4" s="70"/>
      <c r="D4" s="22" t="str">
        <f>IF(COUNTIF($K$11:$K$33,"PASS")=23,"PASS","FAIL")</f>
        <v>PASS</v>
      </c>
      <c r="E4" s="22"/>
      <c r="F4" s="23" t="str">
        <f>COUNTIF($K$11:$K$33,"PASS")&amp;" of 23 checks pass"</f>
        <v>23 of 23 checks pass</v>
      </c>
      <c r="G4" s="23"/>
      <c r="H4" s="23"/>
      <c r="I4" s="23"/>
      <c r="J4" s="23"/>
    </row>
    <row r="6" spans="1:20" ht="29.4" customHeight="1">
      <c r="B6" s="10" t="s">
        <v>463</v>
      </c>
      <c r="C6" s="10"/>
      <c r="D6" s="10"/>
      <c r="E6" s="10"/>
      <c r="F6" s="10"/>
      <c r="G6" s="10"/>
      <c r="H6" s="10"/>
      <c r="I6" s="10"/>
      <c r="J6" s="10"/>
      <c r="K6" s="10"/>
      <c r="L6" s="10"/>
    </row>
    <row r="8" spans="1:20" ht="21" customHeight="1">
      <c r="B8" s="8" t="s">
        <v>464</v>
      </c>
      <c r="C8" s="8"/>
      <c r="D8" s="8"/>
      <c r="E8" s="8"/>
      <c r="F8" s="8"/>
      <c r="G8" s="8"/>
      <c r="H8" s="8"/>
      <c r="I8" s="8"/>
      <c r="J8" s="8"/>
      <c r="K8" s="8"/>
      <c r="L8" s="8"/>
    </row>
    <row r="9" spans="1:20" ht="5" customHeight="1"/>
    <row r="10" spans="1:20" ht="30" customHeight="1">
      <c r="B10" s="35" t="s">
        <v>465</v>
      </c>
      <c r="C10" s="31" t="s">
        <v>140</v>
      </c>
      <c r="D10" s="31"/>
      <c r="E10" s="31"/>
      <c r="F10" s="31"/>
      <c r="G10" s="35" t="s">
        <v>466</v>
      </c>
      <c r="H10" s="35" t="s">
        <v>467</v>
      </c>
      <c r="I10" s="35" t="s">
        <v>468</v>
      </c>
      <c r="J10" s="35" t="s">
        <v>469</v>
      </c>
      <c r="K10" s="35" t="s">
        <v>470</v>
      </c>
    </row>
    <row r="11" spans="1:20" ht="16.2" customHeight="1">
      <c r="B11" s="55">
        <v>1</v>
      </c>
      <c r="C11" s="68" t="s">
        <v>471</v>
      </c>
      <c r="D11" s="68"/>
      <c r="E11" s="68"/>
      <c r="F11" s="68"/>
      <c r="G11" s="67" t="s">
        <v>472</v>
      </c>
      <c r="H11" s="56" t="str">
        <f>$K$55</f>
        <v>Yes</v>
      </c>
      <c r="I11" s="56"/>
      <c r="J11" s="69" t="s">
        <v>473</v>
      </c>
      <c r="K11" s="41" t="str">
        <f>IF($H$11&amp;""=$G$11&amp;"","PASS","FAIL")</f>
        <v>PASS</v>
      </c>
    </row>
    <row r="12" spans="1:20" ht="16.2" customHeight="1">
      <c r="B12" s="55">
        <v>2</v>
      </c>
      <c r="C12" s="68" t="s">
        <v>474</v>
      </c>
      <c r="D12" s="68"/>
      <c r="E12" s="68"/>
      <c r="F12" s="68"/>
      <c r="G12" s="67" t="s">
        <v>472</v>
      </c>
      <c r="H12" s="56" t="str">
        <f>$K$57</f>
        <v>Yes</v>
      </c>
      <c r="I12" s="56"/>
      <c r="J12" s="69" t="s">
        <v>473</v>
      </c>
      <c r="K12" s="41" t="str">
        <f>IF($H$12&amp;""=$G$12&amp;"","PASS","FAIL")</f>
        <v>PASS</v>
      </c>
    </row>
    <row r="13" spans="1:20" ht="16.2" customHeight="1">
      <c r="B13" s="55">
        <v>3</v>
      </c>
      <c r="C13" s="68" t="s">
        <v>475</v>
      </c>
      <c r="D13" s="68"/>
      <c r="E13" s="68"/>
      <c r="F13" s="68"/>
      <c r="G13" s="67" t="s">
        <v>472</v>
      </c>
      <c r="H13" s="56" t="str">
        <f>$K$58</f>
        <v>Yes</v>
      </c>
      <c r="I13" s="56"/>
      <c r="J13" s="69" t="s">
        <v>473</v>
      </c>
      <c r="K13" s="41" t="str">
        <f>IF($H$13&amp;""=$G$13&amp;"","PASS","FAIL")</f>
        <v>PASS</v>
      </c>
    </row>
    <row r="14" spans="1:20" ht="16.2" customHeight="1">
      <c r="B14" s="55">
        <v>4</v>
      </c>
      <c r="C14" s="68" t="s">
        <v>476</v>
      </c>
      <c r="D14" s="68"/>
      <c r="E14" s="68"/>
      <c r="F14" s="68"/>
      <c r="G14" s="67" t="s">
        <v>477</v>
      </c>
      <c r="H14" s="56" t="str">
        <f>$K$60</f>
        <v>No</v>
      </c>
      <c r="I14" s="56"/>
      <c r="J14" s="69" t="s">
        <v>473</v>
      </c>
      <c r="K14" s="41" t="str">
        <f>IF($H$14&amp;""=$G$14&amp;"","PASS","FAIL")</f>
        <v>PASS</v>
      </c>
    </row>
    <row r="15" spans="1:20" ht="16.2" customHeight="1">
      <c r="B15" s="55">
        <v>5</v>
      </c>
      <c r="C15" s="68" t="s">
        <v>478</v>
      </c>
      <c r="D15" s="68"/>
      <c r="E15" s="68"/>
      <c r="F15" s="68"/>
      <c r="G15" s="67" t="s">
        <v>472</v>
      </c>
      <c r="H15" s="56" t="str">
        <f>$L$57</f>
        <v>Yes</v>
      </c>
      <c r="I15" s="56"/>
      <c r="J15" s="69" t="s">
        <v>473</v>
      </c>
      <c r="K15" s="41" t="str">
        <f>IF($H$15&amp;""=$G$15&amp;"","PASS","FAIL")</f>
        <v>PASS</v>
      </c>
    </row>
    <row r="16" spans="1:20" ht="16.2" customHeight="1">
      <c r="B16" s="55">
        <v>6</v>
      </c>
      <c r="C16" s="68" t="s">
        <v>479</v>
      </c>
      <c r="D16" s="68"/>
      <c r="E16" s="68"/>
      <c r="F16" s="68"/>
      <c r="G16" s="67" t="s">
        <v>477</v>
      </c>
      <c r="H16" s="56" t="str">
        <f>$L$58</f>
        <v>No</v>
      </c>
      <c r="I16" s="56"/>
      <c r="J16" s="69" t="s">
        <v>473</v>
      </c>
      <c r="K16" s="41" t="str">
        <f>IF($H$16&amp;""=$G$16&amp;"","PASS","FAIL")</f>
        <v>PASS</v>
      </c>
    </row>
    <row r="17" spans="2:11" ht="16.2" customHeight="1">
      <c r="B17" s="55">
        <v>7</v>
      </c>
      <c r="C17" s="68" t="s">
        <v>480</v>
      </c>
      <c r="D17" s="68"/>
      <c r="E17" s="68"/>
      <c r="F17" s="68"/>
      <c r="G17" s="67" t="s">
        <v>472</v>
      </c>
      <c r="H17" s="56" t="str">
        <f>$M$55</f>
        <v>Yes</v>
      </c>
      <c r="I17" s="56"/>
      <c r="J17" s="69" t="s">
        <v>473</v>
      </c>
      <c r="K17" s="41" t="str">
        <f>IF($H$17&amp;""=$G$17&amp;"","PASS","FAIL")</f>
        <v>PASS</v>
      </c>
    </row>
    <row r="18" spans="2:11" ht="16.2" customHeight="1">
      <c r="B18" s="55">
        <v>8</v>
      </c>
      <c r="C18" s="68" t="s">
        <v>481</v>
      </c>
      <c r="D18" s="68"/>
      <c r="E18" s="68"/>
      <c r="F18" s="68"/>
      <c r="G18" s="67" t="s">
        <v>477</v>
      </c>
      <c r="H18" s="56" t="str">
        <f>$M$57</f>
        <v>No</v>
      </c>
      <c r="I18" s="56"/>
      <c r="J18" s="69" t="s">
        <v>473</v>
      </c>
      <c r="K18" s="41" t="str">
        <f>IF($H$18&amp;""=$G$18&amp;"","PASS","FAIL")</f>
        <v>PASS</v>
      </c>
    </row>
    <row r="19" spans="2:11" ht="16.2" customHeight="1">
      <c r="B19" s="55">
        <v>9</v>
      </c>
      <c r="C19" s="68" t="s">
        <v>482</v>
      </c>
      <c r="D19" s="68"/>
      <c r="E19" s="68"/>
      <c r="F19" s="68"/>
      <c r="G19" s="71">
        <v>17</v>
      </c>
      <c r="H19" s="42">
        <f>$N$55</f>
        <v>17</v>
      </c>
      <c r="I19" s="72">
        <f>IF(AND(ISNUMBER($G$19),ISNUMBER($H$19)),ABS($H$19-$G$19),"")</f>
        <v>0</v>
      </c>
      <c r="J19" s="73">
        <v>1E-09</v>
      </c>
      <c r="K19" s="41" t="str">
        <f>IF(AND(ISNUMBER($G$19),ISNUMBER($H$19)),IF(ABS($H$19-$G$19)&lt;=$J$19,"PASS","FAIL"),"FAIL")</f>
        <v>PASS</v>
      </c>
    </row>
    <row r="20" spans="2:11" ht="16.2" customHeight="1">
      <c r="B20" s="55">
        <v>10</v>
      </c>
      <c r="C20" s="68" t="s">
        <v>483</v>
      </c>
      <c r="D20" s="68"/>
      <c r="E20" s="68"/>
      <c r="F20" s="68"/>
      <c r="G20" s="67" t="s">
        <v>484</v>
      </c>
      <c r="H20" s="56" t="str">
        <f>$S$55</f>
        <v>Complete</v>
      </c>
      <c r="I20" s="56"/>
      <c r="J20" s="69" t="s">
        <v>473</v>
      </c>
      <c r="K20" s="41" t="str">
        <f>IF($H$20&amp;""=$G$20&amp;"","PASS","FAIL")</f>
        <v>PASS</v>
      </c>
    </row>
    <row r="21" spans="2:11" ht="16.2" customHeight="1">
      <c r="B21" s="55">
        <v>11</v>
      </c>
      <c r="C21" s="68" t="s">
        <v>485</v>
      </c>
      <c r="D21" s="68"/>
      <c r="E21" s="68"/>
      <c r="F21" s="68"/>
      <c r="G21" s="67" t="s">
        <v>486</v>
      </c>
      <c r="H21" s="56" t="str">
        <f>$S$56</f>
        <v>Overdue</v>
      </c>
      <c r="I21" s="56"/>
      <c r="J21" s="69" t="s">
        <v>473</v>
      </c>
      <c r="K21" s="41" t="str">
        <f>IF($H$21&amp;""=$G$21&amp;"","PASS","FAIL")</f>
        <v>PASS</v>
      </c>
    </row>
    <row r="22" spans="2:11" ht="16.2" customHeight="1">
      <c r="B22" s="55">
        <v>12</v>
      </c>
      <c r="C22" s="68" t="s">
        <v>487</v>
      </c>
      <c r="D22" s="68"/>
      <c r="E22" s="68"/>
      <c r="F22" s="68"/>
      <c r="G22" s="67" t="s">
        <v>488</v>
      </c>
      <c r="H22" s="56" t="str">
        <f>$S$57</f>
        <v>In progress</v>
      </c>
      <c r="I22" s="56"/>
      <c r="J22" s="69" t="s">
        <v>473</v>
      </c>
      <c r="K22" s="41" t="str">
        <f>IF($H$22&amp;""=$G$22&amp;"","PASS","FAIL")</f>
        <v>PASS</v>
      </c>
    </row>
    <row r="23" spans="2:11" ht="16.2" customHeight="1">
      <c r="B23" s="55">
        <v>13</v>
      </c>
      <c r="C23" s="68" t="s">
        <v>489</v>
      </c>
      <c r="D23" s="68"/>
      <c r="E23" s="68"/>
      <c r="F23" s="68"/>
      <c r="G23" s="67" t="s">
        <v>140</v>
      </c>
      <c r="H23" s="56" t="str">
        <f>$S$58</f>
        <v>Check</v>
      </c>
      <c r="I23" s="56"/>
      <c r="J23" s="69" t="s">
        <v>473</v>
      </c>
      <c r="K23" s="41" t="str">
        <f>IF($H$23&amp;""=$G$23&amp;"","PASS","FAIL")</f>
        <v>PASS</v>
      </c>
    </row>
    <row r="24" spans="2:11" ht="16.2" customHeight="1">
      <c r="B24" s="55">
        <v>14</v>
      </c>
      <c r="C24" s="68" t="s">
        <v>490</v>
      </c>
      <c r="D24" s="68"/>
      <c r="E24" s="68"/>
      <c r="F24" s="68"/>
      <c r="G24" s="67" t="s">
        <v>491</v>
      </c>
      <c r="H24" s="56" t="str">
        <f>$T$61</f>
        <v>Days away on a non-days-away case</v>
      </c>
      <c r="I24" s="56"/>
      <c r="J24" s="69" t="s">
        <v>473</v>
      </c>
      <c r="K24" s="41" t="str">
        <f>IF($H$24&amp;""=$G$24&amp;"","PASS","FAIL")</f>
        <v>PASS</v>
      </c>
    </row>
    <row r="25" spans="2:11" ht="16.2" customHeight="1">
      <c r="B25" s="55">
        <v>15</v>
      </c>
      <c r="C25" s="68" t="s">
        <v>492</v>
      </c>
      <c r="D25" s="68"/>
      <c r="E25" s="68"/>
      <c r="F25" s="68"/>
      <c r="G25" s="67" t="s">
        <v>493</v>
      </c>
      <c r="H25" s="56" t="str">
        <f>$T$63</f>
        <v>Duplicate case number</v>
      </c>
      <c r="I25" s="56"/>
      <c r="J25" s="69" t="s">
        <v>473</v>
      </c>
      <c r="K25" s="41" t="str">
        <f>IF($H$25&amp;""=$G$25&amp;"","PASS","FAIL")</f>
        <v>PASS</v>
      </c>
    </row>
    <row r="26" spans="2:11" ht="16.2" customHeight="1">
      <c r="B26" s="55">
        <v>16</v>
      </c>
      <c r="C26" s="68" t="s">
        <v>494</v>
      </c>
      <c r="D26" s="68"/>
      <c r="E26" s="68"/>
      <c r="F26" s="68"/>
      <c r="G26" s="74">
        <v>160</v>
      </c>
      <c r="H26" s="39">
        <f>$G$49</f>
        <v>160</v>
      </c>
      <c r="I26" s="72">
        <f>IF(AND(ISNUMBER($G$26),ISNUMBER($H$26)),ABS($H$26-$G$26),"")</f>
        <v>0</v>
      </c>
      <c r="J26" s="73">
        <v>1E-09</v>
      </c>
      <c r="K26" s="41" t="str">
        <f>IF(AND(ISNUMBER($G$26),ISNUMBER($H$26)),IF(ABS($H$26-$G$26)&lt;=$J$26,"PASS","FAIL"),"FAIL")</f>
        <v>PASS</v>
      </c>
    </row>
    <row r="27" spans="2:11" ht="16.2" customHeight="1">
      <c r="B27" s="55">
        <v>17</v>
      </c>
      <c r="C27" s="68" t="s">
        <v>495</v>
      </c>
      <c r="D27" s="68"/>
      <c r="E27" s="68"/>
      <c r="F27" s="68"/>
      <c r="G27" s="67" t="s">
        <v>496</v>
      </c>
      <c r="H27" s="56" t="str">
        <f>$H$51</f>
        <v>Over 300 h per employee</v>
      </c>
      <c r="I27" s="56"/>
      <c r="J27" s="69" t="s">
        <v>473</v>
      </c>
      <c r="K27" s="41" t="str">
        <f>IF($H$27&amp;""=$G$27&amp;"","PASS","FAIL")</f>
        <v>PASS</v>
      </c>
    </row>
    <row r="28" spans="2:11" ht="16.2" customHeight="1">
      <c r="B28" s="55">
        <v>18</v>
      </c>
      <c r="C28" s="68" t="s">
        <v>497</v>
      </c>
      <c r="D28" s="68"/>
      <c r="E28" s="68"/>
      <c r="F28" s="68"/>
      <c r="G28" s="71">
        <v>500000</v>
      </c>
      <c r="H28" s="42">
        <f>SUMIFS(tblVerifyHours[Hours worked],tblVerifyHours[Department],$E$43,tblVerifyHours[Month start],"&gt;="&amp;$E$44,tblVerifyHours[Month start],"&lt;="&amp;$E$45)</f>
        <v>500000</v>
      </c>
      <c r="I28" s="72">
        <f>IF(AND(ISNUMBER($G$28),ISNUMBER($H$28)),ABS($H$28-$G$28),"")</f>
        <v>0</v>
      </c>
      <c r="J28" s="73">
        <v>1E-09</v>
      </c>
      <c r="K28" s="41" t="str">
        <f>IF(AND(ISNUMBER($G$28),ISNUMBER($H$28)),IF(ABS($H$28-$G$28)&lt;=$J$28,"PASS","FAIL"),"FAIL")</f>
        <v>PASS</v>
      </c>
    </row>
    <row r="29" spans="2:11" ht="16.2" customHeight="1">
      <c r="B29" s="55">
        <v>19</v>
      </c>
      <c r="C29" s="68" t="s">
        <v>498</v>
      </c>
      <c r="D29" s="68"/>
      <c r="E29" s="68"/>
      <c r="F29" s="68"/>
      <c r="G29" s="75">
        <v>2</v>
      </c>
      <c r="H29" s="76">
        <f>IF((SUMIFS(tblVerifyHours[Hours worked],tblVerifyHours[Department],$E$43,tblVerifyHours[Month start],"&gt;="&amp;$E$44,tblVerifyHours[Month start],"&lt;="&amp;$E$45))=0,"",(COUNTIFS(tblVerifyIncidents[Recordable],"Yes",tblVerifyIncidents[Department],$E$43,tblVerifyIncidents[Date],"&gt;="&amp;$E$44,tblVerifyIncidents[Date],"&lt;="&amp;EOMONTH($E$45,0))*200000)/(SUMIFS(tblVerifyHours[Hours worked],tblVerifyHours[Department],$E$43,tblVerifyHours[Month start],"&gt;="&amp;$E$44,tblVerifyHours[Month start],"&lt;="&amp;$E$45)))</f>
        <v>2</v>
      </c>
      <c r="I29" s="72">
        <f>IF(AND(ISNUMBER($G$29),ISNUMBER($H$29)),ABS($H$29-$G$29),"")</f>
        <v>0</v>
      </c>
      <c r="J29" s="73">
        <v>1E-09</v>
      </c>
      <c r="K29" s="41" t="str">
        <f>IF(AND(ISNUMBER($G$29),ISNUMBER($H$29)),IF(ABS($H$29-$G$29)&lt;=$J$29,"PASS","FAIL"),"FAIL")</f>
        <v>PASS</v>
      </c>
    </row>
    <row r="30" spans="2:11" ht="16.2" customHeight="1">
      <c r="B30" s="55">
        <v>20</v>
      </c>
      <c r="C30" s="68" t="s">
        <v>499</v>
      </c>
      <c r="D30" s="68"/>
      <c r="E30" s="68"/>
      <c r="F30" s="68"/>
      <c r="G30" s="75">
        <v>1.2</v>
      </c>
      <c r="H30" s="76">
        <f>IF((SUMIFS(tblVerifyHours[Hours worked],tblVerifyHours[Department],$E$43,tblVerifyHours[Month start],"&gt;="&amp;$E$44,tblVerifyHours[Month start],"&lt;="&amp;$E$45))=0,"",(COUNTIFS(tblVerifyIncidents[DART],"Yes",tblVerifyIncidents[Department],$E$43,tblVerifyIncidents[Date],"&gt;="&amp;$E$44,tblVerifyIncidents[Date],"&lt;="&amp;EOMONTH($E$45,0))*200000)/(SUMIFS(tblVerifyHours[Hours worked],tblVerifyHours[Department],$E$43,tblVerifyHours[Month start],"&gt;="&amp;$E$44,tblVerifyHours[Month start],"&lt;="&amp;$E$45)))</f>
        <v>1.2</v>
      </c>
      <c r="I30" s="72">
        <f>IF(AND(ISNUMBER($G$30),ISNUMBER($H$30)),ABS($H$30-$G$30),"")</f>
        <v>0</v>
      </c>
      <c r="J30" s="73">
        <v>1E-09</v>
      </c>
      <c r="K30" s="41" t="str">
        <f>IF(AND(ISNUMBER($G$30),ISNUMBER($H$30)),IF(ABS($H$30-$G$30)&lt;=$J$30,"PASS","FAIL"),"FAIL")</f>
        <v>PASS</v>
      </c>
    </row>
    <row r="31" spans="2:11" ht="16.2" customHeight="1">
      <c r="B31" s="55">
        <v>21</v>
      </c>
      <c r="C31" s="68" t="s">
        <v>500</v>
      </c>
      <c r="D31" s="68"/>
      <c r="E31" s="68"/>
      <c r="F31" s="68"/>
      <c r="G31" s="75">
        <v>4</v>
      </c>
      <c r="H31" s="76">
        <f>IF((SUMIFS(tblVerifyHours[Hours worked],tblVerifyHours[Department],$E$43,tblVerifyHours[Month start],"&gt;="&amp;$E$44,tblVerifyHours[Month start],"&lt;="&amp;$E$45))=0,"",(COUNTIFS(tblVerifyIncidents[Lost time],"Yes",tblVerifyIncidents[Department],$E$43,tblVerifyIncidents[Date],"&gt;="&amp;$E$44,tblVerifyIncidents[Date],"&lt;="&amp;EOMONTH($E$45,0))*1000000)/(SUMIFS(tblVerifyHours[Hours worked],tblVerifyHours[Department],$E$43,tblVerifyHours[Month start],"&gt;="&amp;$E$44,tblVerifyHours[Month start],"&lt;="&amp;$E$45)))</f>
        <v>4</v>
      </c>
      <c r="I31" s="72">
        <f>IF(AND(ISNUMBER($G$31),ISNUMBER($H$31)),ABS($H$31-$G$31),"")</f>
        <v>0</v>
      </c>
      <c r="J31" s="73">
        <v>1E-09</v>
      </c>
      <c r="K31" s="41" t="str">
        <f>IF(AND(ISNUMBER($G$31),ISNUMBER($H$31)),IF(ABS($H$31-$G$31)&lt;=$J$31,"PASS","FAIL"),"FAIL")</f>
        <v>PASS</v>
      </c>
    </row>
    <row r="32" spans="2:11" ht="16.2" customHeight="1">
      <c r="B32" s="55">
        <v>22</v>
      </c>
      <c r="C32" s="68" t="s">
        <v>501</v>
      </c>
      <c r="D32" s="68"/>
      <c r="E32" s="68"/>
      <c r="F32" s="68"/>
      <c r="G32" s="71">
        <v>29</v>
      </c>
      <c r="H32" s="42">
        <f>SUMIFS(tblVerifyIncidents[Days lost],tblVerifyIncidents[Department],$E$43,tblVerifyIncidents[Date],"&gt;="&amp;$E$44,tblVerifyIncidents[Date],"&lt;="&amp;EOMONTH($E$45,0))</f>
        <v>29</v>
      </c>
      <c r="I32" s="72">
        <f>IF(AND(ISNUMBER($G$32),ISNUMBER($H$32)),ABS($H$32-$G$32),"")</f>
        <v>0</v>
      </c>
      <c r="J32" s="73">
        <v>1E-09</v>
      </c>
      <c r="K32" s="41" t="str">
        <f>IF(AND(ISNUMBER($G$32),ISNUMBER($H$32)),IF(ABS($H$32-$G$32)&lt;=$J$32,"PASS","FAIL"),"FAIL")</f>
        <v>PASS</v>
      </c>
    </row>
    <row r="33" spans="2:12" ht="16.2" customHeight="1">
      <c r="B33" s="55">
        <v>23</v>
      </c>
      <c r="C33" s="68" t="s">
        <v>502</v>
      </c>
      <c r="D33" s="68"/>
      <c r="E33" s="68"/>
      <c r="F33" s="68"/>
      <c r="G33" s="71">
        <v>41</v>
      </c>
      <c r="H33" s="42">
        <f>IF(COUNTIFS(tblVerifyIncidents[Recordable],"Yes",tblVerifyIncidents[Department],$E$43,tblVerifyIncidents[Date],"&lt;="&amp;$E$39)=0,"",$E$39-SUMPRODUCT(MAX((tblVerifyIncidents[Recordable]="Yes")*((($E$42="")+(tblVerifyIncidents[Department]=$E$42))&gt;0)*(tblVerifyIncidents[Date]&lt;=$E$39)*tblVerifyIncidents[Date])))</f>
        <v>41</v>
      </c>
      <c r="I33" s="72">
        <f>IF(AND(ISNUMBER($G$33),ISNUMBER($H$33)),ABS($H$33-$G$33),"")</f>
        <v>0</v>
      </c>
      <c r="J33" s="73">
        <v>1E-09</v>
      </c>
      <c r="K33" s="41" t="str">
        <f>IF(AND(ISNUMBER($G$33),ISNUMBER($H$33)),IF(ABS($H$33-$G$33)&lt;=$J$33,"PASS","FAIL"),"FAIL")</f>
        <v>PASS</v>
      </c>
    </row>
    <row r="35" spans="2:12" ht="21" customHeight="1">
      <c r="B35" s="8" t="s">
        <v>503</v>
      </c>
      <c r="C35" s="8"/>
      <c r="D35" s="8"/>
      <c r="E35" s="8"/>
      <c r="F35" s="8"/>
      <c r="G35" s="8"/>
      <c r="H35" s="8"/>
      <c r="I35" s="8"/>
      <c r="J35" s="8"/>
      <c r="K35" s="8"/>
      <c r="L35" s="8"/>
    </row>
    <row r="36" spans="2:12" ht="5" customHeight="1"/>
    <row r="37" spans="2:12">
      <c r="B37" s="21" t="s">
        <v>504</v>
      </c>
      <c r="C37" s="21"/>
      <c r="D37" s="21"/>
      <c r="E37" s="21"/>
      <c r="F37" s="21"/>
      <c r="G37" s="21"/>
      <c r="H37" s="21"/>
      <c r="I37" s="21"/>
      <c r="J37" s="21"/>
      <c r="K37" s="21"/>
      <c r="L37" s="21"/>
    </row>
    <row r="38" spans="2:12">
      <c r="B38" s="34" t="s">
        <v>505</v>
      </c>
      <c r="C38" s="34"/>
      <c r="D38" s="34"/>
      <c r="E38" s="34"/>
      <c r="F38" s="34"/>
    </row>
    <row r="39" spans="2:12">
      <c r="B39" s="27" t="s">
        <v>73</v>
      </c>
      <c r="C39" s="27"/>
      <c r="D39" s="27"/>
      <c r="E39" s="77">
        <v>46203</v>
      </c>
      <c r="F39" s="7"/>
    </row>
    <row r="40" spans="2:12">
      <c r="B40" s="27" t="s">
        <v>74</v>
      </c>
      <c r="C40" s="27"/>
      <c r="D40" s="27"/>
      <c r="E40" s="63">
        <v>3</v>
      </c>
      <c r="F40" s="7"/>
    </row>
    <row r="41" spans="2:12">
      <c r="B41" s="27" t="s">
        <v>76</v>
      </c>
      <c r="C41" s="27"/>
      <c r="D41" s="27"/>
      <c r="E41" s="63">
        <v>1.5</v>
      </c>
      <c r="F41" s="7"/>
    </row>
    <row r="42" spans="2:12">
      <c r="B42" s="27" t="s">
        <v>506</v>
      </c>
      <c r="C42" s="27"/>
      <c r="D42" s="27"/>
      <c r="E42" s="67" t="s">
        <v>143</v>
      </c>
      <c r="F42" s="67"/>
    </row>
    <row r="43" spans="2:12">
      <c r="B43" s="27" t="s">
        <v>507</v>
      </c>
      <c r="C43" s="27"/>
      <c r="D43" s="27"/>
      <c r="E43" s="67" t="s">
        <v>508</v>
      </c>
      <c r="F43" s="67"/>
    </row>
    <row r="44" spans="2:12">
      <c r="B44" s="27" t="s">
        <v>509</v>
      </c>
      <c r="C44" s="27"/>
      <c r="D44" s="27"/>
      <c r="E44" s="77">
        <v>45839</v>
      </c>
      <c r="F44" s="7"/>
    </row>
    <row r="45" spans="2:12">
      <c r="B45" s="27" t="s">
        <v>510</v>
      </c>
      <c r="C45" s="27"/>
      <c r="D45" s="27"/>
      <c r="E45" s="77">
        <v>46174</v>
      </c>
      <c r="F45" s="7"/>
    </row>
    <row r="47" spans="2:12">
      <c r="B47" s="34" t="s">
        <v>511</v>
      </c>
      <c r="C47" s="34"/>
      <c r="D47" s="34"/>
      <c r="E47" s="34"/>
      <c r="F47" s="34"/>
      <c r="G47" s="34"/>
      <c r="H47" s="34"/>
      <c r="I47" s="34"/>
      <c r="J47" s="34"/>
      <c r="K47" s="34"/>
      <c r="L47" s="34"/>
    </row>
    <row r="48" spans="2:12" ht="32" customHeight="1">
      <c r="B48" s="35" t="s">
        <v>135</v>
      </c>
      <c r="C48" s="35" t="s">
        <v>64</v>
      </c>
      <c r="D48" s="35" t="s">
        <v>136</v>
      </c>
      <c r="E48" s="35" t="s">
        <v>137</v>
      </c>
      <c r="F48" s="35" t="s">
        <v>138</v>
      </c>
      <c r="G48" s="35" t="s">
        <v>139</v>
      </c>
      <c r="H48" s="35" t="s">
        <v>140</v>
      </c>
      <c r="I48" s="35" t="s">
        <v>141</v>
      </c>
    </row>
    <row r="49" spans="2:20">
      <c r="B49" s="77">
        <v>45839</v>
      </c>
      <c r="C49" s="67" t="s">
        <v>512</v>
      </c>
      <c r="D49" s="71">
        <v>1500</v>
      </c>
      <c r="E49" s="71">
        <v>240000</v>
      </c>
      <c r="F49" s="38">
        <f>IF(tblVerifyHours[[#This Row],[Month]]="","",DATE(YEAR(tblVerifyHours[[#This Row],[Month]]),MONTH(tblVerifyHours[[#This Row],[Month]]),1))</f>
        <v>45839</v>
      </c>
      <c r="G49" s="39">
        <f>IF(tblVerifyHours[[#This Row],[Month]]="","",IF(N(tblVerifyHours[[#This Row],[Employees]])&gt;0,tblVerifyHours[[#This Row],[Hours worked]]/tblVerifyHours[[#This Row],[Employees]],""))</f>
        <v>160</v>
      </c>
      <c r="H49" s="40" t="str">
        <f>IF(tblVerifyHours[[#This Row],[Month]]="","",IF(tblVerifyHours[[#This Row],[Department]]="","Missing department",IF(tblVerifyHours[[#This Row],[Employees]]="","Missing employees",IF(tblVerifyHours[[#This Row],[Hours worked]]="","Missing hours worked",IF(COUNTIFS(tblVerifyHours[Month start],tblVerifyHours[[#This Row],[Month start]],tblVerifyHours[Department],tblVerifyHours[[#This Row],[Department]])&gt;1,"Duplicate month and department",IF(AND(N(tblVerifyHours[[#This Row],[Employees]])&gt;0,tblVerifyHours[[#This Row],[Hours worked]]/tblVerifyHours[[#This Row],[Employees]]&gt;300),"Over 300 h per employee",IF(tblVerifyHours[[#This Row],[Month start]]&gt;$E$39,"Month after the as-of date","OK")))))))</f>
        <v>OK</v>
      </c>
      <c r="I49" s="67"/>
    </row>
    <row r="50" spans="2:20">
      <c r="B50" s="77">
        <v>46023</v>
      </c>
      <c r="C50" s="67" t="s">
        <v>513</v>
      </c>
      <c r="D50" s="71">
        <v>1600</v>
      </c>
      <c r="E50" s="71">
        <v>260000</v>
      </c>
      <c r="F50" s="38">
        <f>IF(tblVerifyHours[[#This Row],[Month]]="","",DATE(YEAR(tblVerifyHours[[#This Row],[Month]]),MONTH(tblVerifyHours[[#This Row],[Month]]),1))</f>
        <v>46023</v>
      </c>
      <c r="G50" s="39">
        <f>IF(tblVerifyHours[[#This Row],[Month]]="","",IF(N(tblVerifyHours[[#This Row],[Employees]])&gt;0,tblVerifyHours[[#This Row],[Hours worked]]/tblVerifyHours[[#This Row],[Employees]],""))</f>
        <v>162.5</v>
      </c>
      <c r="H50" s="40" t="str">
        <f>IF(tblVerifyHours[[#This Row],[Month]]="","",IF(tblVerifyHours[[#This Row],[Department]]="","Missing department",IF(tblVerifyHours[[#This Row],[Employees]]="","Missing employees",IF(tblVerifyHours[[#This Row],[Hours worked]]="","Missing hours worked",IF(COUNTIFS(tblVerifyHours[Month start],tblVerifyHours[[#This Row],[Month start]],tblVerifyHours[Department],tblVerifyHours[[#This Row],[Department]])&gt;1,"Duplicate month and department",IF(AND(N(tblVerifyHours[[#This Row],[Employees]])&gt;0,tblVerifyHours[[#This Row],[Hours worked]]/tblVerifyHours[[#This Row],[Employees]]&gt;300),"Over 300 h per employee",IF(tblVerifyHours[[#This Row],[Month start]]&gt;$E$39,"Month after the as-of date","OK")))))))</f>
        <v>OK</v>
      </c>
      <c r="I50" s="67"/>
    </row>
    <row r="51" spans="2:20">
      <c r="B51" s="77">
        <v>45627</v>
      </c>
      <c r="C51" s="67" t="s">
        <v>512</v>
      </c>
      <c r="D51" s="71">
        <v>50</v>
      </c>
      <c r="E51" s="71">
        <v>20000</v>
      </c>
      <c r="F51" s="38">
        <f>IF(tblVerifyHours[[#This Row],[Month]]="","",DATE(YEAR(tblVerifyHours[[#This Row],[Month]]),MONTH(tblVerifyHours[[#This Row],[Month]]),1))</f>
        <v>45627</v>
      </c>
      <c r="G51" s="39">
        <f>IF(tblVerifyHours[[#This Row],[Month]]="","",IF(N(tblVerifyHours[[#This Row],[Employees]])&gt;0,tblVerifyHours[[#This Row],[Hours worked]]/tblVerifyHours[[#This Row],[Employees]],""))</f>
        <v>400</v>
      </c>
      <c r="H51" s="40" t="str">
        <f>IF(tblVerifyHours[[#This Row],[Month]]="","",IF(tblVerifyHours[[#This Row],[Department]]="","Missing department",IF(tblVerifyHours[[#This Row],[Employees]]="","Missing employees",IF(tblVerifyHours[[#This Row],[Hours worked]]="","Missing hours worked",IF(COUNTIFS(tblVerifyHours[Month start],tblVerifyHours[[#This Row],[Month start]],tblVerifyHours[Department],tblVerifyHours[[#This Row],[Department]])&gt;1,"Duplicate month and department",IF(AND(N(tblVerifyHours[[#This Row],[Employees]])&gt;0,tblVerifyHours[[#This Row],[Hours worked]]/tblVerifyHours[[#This Row],[Employees]]&gt;300),"Over 300 h per employee",IF(tblVerifyHours[[#This Row],[Month start]]&gt;$E$39,"Month after the as-of date","OK")))))))</f>
        <v>Over 300 h per employee</v>
      </c>
      <c r="I51" s="67"/>
    </row>
    <row r="53" spans="2:20">
      <c r="B53" s="34" t="s">
        <v>514</v>
      </c>
      <c r="C53" s="34"/>
      <c r="D53" s="34"/>
      <c r="E53" s="34"/>
      <c r="F53" s="34"/>
      <c r="G53" s="34"/>
      <c r="H53" s="34"/>
      <c r="I53" s="34"/>
      <c r="J53" s="34"/>
      <c r="K53" s="34"/>
      <c r="L53" s="34"/>
    </row>
    <row r="54" spans="2:20" ht="32" customHeight="1">
      <c r="B54" s="35" t="s">
        <v>144</v>
      </c>
      <c r="C54" s="35" t="s">
        <v>145</v>
      </c>
      <c r="D54" s="35" t="s">
        <v>64</v>
      </c>
      <c r="E54" s="35" t="s">
        <v>146</v>
      </c>
      <c r="F54" s="35" t="s">
        <v>67</v>
      </c>
      <c r="G54" s="35" t="s">
        <v>80</v>
      </c>
      <c r="H54" s="35" t="s">
        <v>147</v>
      </c>
      <c r="I54" s="35" t="s">
        <v>90</v>
      </c>
      <c r="J54" s="35" t="s">
        <v>148</v>
      </c>
      <c r="K54" s="35" t="s">
        <v>149</v>
      </c>
      <c r="L54" s="35" t="s">
        <v>150</v>
      </c>
      <c r="M54" s="35" t="s">
        <v>151</v>
      </c>
      <c r="N54" s="35" t="s">
        <v>152</v>
      </c>
      <c r="O54" s="35" t="s">
        <v>153</v>
      </c>
      <c r="P54" s="35" t="s">
        <v>154</v>
      </c>
      <c r="Q54" s="35" t="s">
        <v>155</v>
      </c>
      <c r="R54" s="35" t="s">
        <v>156</v>
      </c>
      <c r="S54" s="35" t="s">
        <v>157</v>
      </c>
      <c r="T54" s="35" t="s">
        <v>140</v>
      </c>
    </row>
    <row r="55" spans="2:20">
      <c r="B55" s="67" t="s">
        <v>515</v>
      </c>
      <c r="C55" s="77">
        <v>45873</v>
      </c>
      <c r="D55" s="67" t="s">
        <v>512</v>
      </c>
      <c r="E55" s="67"/>
      <c r="F55" s="67" t="s">
        <v>516</v>
      </c>
      <c r="G55" s="67" t="s">
        <v>90</v>
      </c>
      <c r="H55" s="67"/>
      <c r="I55" s="71">
        <v>12</v>
      </c>
      <c r="J55" s="71">
        <v>5</v>
      </c>
      <c r="K55" s="41" t="str">
        <f>IF(tblVerifyIncidents[[#This Row],[Date]]="","",IF(OR(tblVerifyIncidents[[#This Row],[Classification]]="Other recordable",tblVerifyIncidents[[#This Row],[Classification]]="Restricted or transfer",tblVerifyIncidents[[#This Row],[Classification]]="Days away",tblVerifyIncidents[[#This Row],[Classification]]="Fatality"),"Yes","No"))</f>
        <v>Yes</v>
      </c>
      <c r="L55" s="41" t="str">
        <f>IF(tblVerifyIncidents[[#This Row],[Date]]="","",IF(OR(tblVerifyIncidents[[#This Row],[Classification]]="Restricted or transfer",tblVerifyIncidents[[#This Row],[Classification]]="Days away"),"Yes","No"))</f>
        <v>Yes</v>
      </c>
      <c r="M55" s="41" t="str">
        <f>IF(tblVerifyIncidents[[#This Row],[Date]]="","",IF(OR(tblVerifyIncidents[[#This Row],[Classification]]="Days away",tblVerifyIncidents[[#This Row],[Classification]]="Fatality"),"Yes","No"))</f>
        <v>Yes</v>
      </c>
      <c r="N55" s="42">
        <f>IF(tblVerifyIncidents[[#This Row],[Date]]="","",N(tblVerifyIncidents[[#This Row],[Days away]])+N(tblVerifyIncidents[[#This Row],[Days restricted]]))</f>
        <v>17</v>
      </c>
      <c r="O55" s="67"/>
      <c r="P55" s="67" t="s">
        <v>517</v>
      </c>
      <c r="Q55" s="77">
        <v>45901</v>
      </c>
      <c r="R55" s="77">
        <v>45897</v>
      </c>
      <c r="S55" s="41" t="str">
        <f>IF(tblVerifyIncidents[[#This Row],[Date]]="","",IF(tblVerifyIncidents[[#This Row],[Corrective action]]="","",IF(N(tblVerifyIncidents[[#This Row],[Action closed]])&gt;0,"Complete",IF(N(tblVerifyIncidents[[#This Row],[Action due]])=0,"Check",IF(tblVerifyIncidents[[#This Row],[Action due]]&lt;$E$39,"Overdue","In progress")))))</f>
        <v>Complete</v>
      </c>
      <c r="T55"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OK</v>
      </c>
    </row>
    <row r="56" spans="2:20">
      <c r="B56" s="67" t="s">
        <v>518</v>
      </c>
      <c r="C56" s="77">
        <v>45939</v>
      </c>
      <c r="D56" s="67" t="s">
        <v>513</v>
      </c>
      <c r="E56" s="67"/>
      <c r="F56" s="67" t="s">
        <v>519</v>
      </c>
      <c r="G56" s="67" t="s">
        <v>90</v>
      </c>
      <c r="H56" s="67"/>
      <c r="I56" s="71">
        <v>3</v>
      </c>
      <c r="J56" s="71"/>
      <c r="K56" s="41" t="str">
        <f>IF(tblVerifyIncidents[[#This Row],[Date]]="","",IF(OR(tblVerifyIncidents[[#This Row],[Classification]]="Other recordable",tblVerifyIncidents[[#This Row],[Classification]]="Restricted or transfer",tblVerifyIncidents[[#This Row],[Classification]]="Days away",tblVerifyIncidents[[#This Row],[Classification]]="Fatality"),"Yes","No"))</f>
        <v>Yes</v>
      </c>
      <c r="L56" s="41" t="str">
        <f>IF(tblVerifyIncidents[[#This Row],[Date]]="","",IF(OR(tblVerifyIncidents[[#This Row],[Classification]]="Restricted or transfer",tblVerifyIncidents[[#This Row],[Classification]]="Days away"),"Yes","No"))</f>
        <v>Yes</v>
      </c>
      <c r="M56" s="41" t="str">
        <f>IF(tblVerifyIncidents[[#This Row],[Date]]="","",IF(OR(tblVerifyIncidents[[#This Row],[Classification]]="Days away",tblVerifyIncidents[[#This Row],[Classification]]="Fatality"),"Yes","No"))</f>
        <v>Yes</v>
      </c>
      <c r="N56" s="42">
        <f>IF(tblVerifyIncidents[[#This Row],[Date]]="","",N(tblVerifyIncidents[[#This Row],[Days away]])+N(tblVerifyIncidents[[#This Row],[Days restricted]]))</f>
        <v>3</v>
      </c>
      <c r="O56" s="67"/>
      <c r="P56" s="67" t="s">
        <v>520</v>
      </c>
      <c r="Q56" s="77">
        <v>46174</v>
      </c>
      <c r="R56" s="77"/>
      <c r="S56" s="41" t="str">
        <f>IF(tblVerifyIncidents[[#This Row],[Date]]="","",IF(tblVerifyIncidents[[#This Row],[Corrective action]]="","",IF(N(tblVerifyIncidents[[#This Row],[Action closed]])&gt;0,"Complete",IF(N(tblVerifyIncidents[[#This Row],[Action due]])=0,"Check",IF(tblVerifyIncidents[[#This Row],[Action due]]&lt;$E$39,"Overdue","In progress")))))</f>
        <v>Overdue</v>
      </c>
      <c r="T56"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OK</v>
      </c>
    </row>
    <row r="57" spans="2:20">
      <c r="B57" s="67" t="s">
        <v>521</v>
      </c>
      <c r="C57" s="77">
        <v>46070</v>
      </c>
      <c r="D57" s="67" t="s">
        <v>513</v>
      </c>
      <c r="E57" s="67"/>
      <c r="F57" s="67" t="s">
        <v>522</v>
      </c>
      <c r="G57" s="67" t="s">
        <v>88</v>
      </c>
      <c r="H57" s="67"/>
      <c r="I57" s="71"/>
      <c r="J57" s="71">
        <v>7</v>
      </c>
      <c r="K57" s="41" t="str">
        <f>IF(tblVerifyIncidents[[#This Row],[Date]]="","",IF(OR(tblVerifyIncidents[[#This Row],[Classification]]="Other recordable",tblVerifyIncidents[[#This Row],[Classification]]="Restricted or transfer",tblVerifyIncidents[[#This Row],[Classification]]="Days away",tblVerifyIncidents[[#This Row],[Classification]]="Fatality"),"Yes","No"))</f>
        <v>Yes</v>
      </c>
      <c r="L57" s="41" t="str">
        <f>IF(tblVerifyIncidents[[#This Row],[Date]]="","",IF(OR(tblVerifyIncidents[[#This Row],[Classification]]="Restricted or transfer",tblVerifyIncidents[[#This Row],[Classification]]="Days away"),"Yes","No"))</f>
        <v>Yes</v>
      </c>
      <c r="M57" s="41" t="str">
        <f>IF(tblVerifyIncidents[[#This Row],[Date]]="","",IF(OR(tblVerifyIncidents[[#This Row],[Classification]]="Days away",tblVerifyIncidents[[#This Row],[Classification]]="Fatality"),"Yes","No"))</f>
        <v>No</v>
      </c>
      <c r="N57" s="42">
        <f>IF(tblVerifyIncidents[[#This Row],[Date]]="","",N(tblVerifyIncidents[[#This Row],[Days away]])+N(tblVerifyIncidents[[#This Row],[Days restricted]]))</f>
        <v>7</v>
      </c>
      <c r="O57" s="67"/>
      <c r="P57" s="67" t="s">
        <v>523</v>
      </c>
      <c r="Q57" s="77">
        <v>46218</v>
      </c>
      <c r="R57" s="77"/>
      <c r="S57" s="41" t="str">
        <f>IF(tblVerifyIncidents[[#This Row],[Date]]="","",IF(tblVerifyIncidents[[#This Row],[Corrective action]]="","",IF(N(tblVerifyIncidents[[#This Row],[Action closed]])&gt;0,"Complete",IF(N(tblVerifyIncidents[[#This Row],[Action due]])=0,"Check",IF(tblVerifyIncidents[[#This Row],[Action due]]&lt;$E$39,"Overdue","In progress")))))</f>
        <v>In progress</v>
      </c>
      <c r="T57"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OK</v>
      </c>
    </row>
    <row r="58" spans="2:20">
      <c r="B58" s="67" t="s">
        <v>524</v>
      </c>
      <c r="C58" s="77">
        <v>46083</v>
      </c>
      <c r="D58" s="67" t="s">
        <v>512</v>
      </c>
      <c r="E58" s="67"/>
      <c r="F58" s="67" t="s">
        <v>516</v>
      </c>
      <c r="G58" s="67" t="s">
        <v>86</v>
      </c>
      <c r="H58" s="67"/>
      <c r="I58" s="71"/>
      <c r="J58" s="71"/>
      <c r="K58" s="41" t="str">
        <f>IF(tblVerifyIncidents[[#This Row],[Date]]="","",IF(OR(tblVerifyIncidents[[#This Row],[Classification]]="Other recordable",tblVerifyIncidents[[#This Row],[Classification]]="Restricted or transfer",tblVerifyIncidents[[#This Row],[Classification]]="Days away",tblVerifyIncidents[[#This Row],[Classification]]="Fatality"),"Yes","No"))</f>
        <v>Yes</v>
      </c>
      <c r="L58" s="41" t="str">
        <f>IF(tblVerifyIncidents[[#This Row],[Date]]="","",IF(OR(tblVerifyIncidents[[#This Row],[Classification]]="Restricted or transfer",tblVerifyIncidents[[#This Row],[Classification]]="Days away"),"Yes","No"))</f>
        <v>No</v>
      </c>
      <c r="M58" s="41" t="str">
        <f>IF(tblVerifyIncidents[[#This Row],[Date]]="","",IF(OR(tblVerifyIncidents[[#This Row],[Classification]]="Days away",tblVerifyIncidents[[#This Row],[Classification]]="Fatality"),"Yes","No"))</f>
        <v>No</v>
      </c>
      <c r="N58" s="42">
        <f>IF(tblVerifyIncidents[[#This Row],[Date]]="","",N(tblVerifyIncidents[[#This Row],[Days away]])+N(tblVerifyIncidents[[#This Row],[Days restricted]]))</f>
        <v>0</v>
      </c>
      <c r="O58" s="67"/>
      <c r="P58" s="67" t="s">
        <v>525</v>
      </c>
      <c r="Q58" s="77"/>
      <c r="R58" s="77"/>
      <c r="S58" s="41" t="str">
        <f>IF(tblVerifyIncidents[[#This Row],[Date]]="","",IF(tblVerifyIncidents[[#This Row],[Corrective action]]="","",IF(N(tblVerifyIncidents[[#This Row],[Action closed]])&gt;0,"Complete",IF(N(tblVerifyIncidents[[#This Row],[Action due]])=0,"Check",IF(tblVerifyIncidents[[#This Row],[Action due]]&lt;$E$39,"Overdue","In progress")))))</f>
        <v>Check</v>
      </c>
      <c r="T58"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OK</v>
      </c>
    </row>
    <row r="59" spans="2:20">
      <c r="B59" s="67" t="s">
        <v>526</v>
      </c>
      <c r="C59" s="77">
        <v>46162</v>
      </c>
      <c r="D59" s="67" t="s">
        <v>512</v>
      </c>
      <c r="E59" s="67"/>
      <c r="F59" s="67" t="s">
        <v>527</v>
      </c>
      <c r="G59" s="67" t="s">
        <v>86</v>
      </c>
      <c r="H59" s="67"/>
      <c r="I59" s="71"/>
      <c r="J59" s="71"/>
      <c r="K59" s="41" t="str">
        <f>IF(tblVerifyIncidents[[#This Row],[Date]]="","",IF(OR(tblVerifyIncidents[[#This Row],[Classification]]="Other recordable",tblVerifyIncidents[[#This Row],[Classification]]="Restricted or transfer",tblVerifyIncidents[[#This Row],[Classification]]="Days away",tblVerifyIncidents[[#This Row],[Classification]]="Fatality"),"Yes","No"))</f>
        <v>Yes</v>
      </c>
      <c r="L59" s="41" t="str">
        <f>IF(tblVerifyIncidents[[#This Row],[Date]]="","",IF(OR(tblVerifyIncidents[[#This Row],[Classification]]="Restricted or transfer",tblVerifyIncidents[[#This Row],[Classification]]="Days away"),"Yes","No"))</f>
        <v>No</v>
      </c>
      <c r="M59" s="41" t="str">
        <f>IF(tblVerifyIncidents[[#This Row],[Date]]="","",IF(OR(tblVerifyIncidents[[#This Row],[Classification]]="Days away",tblVerifyIncidents[[#This Row],[Classification]]="Fatality"),"Yes","No"))</f>
        <v>No</v>
      </c>
      <c r="N59" s="42">
        <f>IF(tblVerifyIncidents[[#This Row],[Date]]="","",N(tblVerifyIncidents[[#This Row],[Days away]])+N(tblVerifyIncidents[[#This Row],[Days restricted]]))</f>
        <v>0</v>
      </c>
      <c r="O59" s="67"/>
      <c r="P59" s="67"/>
      <c r="Q59" s="77"/>
      <c r="R59" s="77"/>
      <c r="S59" s="41">
        <f>IF(tblVerifyIncidents[[#This Row],[Date]]="","",IF(tblVerifyIncidents[[#This Row],[Corrective action]]="","",IF(N(tblVerifyIncidents[[#This Row],[Action closed]])&gt;0,"Complete",IF(N(tblVerifyIncidents[[#This Row],[Action due]])=0,"Check",IF(tblVerifyIncidents[[#This Row],[Action due]]&lt;$E$39,"Overdue","In progress")))))</f>
        <v/>
      </c>
      <c r="T59"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OK</v>
      </c>
    </row>
    <row r="60" spans="2:20">
      <c r="B60" s="67" t="s">
        <v>528</v>
      </c>
      <c r="C60" s="77">
        <v>46176</v>
      </c>
      <c r="D60" s="67" t="s">
        <v>513</v>
      </c>
      <c r="E60" s="67"/>
      <c r="F60" s="67" t="s">
        <v>529</v>
      </c>
      <c r="G60" s="67" t="s">
        <v>84</v>
      </c>
      <c r="H60" s="67"/>
      <c r="I60" s="71"/>
      <c r="J60" s="71"/>
      <c r="K60" s="41" t="str">
        <f>IF(tblVerifyIncidents[[#This Row],[Date]]="","",IF(OR(tblVerifyIncidents[[#This Row],[Classification]]="Other recordable",tblVerifyIncidents[[#This Row],[Classification]]="Restricted or transfer",tblVerifyIncidents[[#This Row],[Classification]]="Days away",tblVerifyIncidents[[#This Row],[Classification]]="Fatality"),"Yes","No"))</f>
        <v>No</v>
      </c>
      <c r="L60" s="41" t="str">
        <f>IF(tblVerifyIncidents[[#This Row],[Date]]="","",IF(OR(tblVerifyIncidents[[#This Row],[Classification]]="Restricted or transfer",tblVerifyIncidents[[#This Row],[Classification]]="Days away"),"Yes","No"))</f>
        <v>No</v>
      </c>
      <c r="M60" s="41" t="str">
        <f>IF(tblVerifyIncidents[[#This Row],[Date]]="","",IF(OR(tblVerifyIncidents[[#This Row],[Classification]]="Days away",tblVerifyIncidents[[#This Row],[Classification]]="Fatality"),"Yes","No"))</f>
        <v>No</v>
      </c>
      <c r="N60" s="42">
        <f>IF(tblVerifyIncidents[[#This Row],[Date]]="","",N(tblVerifyIncidents[[#This Row],[Days away]])+N(tblVerifyIncidents[[#This Row],[Days restricted]]))</f>
        <v>0</v>
      </c>
      <c r="O60" s="67"/>
      <c r="P60" s="67"/>
      <c r="Q60" s="77"/>
      <c r="R60" s="77"/>
      <c r="S60" s="41">
        <f>IF(tblVerifyIncidents[[#This Row],[Date]]="","",IF(tblVerifyIncidents[[#This Row],[Corrective action]]="","",IF(N(tblVerifyIncidents[[#This Row],[Action closed]])&gt;0,"Complete",IF(N(tblVerifyIncidents[[#This Row],[Action due]])=0,"Check",IF(tblVerifyIncidents[[#This Row],[Action due]]&lt;$E$39,"Overdue","In progress")))))</f>
        <v/>
      </c>
      <c r="T60"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OK</v>
      </c>
    </row>
    <row r="61" spans="2:20">
      <c r="B61" s="67" t="s">
        <v>530</v>
      </c>
      <c r="C61" s="77">
        <v>46182</v>
      </c>
      <c r="D61" s="67" t="s">
        <v>513</v>
      </c>
      <c r="E61" s="67"/>
      <c r="F61" s="67" t="s">
        <v>529</v>
      </c>
      <c r="G61" s="67" t="s">
        <v>82</v>
      </c>
      <c r="H61" s="67"/>
      <c r="I61" s="71">
        <v>2</v>
      </c>
      <c r="J61" s="71"/>
      <c r="K61" s="41" t="str">
        <f>IF(tblVerifyIncidents[[#This Row],[Date]]="","",IF(OR(tblVerifyIncidents[[#This Row],[Classification]]="Other recordable",tblVerifyIncidents[[#This Row],[Classification]]="Restricted or transfer",tblVerifyIncidents[[#This Row],[Classification]]="Days away",tblVerifyIncidents[[#This Row],[Classification]]="Fatality"),"Yes","No"))</f>
        <v>No</v>
      </c>
      <c r="L61" s="41" t="str">
        <f>IF(tblVerifyIncidents[[#This Row],[Date]]="","",IF(OR(tblVerifyIncidents[[#This Row],[Classification]]="Restricted or transfer",tblVerifyIncidents[[#This Row],[Classification]]="Days away"),"Yes","No"))</f>
        <v>No</v>
      </c>
      <c r="M61" s="41" t="str">
        <f>IF(tblVerifyIncidents[[#This Row],[Date]]="","",IF(OR(tblVerifyIncidents[[#This Row],[Classification]]="Days away",tblVerifyIncidents[[#This Row],[Classification]]="Fatality"),"Yes","No"))</f>
        <v>No</v>
      </c>
      <c r="N61" s="42">
        <f>IF(tblVerifyIncidents[[#This Row],[Date]]="","",N(tblVerifyIncidents[[#This Row],[Days away]])+N(tblVerifyIncidents[[#This Row],[Days restricted]]))</f>
        <v>2</v>
      </c>
      <c r="O61" s="67"/>
      <c r="P61" s="67"/>
      <c r="Q61" s="77"/>
      <c r="R61" s="77"/>
      <c r="S61" s="41">
        <f>IF(tblVerifyIncidents[[#This Row],[Date]]="","",IF(tblVerifyIncidents[[#This Row],[Corrective action]]="","",IF(N(tblVerifyIncidents[[#This Row],[Action closed]])&gt;0,"Complete",IF(N(tblVerifyIncidents[[#This Row],[Action due]])=0,"Check",IF(tblVerifyIncidents[[#This Row],[Action due]]&lt;$E$39,"Overdue","In progress")))))</f>
        <v/>
      </c>
      <c r="T61"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Days away on a non-days-away case</v>
      </c>
    </row>
    <row r="62" spans="2:20">
      <c r="B62" s="67" t="s">
        <v>531</v>
      </c>
      <c r="C62" s="77">
        <v>45631</v>
      </c>
      <c r="D62" s="67" t="s">
        <v>512</v>
      </c>
      <c r="E62" s="67"/>
      <c r="F62" s="67" t="s">
        <v>516</v>
      </c>
      <c r="G62" s="67" t="s">
        <v>86</v>
      </c>
      <c r="H62" s="67"/>
      <c r="I62" s="71"/>
      <c r="J62" s="71"/>
      <c r="K62" s="41" t="str">
        <f>IF(tblVerifyIncidents[[#This Row],[Date]]="","",IF(OR(tblVerifyIncidents[[#This Row],[Classification]]="Other recordable",tblVerifyIncidents[[#This Row],[Classification]]="Restricted or transfer",tblVerifyIncidents[[#This Row],[Classification]]="Days away",tblVerifyIncidents[[#This Row],[Classification]]="Fatality"),"Yes","No"))</f>
        <v>Yes</v>
      </c>
      <c r="L62" s="41" t="str">
        <f>IF(tblVerifyIncidents[[#This Row],[Date]]="","",IF(OR(tblVerifyIncidents[[#This Row],[Classification]]="Restricted or transfer",tblVerifyIncidents[[#This Row],[Classification]]="Days away"),"Yes","No"))</f>
        <v>No</v>
      </c>
      <c r="M62" s="41" t="str">
        <f>IF(tblVerifyIncidents[[#This Row],[Date]]="","",IF(OR(tblVerifyIncidents[[#This Row],[Classification]]="Days away",tblVerifyIncidents[[#This Row],[Classification]]="Fatality"),"Yes","No"))</f>
        <v>No</v>
      </c>
      <c r="N62" s="42">
        <f>IF(tblVerifyIncidents[[#This Row],[Date]]="","",N(tblVerifyIncidents[[#This Row],[Days away]])+N(tblVerifyIncidents[[#This Row],[Days restricted]]))</f>
        <v>0</v>
      </c>
      <c r="O62" s="67"/>
      <c r="P62" s="67"/>
      <c r="Q62" s="77"/>
      <c r="R62" s="77"/>
      <c r="S62" s="41">
        <f>IF(tblVerifyIncidents[[#This Row],[Date]]="","",IF(tblVerifyIncidents[[#This Row],[Corrective action]]="","",IF(N(tblVerifyIncidents[[#This Row],[Action closed]])&gt;0,"Complete",IF(N(tblVerifyIncidents[[#This Row],[Action due]])=0,"Check",IF(tblVerifyIncidents[[#This Row],[Action due]]&lt;$E$39,"Overdue","In progress")))))</f>
        <v/>
      </c>
      <c r="T62"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Duplicate case number</v>
      </c>
    </row>
    <row r="63" spans="2:20">
      <c r="B63" s="67" t="s">
        <v>531</v>
      </c>
      <c r="C63" s="77">
        <v>45634</v>
      </c>
      <c r="D63" s="67" t="s">
        <v>512</v>
      </c>
      <c r="E63" s="67"/>
      <c r="F63" s="67" t="s">
        <v>516</v>
      </c>
      <c r="G63" s="67" t="s">
        <v>82</v>
      </c>
      <c r="H63" s="67"/>
      <c r="I63" s="71"/>
      <c r="J63" s="71"/>
      <c r="K63" s="41" t="str">
        <f>IF(tblVerifyIncidents[[#This Row],[Date]]="","",IF(OR(tblVerifyIncidents[[#This Row],[Classification]]="Other recordable",tblVerifyIncidents[[#This Row],[Classification]]="Restricted or transfer",tblVerifyIncidents[[#This Row],[Classification]]="Days away",tblVerifyIncidents[[#This Row],[Classification]]="Fatality"),"Yes","No"))</f>
        <v>No</v>
      </c>
      <c r="L63" s="41" t="str">
        <f>IF(tblVerifyIncidents[[#This Row],[Date]]="","",IF(OR(tblVerifyIncidents[[#This Row],[Classification]]="Restricted or transfer",tblVerifyIncidents[[#This Row],[Classification]]="Days away"),"Yes","No"))</f>
        <v>No</v>
      </c>
      <c r="M63" s="41" t="str">
        <f>IF(tblVerifyIncidents[[#This Row],[Date]]="","",IF(OR(tblVerifyIncidents[[#This Row],[Classification]]="Days away",tblVerifyIncidents[[#This Row],[Classification]]="Fatality"),"Yes","No"))</f>
        <v>No</v>
      </c>
      <c r="N63" s="42">
        <f>IF(tblVerifyIncidents[[#This Row],[Date]]="","",N(tblVerifyIncidents[[#This Row],[Days away]])+N(tblVerifyIncidents[[#This Row],[Days restricted]]))</f>
        <v>0</v>
      </c>
      <c r="O63" s="67"/>
      <c r="P63" s="67"/>
      <c r="Q63" s="77"/>
      <c r="R63" s="77"/>
      <c r="S63" s="41">
        <f>IF(tblVerifyIncidents[[#This Row],[Date]]="","",IF(tblVerifyIncidents[[#This Row],[Corrective action]]="","",IF(N(tblVerifyIncidents[[#This Row],[Action closed]])&gt;0,"Complete",IF(N(tblVerifyIncidents[[#This Row],[Action due]])=0,"Check",IF(tblVerifyIncidents[[#This Row],[Action due]]&lt;$E$39,"Overdue","In progress")))))</f>
        <v/>
      </c>
      <c r="T63" s="40" t="str">
        <f>IF(tblVerifyIncidents[[#This Row],[Date]]="","",IF(tblVerifyIncidents[[#This Row],[Department]]="","Missing department",IF(tblVerifyIncidents[[#This Row],[Event type]]="","Missing event type",IF(tblVerifyIncidents[[#This Row],[Classification]]="","Missing classification",IF(COUNTIFS(tblVerifyIncidents[Case no.],tblVerifyIncidents[[#This Row],[Case no.]])&gt;1,"Duplicate case number",IF(tblVerifyIncidents[[#This Row],[Date]]&gt;$E$39,"Date after the as-of date",IF(AND(N(tblVerifyIncidents[[#This Row],[Days away]])&gt;0,tblVerifyIncidents[[#This Row],[Classification]]&lt;&gt;"Days away",tblVerifyIncidents[[#This Row],[Classification]]&lt;&gt;"Fatality"),"Days away on a non-days-away case",IF(AND(tblVerifyIncidents[[#This Row],[Classification]]="Days away",N(tblVerifyIncidents[[#This Row],[Days away]])=0),"Days away case needs days away",IF(AND(N(tblVerifyIncidents[[#This Row],[Days restricted]])&gt;0,tblVerifyIncidents[[#This Row],[DART]]="No",tblVerifyIncidents[[#This Row],[Classification]]&lt;&gt;"Fatality"),"Restricted days on a non-DART case",IF(tblVerifyIncidents[[#This Row],[Days lost]]&gt;180,"Over 180 days: OSHA caps at 180",IF(AND(N(tblVerifyIncidents[[#This Row],[Action closed]])&gt;0,tblVerifyIncidents[[#This Row],[Action closed]]&lt;tblVerifyIncidents[[#This Row],[Date]]),"Action closed before the incident","OK")))))))))))</f>
        <v>Duplicate case number</v>
      </c>
    </row>
  </sheetData>
  <sheetProtection sheet="1" formatColumns="0" formatRows="0"/>
  <mergeCells count="45">
    <mergeCell ref="A1:T1"/>
    <mergeCell ref="B2:S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B40:D40"/>
    <mergeCell ref="B41:D41"/>
    <mergeCell ref="B42:D42"/>
    <mergeCell ref="E42:F42"/>
    <mergeCell ref="B43:D43"/>
    <mergeCell ref="E43:F43"/>
    <mergeCell ref="B44:D44"/>
    <mergeCell ref="B45:D45"/>
    <mergeCell ref="B47:L47"/>
    <mergeCell ref="B53:L5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49:H51">
    <cfRule type="expression" dxfId="3" priority="41">
      <formula>$H49="OK"</formula>
    </cfRule>
    <cfRule type="expression" dxfId="1" priority="42">
      <formula>AND($H49&lt;&gt;"",$H49&lt;&gt;"OK")</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T55:T63">
    <cfRule type="expression" dxfId="3" priority="43">
      <formula>$T55="OK"</formula>
    </cfRule>
    <cfRule type="expression" dxfId="1" priority="44">
      <formula>AND($T55&lt;&gt;"",$T55&lt;&gt;"OK")</formula>
    </cfRule>
  </conditionalFormatting>
  <hyperlinks>
    <hyperlink ref="T2" r:id="rId1" tooltip="Free manufacturing calculators and templates"/>
  </hyperlinks>
  <printOptions horizontalCentered="1"/>
  <pageMargins left="0.4" right="0.4" top="0.7" bottom="0.65" header="0.3" footer="0.3"/>
  <pageSetup fitToHeight="0" orientation="landscape"/>
  <headerFooter>
    <oddHeader>&amp;L&amp;8MFG Calcs - Safety Incident Log with TRIR and DART&amp;R&amp;8&amp;A</oddHeader>
    <oddFooter>&amp;L&amp;8mfgcalcs.com - free manufacturing templates&amp;R&amp;8Page &amp;P of &amp;N</oddFooter>
  </headerFooter>
  <rowBreaks count="1" manualBreakCount="1">
    <brk id="52"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28</vt:i4>
      </vt:variant>
    </vt:vector>
  </HeadingPairs>
  <TitlesOfParts>
    <vt:vector size="35" baseType="lpstr">
      <vt:lpstr>Start Here</vt:lpstr>
      <vt:lpstr>Setup</vt:lpstr>
      <vt:lpstr>Hours Log</vt:lpstr>
      <vt:lpstr>Incident Log</vt:lpstr>
      <vt:lpstr>Dashboard</vt:lpstr>
      <vt:lpstr>Method</vt:lpstr>
      <vt:lpstr>Verify</vt:lpstr>
      <vt:lpstr>AsOf</vt:lpstr>
      <vt:lpstr>DashDept</vt:lpstr>
      <vt:lpstr>DashEnd</vt:lpstr>
      <vt:lpstr>KpiDART</vt:lpstr>
      <vt:lpstr>KpiDays</vt:lpstr>
      <vt:lpstr>KpiLTIFR</vt:lpstr>
      <vt:lpstr>KpiOverdue</vt:lpstr>
      <vt:lpstr>KpiRec</vt:lpstr>
      <vt:lpstr>KpiReports</vt:lpstr>
      <vt:lpstr>KpiSince</vt:lpstr>
      <vt:lpstr>KpiTRIR</vt:lpstr>
      <vt:lpstr>Dashboard!Print_Area</vt:lpstr>
      <vt:lpstr>'Hours Log'!Print_Area</vt:lpstr>
      <vt:lpstr>'Incident Log'!Print_Area</vt:lpstr>
      <vt:lpstr>Method!Print_Area</vt:lpstr>
      <vt:lpstr>Setup!Print_Area</vt:lpstr>
      <vt:lpstr>'Start Here'!Print_Area</vt:lpstr>
      <vt:lpstr>Verify!Print_Area</vt:lpstr>
      <vt:lpstr>'Hours Log'!Print_Titles</vt:lpstr>
      <vt:lpstr>'Incident Log'!Print_Titles</vt:lpstr>
      <vt:lpstr>Method!Print_Titles</vt:lpstr>
      <vt:lpstr>SelfCheck</vt:lpstr>
      <vt:lpstr>SelfCheckSummary</vt:lpstr>
      <vt:lpstr>ShowFrom</vt:lpstr>
      <vt:lpstr>ShowTo</vt:lpstr>
      <vt:lpstr>SiteName</vt:lpstr>
      <vt:lpstr>TargetDART</vt:lpstr>
      <vt:lpstr>TargetTRIR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Safety Incident Log with TRIR and DART - free Excel template from MFG Calcs</dc:title>
  <dc:subject>Log every incident and the hours worked, and see rolling 12-month TRIR, DART and lost-time rates, open corrective actions and what hurts people most.</dc:subject>
  <dc:creator>MFG Calcs</dc:creator>
  <cp:keywords>TRIR, DART rate, LTIFR, incident log, OSHA recordable, near miss, safety KPI, injury rate, corrective action</cp:keywords>
  <dc:description>https://www.mfgcalcs.com/templates/safety-incident-log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safety-incident-log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https://www.mfgcalcs.com/templates/safety-incident-log</vt:lpwstr>
  </property>
  <property fmtid="{D5CDD505-2E9C-101B-9397-08002B2CF9AE}" pid="7" name="Template sheet roles">
    <vt:lpwstr>Start Here=start;Setup=setup;Hours Log=work;Incident Log=work;Dashboard=dashboard;Method=method;Verify=verify</vt:lpwstr>
  </property>
</Properties>
</file>