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Item Register" sheetId="3" r:id="rId3"/>
    <sheet name="Dashboard" sheetId="4" r:id="rId4"/>
    <sheet name="Method" sheetId="5" r:id="rId5"/>
    <sheet name="Verify" sheetId="6" r:id="rId6"/>
  </sheets>
  <definedNames>
    <definedName name="CarryRate">Setup!$C$9</definedName>
    <definedName name="Classes">tblClasses[Class]</definedName>
    <definedName name="CompanyName">Setup!$C$6</definedName>
    <definedName name="Currency">Setup!$C$7</definedName>
    <definedName name="KpiBelow">Dashboard!$G$7</definedName>
    <definedName name="KpiCur">Dashboard!$D$7</definedName>
    <definedName name="KpiHold">Dashboard!$J$7</definedName>
    <definedName name="KpiRec">Dashboard!$B$7</definedName>
    <definedName name="Period">Setup!$C$8</definedName>
    <definedName name="_xlnm.Print_Area" localSheetId="3">Dashboard!$A$1:$L$64</definedName>
    <definedName name="_xlnm.Print_Area" localSheetId="2">'Item Register'!$A$1:$Y$30</definedName>
    <definedName name="_xlnm.Print_Area" localSheetId="4">Method!$A$1:$D$60</definedName>
    <definedName name="_xlnm.Print_Area" localSheetId="1">Setup!$A$1:$E$20</definedName>
    <definedName name="_xlnm.Print_Area" localSheetId="0">'Start Here'!$A$1:$F$55</definedName>
    <definedName name="_xlnm.Print_Area" localSheetId="5">Verify!$A$1:$Y$78</definedName>
    <definedName name="_xlnm.Print_Titles" localSheetId="2">'Item Register'!$1:$6</definedName>
    <definedName name="_xlnm.Print_Titles" localSheetId="4">Method!$1:$2</definedName>
    <definedName name="SelfCheck">Verify!$D$4</definedName>
    <definedName name="SelfCheckSummary">Verify!$F$4</definedName>
    <definedName name="Tolerance">Setup!$C$10</definedName>
  </definedNames>
  <calcPr calcId="124519" fullCalcOnLoad="1"/>
</workbook>
</file>

<file path=xl/sharedStrings.xml><?xml version="1.0" encoding="utf-8"?>
<sst xmlns="http://schemas.openxmlformats.org/spreadsheetml/2006/main" count="557" uniqueCount="307">
  <si>
    <t>Safety Stock Planner</t>
  </si>
  <si>
    <t>Read this first: what the workbook does and how to use it.</t>
  </si>
  <si>
    <t>mfgcalcs.com</t>
  </si>
  <si>
    <t>Size each item's safety stock and reorder point from demand and lead-time variability, and find the buffers set today that are short or excessive.</t>
  </si>
  <si>
    <t>For: Inventory planners, buyers, materials and supply-chain managers setting min/max and reorder points in an ERP.</t>
  </si>
  <si>
    <t>Version 1.0.0  ·  updated 15 October 2026</t>
  </si>
  <si>
    <t>Quick start</t>
  </si>
  <si>
    <t>1.</t>
  </si>
  <si>
    <t>On Setup, type your company name and currency, pick the demand period and set your carrying-cost rate and the service level for each class.</t>
  </si>
  <si>
    <t>2.</t>
  </si>
  <si>
    <t>On Item Register, list your items: unit cost, average demand and its standard deviation per period, lead time and its standard deviation, and the safety stock set today.</t>
  </si>
  <si>
    <t>3.</t>
  </si>
  <si>
    <t>Read the recommended safety stock and reorder point per item, and the status against today's setting.</t>
  </si>
  <si>
    <t>4.</t>
  </si>
  <si>
    <t>Open the Dashboard: the ten largest gaps, the cost of a higher service level and the totals by class.</t>
  </si>
  <si>
    <t>What is in this workbook</t>
  </si>
  <si>
    <t>Start Here</t>
  </si>
  <si>
    <t>Setup</t>
  </si>
  <si>
    <t>Company, currency, demand period, carrying-cost rate, tolerance and the service level for each class.</t>
  </si>
  <si>
    <t>Item Register</t>
  </si>
  <si>
    <t>One row per item: demand and lead-time variability in, recommended safety stock, reorder point and the gap to today's setting out.</t>
  </si>
  <si>
    <t>Dashboard</t>
  </si>
  <si>
    <t>Recommended against current buffers, the ten largest gaps, what a higher service level costs, and totals by class.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</si>
  <si>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</si>
  <si>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</si>
  <si>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</si>
  <si>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</si>
  <si>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</si>
  <si>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</si>
  <si>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</si>
  <si>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</si>
  <si>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</si>
  <si>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</si>
  <si>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</si>
  <si>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</si>
  <si>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</si>
  <si>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</si>
  <si>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</si>
  <si>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</si>
  <si>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</si>
  <si>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</si>
  <si>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</si>
  <si>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</si>
  <si>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Safety Stock Calculator on mfgcalcs.com</t>
  </si>
  <si>
    <t>Latest version</t>
  </si>
  <si>
    <t>mfgcalcs.com/templates/safety-stock</t>
  </si>
  <si>
    <t>More free templates</t>
  </si>
  <si>
    <t>mfgcalcs.com/templates</t>
  </si>
  <si>
    <t>Version</t>
  </si>
  <si>
    <t>1.0.0 (updated 15 October 2026)</t>
  </si>
  <si>
    <t>About the example data</t>
  </si>
  <si>
    <t>Every number already in this workbook is example data for Harbour Pumps, a fictional business invented for this template, so the dashboard and charts show something meaningful on day one. It holds 24 purchased items of an industrial pump maker, with weekly demand and lead times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</si>
  <si>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</si>
  <si>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</si>
  <si>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</si>
  <si>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</si>
  <si>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</si>
  <si>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</si>
  <si>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</si>
  <si>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</si>
  <si>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Class</t>
  </si>
  <si>
    <t>Cycle service level</t>
  </si>
  <si>
    <t>Z factor</t>
  </si>
  <si>
    <t>Meaning</t>
  </si>
  <si>
    <t>Company and policy</t>
  </si>
  <si>
    <t>Company or site</t>
  </si>
  <si>
    <t>Harbour Pumps (example)</t>
  </si>
  <si>
    <t>Currency label</t>
  </si>
  <si>
    <t>GBP</t>
  </si>
  <si>
    <t>Demand period</t>
  </si>
  <si>
    <t>week</t>
  </si>
  <si>
    <t>Carrying-cost rate</t>
  </si>
  <si>
    <t>of value per year</t>
  </si>
  <si>
    <t>On-target band</t>
  </si>
  <si>
    <t>around recommended</t>
  </si>
  <si>
    <t>The service levels, carrying-cost rate and band are your policy, not industry benchmarks: the values shipped are examples. The cycle service level is the chance of not running out in one replenishment cycle (not the fill rate).</t>
  </si>
  <si>
    <t>Classes and service levels</t>
  </si>
  <si>
    <t>Classes (feed the Item Register dropdown)</t>
  </si>
  <si>
    <t>A</t>
  </si>
  <si>
    <t>High annual usage value; long or critical supply</t>
  </si>
  <si>
    <t>B</t>
  </si>
  <si>
    <t>Medium annual usage value</t>
  </si>
  <si>
    <t>C</t>
  </si>
  <si>
    <t>Low annual usage value; cheap to hold</t>
  </si>
  <si>
    <t>Item</t>
  </si>
  <si>
    <t>Description</t>
  </si>
  <si>
    <t>Unit cost</t>
  </si>
  <si>
    <t>Avg demand</t>
  </si>
  <si>
    <t>Demand std dev</t>
  </si>
  <si>
    <t>Lead time</t>
  </si>
  <si>
    <t>Lead time std dev</t>
  </si>
  <si>
    <t>Current safety stock</t>
  </si>
  <si>
    <t>Service level</t>
  </si>
  <si>
    <t>Lead-time demand</t>
  </si>
  <si>
    <t>Std dev of LT demand</t>
  </si>
  <si>
    <t>Safety stock</t>
  </si>
  <si>
    <t>Reorder point</t>
  </si>
  <si>
    <t>Lead-time share</t>
  </si>
  <si>
    <t>Safety stock value</t>
  </si>
  <si>
    <t>Annual holding cost</t>
  </si>
  <si>
    <t>Gap</t>
  </si>
  <si>
    <t>Gap value</t>
  </si>
  <si>
    <t>Current vs recommended</t>
  </si>
  <si>
    <t>Action rank</t>
  </si>
  <si>
    <t>Check</t>
  </si>
  <si>
    <t>Notes</t>
  </si>
  <si>
    <t>Example data for Harbour Pumps (fictional), weekly buckets. Replace it with your own: select the example rows, right-click, Delete &gt; Table Rows, then paste your items. Type demand, its standard deviation and lead times in the period chosen on Setup.</t>
  </si>
  <si>
    <t>units</t>
  </si>
  <si>
    <t>IMP-250</t>
  </si>
  <si>
    <t>Impeller, cast bronze, 250 mm</t>
  </si>
  <si>
    <t>Foundry often late</t>
  </si>
  <si>
    <t>CAS-100</t>
  </si>
  <si>
    <t>Pump casing, ductile iron</t>
  </si>
  <si>
    <t>MOT-15</t>
  </si>
  <si>
    <t>Motor, 15 kW</t>
  </si>
  <si>
    <t>Buffer set by hand</t>
  </si>
  <si>
    <t>MOT-7</t>
  </si>
  <si>
    <t>Motor, 7.5 kW</t>
  </si>
  <si>
    <t/>
  </si>
  <si>
    <t>SEAL-M</t>
  </si>
  <si>
    <t>Mechanical seal</t>
  </si>
  <si>
    <t>VFD-11</t>
  </si>
  <si>
    <t>Variable-speed drive, 11 kW</t>
  </si>
  <si>
    <t>Allocation from the maker; buffer set by hand</t>
  </si>
  <si>
    <t>SHF-40</t>
  </si>
  <si>
    <t>Shaft, stainless, 40 mm</t>
  </si>
  <si>
    <t>BRG-62</t>
  </si>
  <si>
    <t>Bearing 6206</t>
  </si>
  <si>
    <t>BRG-63</t>
  </si>
  <si>
    <t>Bearing 6306</t>
  </si>
  <si>
    <t>CPL-24</t>
  </si>
  <si>
    <t>Flexible coupling</t>
  </si>
  <si>
    <t>GSK-K</t>
  </si>
  <si>
    <t>Gasket kit</t>
  </si>
  <si>
    <t>CTL-P</t>
  </si>
  <si>
    <t>Pump controller board</t>
  </si>
  <si>
    <t>Chip shortage on the main processor</t>
  </si>
  <si>
    <t>BPL-10</t>
  </si>
  <si>
    <t>Base plate, fabricated</t>
  </si>
  <si>
    <t>FAN-C</t>
  </si>
  <si>
    <t>Motor fan cover</t>
  </si>
  <si>
    <t>WEAR-R</t>
  </si>
  <si>
    <t>Wear ring set</t>
  </si>
  <si>
    <t>ORG-V</t>
  </si>
  <si>
    <t>O-ring set, FKM</t>
  </si>
  <si>
    <t>BLT-16</t>
  </si>
  <si>
    <t>Bolts M16, box of 25</t>
  </si>
  <si>
    <t>LBL-N</t>
  </si>
  <si>
    <t>Nameplate, engraved</t>
  </si>
  <si>
    <t>PNT-B</t>
  </si>
  <si>
    <t>Paint, blue, 1 litre</t>
  </si>
  <si>
    <t>Units are litres</t>
  </si>
  <si>
    <t>PKG-C</t>
  </si>
  <si>
    <t>Export crate</t>
  </si>
  <si>
    <t>GRS-L</t>
  </si>
  <si>
    <t>Grease cartridge</t>
  </si>
  <si>
    <t>FIT-B</t>
  </si>
  <si>
    <t>Pipe fittings kit</t>
  </si>
  <si>
    <t>TAG-S</t>
  </si>
  <si>
    <t>Safety tag set</t>
  </si>
  <si>
    <t>CBL-G</t>
  </si>
  <si>
    <t>Cable glands, M20</t>
  </si>
  <si>
    <t>ITEMS BELOW RECOMMENDED</t>
  </si>
  <si>
    <t>Safety stock x unit cost, all items</t>
  </si>
  <si>
    <t>Safety stock set today x unit cost</t>
  </si>
  <si>
    <t>Short of the band on Setup: stockout risk</t>
  </si>
  <si>
    <t>Recommended minus current, x carrying rate</t>
  </si>
  <si>
    <t>The ten largest gaps between today's safety stock and the recommended one (by value)</t>
  </si>
  <si>
    <t>Rank</t>
  </si>
  <si>
    <t>Safety stock today</t>
  </si>
  <si>
    <t>Rec. safety stock</t>
  </si>
  <si>
    <t>1</t>
  </si>
  <si>
    <t>2</t>
  </si>
  <si>
    <t>3</t>
  </si>
  <si>
    <t>4</t>
  </si>
  <si>
    <t>5</t>
  </si>
  <si>
    <t>6</t>
  </si>
  <si>
    <t>7</t>
  </si>
  <si>
    <t>8</t>
  </si>
  <si>
    <t>9</t>
  </si>
  <si>
    <t>10</t>
  </si>
  <si>
    <t>By class (rec. = recommended; lead-time driven = lead-time variability is over half of the buffer's variance)</t>
  </si>
  <si>
    <t>Items</t>
  </si>
  <si>
    <t>Rec. value</t>
  </si>
  <si>
    <t>Value today</t>
  </si>
  <si>
    <t>Holding cost (rec.)</t>
  </si>
  <si>
    <t>Items below</t>
  </si>
  <si>
    <t>Items above</t>
  </si>
  <si>
    <t>Lead-time driven</t>
  </si>
  <si>
    <t>Total</t>
  </si>
  <si>
    <t>Cost of service: buffer value if every item ran at one service level (type your own levels in the yellow cells)</t>
  </si>
  <si>
    <t>Service level (all items)</t>
  </si>
  <si>
    <t>Buffer value, all items</t>
  </si>
  <si>
    <t>Holding cost</t>
  </si>
  <si>
    <t>Current buffer value</t>
  </si>
  <si>
    <t>Versus current</t>
  </si>
  <si>
    <t>The class block shows 3 classes. If you add classes on Setup, extend it (see Method) or they will not appear here. The ten largest gaps work for any number of items.</t>
  </si>
  <si>
    <t>What this workbook calculates</t>
  </si>
  <si>
    <t>Safety stock is the stock held to cover the variability of demand during the replenishment lead time. This workbook uses the combined formula for independent demand: the demand over a lead time has a mean of d x L and a variance of L x sd^2 + d^2 x sL^2 (demand variability over the lead time plus lead-time variability times demand), and the safety stock is z times its standard deviation, with z set by the cycle service level of the item's class. The reorder point adds the average lead-time demand. Today's safety stock is compared with the recommendation so the largest gaps, short or excessive, come first.</t>
  </si>
  <si>
    <t>Calculations</t>
  </si>
  <si>
    <t>Quantity</t>
  </si>
  <si>
    <t>How it is calculated</t>
  </si>
  <si>
    <t>Units</t>
  </si>
  <si>
    <t>NORM.S.INV(cycle service level): the standard normal value with that probability below it.</t>
  </si>
  <si>
    <t>-</t>
  </si>
  <si>
    <t>Average demand per period x lead time.</t>
  </si>
  <si>
    <t>sqrt(L x sd^2 + d^2 x sL^2); d and sd per period, L and sL in periods.</t>
  </si>
  <si>
    <t>Z factor x std dev of lead-time demand (shown to the nearest unit).</t>
  </si>
  <si>
    <t>Lead-time demand + safety stock: reorder when stock on hand plus on order falls to it.</t>
  </si>
  <si>
    <t>(d x sL)^2 / (std dev of LT demand)^2: the part of the variance from lead-time variability.</t>
  </si>
  <si>
    <t>%</t>
  </si>
  <si>
    <t>Safety stock value, holding cost</t>
  </si>
  <si>
    <t>Safety stock x unit cost; x the carrying-cost rate for the annual holding cost.</t>
  </si>
  <si>
    <t>currency, currency/year</t>
  </si>
  <si>
    <t>Gap, gap value</t>
  </si>
  <si>
    <t>Current safety stock - recommended; x unit cost, to the cent. Negative = short.</t>
  </si>
  <si>
    <t>units, currency</t>
  </si>
  <si>
    <t>Below target under recommended x (1 - band); Above target over recommended x (1 + band); else On target.</t>
  </si>
  <si>
    <t>Holding cost change</t>
  </si>
  <si>
    <t>(Recommended buffer value - current buffer value) x carrying-cost rate.</t>
  </si>
  <si>
    <t>currency/year</t>
  </si>
  <si>
    <t>Cost of service</t>
  </si>
  <si>
    <t>Buffer value with every item at one service level: NORM.S.INV(level) x sum of (std dev of LT demand x unit cost).</t>
  </si>
  <si>
    <t>currency</t>
  </si>
  <si>
    <t>Ten largest gaps</t>
  </si>
  <si>
    <t>Items ranked by the helper column Action rank (absolute gap value, ties in register order), looked up with INDEX/MATCH.</t>
  </si>
  <si>
    <t>Assumptions</t>
  </si>
  <si>
    <t>Demand per period is roughly normal and independent from period to period, and independent of the lead time.</t>
  </si>
  <si>
    <t>Average demand, its standard deviation and the lead time all use the period chosen on Setup (all weekly, or all daily).</t>
  </si>
  <si>
    <t>The lead time is the full replenishment time: order processing, supplier lead time, transit and receiving.</t>
  </si>
  <si>
    <t>The cycle service level is the chance of no stockout in one replenishment cycle. It is not the fill rate (share of demand met from stock), which is usually higher for the same buffer.</t>
  </si>
  <si>
    <t>The reorder point assumes continuous review (stock checked at every transaction). With periodic review, add the review period to the lead time.</t>
  </si>
  <si>
    <t>Limitations</t>
  </si>
  <si>
    <t>Lumpy or intermittent demand (many periods of zero) is not normal; this formula undersizes or oversizes the buffer for it. Use a method for intermittent demand for those items.</t>
  </si>
  <si>
    <t>Seasonal or trending demand inflates the standard deviation if computed over a whole year: use forecast errors instead of raw demand where you forecast.</t>
  </si>
  <si>
    <t>The cost of service curve applies one service level to every item; the recommended total uses each item's class level.</t>
  </si>
  <si>
    <t>The Dashboard's class block has 3 slots; a longer class list needs it extended (a warning appears). The ten largest gaps work for any number of items.</t>
  </si>
  <si>
    <t>Agreement with the live calculator</t>
  </si>
  <si>
    <t>The live Safety Stock Calculator takes one item's service factor z, demand per period and its standard deviation, mean lead time and its standard deviation, and the buffer held today. It returns safety stock = z x sqrt(L x sd^2 + d^2 x sL^2), the reorder point d x L + safety stock, and the headroom (today's buffer minus the recommended), which is this workbook's Gap. The workbook does the same for a whole item list, with z from each class's service level. The build checks the reference against the calculator's engine for its own example (z 1.65, 100 per period, sd 40, lead time 9, sL 1: 257.7 units, reorder point 1,157.7) and for one example item.</t>
  </si>
  <si>
    <t>Open the Safety Stock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</si>
  <si>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</si>
  <si>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</si>
  <si>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Silver, E. A., Pyke, D. F. and Thomas, D. J., Inventory and Production Management in Supply Chains, 4th ed., CRC Press, 2017 (safety stock with variable demand and lead time).</t>
  </si>
  <si>
    <t>APICS/ASCM Dictionary: 'safety stock', 'reorder point', 'service level'.</t>
  </si>
  <si>
    <t>MFG Calcs Safety Stock Calculator (safety-stock-calculator): the same combined formula for one item.</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</si>
  <si>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</si>
  <si>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</si>
  <si>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</si>
  <si>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</si>
  <si>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</si>
  <si>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</si>
  <si>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</si>
  <si>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</si>
  <si>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</si>
  <si>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</si>
  <si>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</si>
  <si>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</si>
  <si>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</si>
  <si>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</si>
  <si>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</si>
  <si>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</si>
  <si>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Class A: z factor for 98%</t>
  </si>
  <si>
    <t>Item 1: lead-time demand</t>
  </si>
  <si>
    <t>Item 1: std dev of lead-time demand</t>
  </si>
  <si>
    <t>Item 1: z factor (1.65)</t>
  </si>
  <si>
    <t>Item 1: safety stock (calculator example)</t>
  </si>
  <si>
    <t>Item 1: reorder point</t>
  </si>
  <si>
    <t>Item 1: gap (calculator headroom)</t>
  </si>
  <si>
    <t>Item 1: status (short)</t>
  </si>
  <si>
    <t>Below target</t>
  </si>
  <si>
    <t>exact</t>
  </si>
  <si>
    <t>Item 2: lead-time share</t>
  </si>
  <si>
    <t>Item 2: safety stock value</t>
  </si>
  <si>
    <t>Item 2: annual holding cost</t>
  </si>
  <si>
    <t>Item 2: gap value</t>
  </si>
  <si>
    <t>Item 2: status (excess)</t>
  </si>
  <si>
    <t>Above target</t>
  </si>
  <si>
    <t>Item 3: safety stock 0 with no variability</t>
  </si>
  <si>
    <t>Item 3: lead-time share blank</t>
  </si>
  <si>
    <t>Item 3: status (0 held, 0 needed)</t>
  </si>
  <si>
    <t>On target</t>
  </si>
  <si>
    <t>Item 4: safety stock blank (unknown class)</t>
  </si>
  <si>
    <t>Item 4: Check reports the unknown class</t>
  </si>
  <si>
    <t>Class not on Setup list</t>
  </si>
  <si>
    <t>Item 1: action rank</t>
  </si>
  <si>
    <t>All items: recommended buffer value (Dashboard formula)</t>
  </si>
  <si>
    <t>All items: holding cost change (Dashboard formula)</t>
  </si>
  <si>
    <t>Largest gaps: rank 1 item</t>
  </si>
  <si>
    <t>T-2</t>
  </si>
  <si>
    <t>Cost of service at 99%: buffer value</t>
  </si>
  <si>
    <t>Fixed test inputs</t>
  </si>
  <si>
    <t>White cells are fixed test inputs; blue cells are the workbook's formulas evaluated on them.</t>
  </si>
  <si>
    <t>Parameters</t>
  </si>
  <si>
    <t>Test table: Classes</t>
  </si>
  <si>
    <t>Test</t>
  </si>
  <si>
    <t>Service level whose z is 1.65 (calculator example)</t>
  </si>
  <si>
    <t>Test table: Register</t>
  </si>
  <si>
    <t>T-1</t>
  </si>
  <si>
    <t>Calculator example</t>
  </si>
  <si>
    <t>Unreliable supplier</t>
  </si>
  <si>
    <t>T-3</t>
  </si>
  <si>
    <t>No variability</t>
  </si>
  <si>
    <t>T-4</t>
  </si>
  <si>
    <t>Class typo</t>
  </si>
  <si>
    <t>D</t>
  </si>
  <si>
    <t>Test ten largest gaps (same formulas as the Dashboard)</t>
  </si>
  <si>
    <t>Test cost of service (same formulas as the Dashboard)</t>
  </si>
</sst>
</file>

<file path=xl/styles.xml><?xml version="1.0" encoding="utf-8"?>
<styleSheet xmlns="http://schemas.openxmlformats.org/spreadsheetml/2006/main">
  <numFmts count="10">
    <numFmt numFmtId="164" formatCode="0.0%"/>
    <numFmt numFmtId="165" formatCode="#,##0.000"/>
    <numFmt numFmtId="166" formatCode="#,##0.00"/>
    <numFmt numFmtId="167" formatCode="#,##0.0"/>
    <numFmt numFmtId="168" formatCode="#,##0"/>
    <numFmt numFmtId="169" formatCode="0%"/>
    <numFmt numFmtId="170" formatCode="+#,##0;-#,##0;0"/>
    <numFmt numFmtId="171" formatCode="0.0000"/>
    <numFmt numFmtId="172" formatCode="0.0E+00"/>
    <numFmt numFmtId="173"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i/>
      <sz val="9"/>
      <color rgb="FF6B7280"/>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0" fillId="3" borderId="2" xfId="0" applyFont="1" applyFill="1" applyBorder="1" applyAlignment="1" applyProtection="1">
      <alignment vertical="top" wrapText="1"/>
      <protection locked="0"/>
    </xf>
    <xf numFmtId="165" fontId="10" fillId="4" borderId="3" xfId="0" applyNumberFormat="1" applyFont="1" applyFill="1" applyBorder="1" applyAlignment="1">
      <alignment vertical="center"/>
    </xf>
    <xf numFmtId="0" fontId="19" fillId="7" borderId="2" xfId="0" applyFont="1" applyFill="1" applyBorder="1" applyAlignment="1">
      <alignment vertical="center" wrapText="1"/>
    </xf>
    <xf numFmtId="0" fontId="20" fillId="0" borderId="0" xfId="0" applyFont="1" applyAlignment="1">
      <alignment horizontal="center" vertical="center"/>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4"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20"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170" fontId="4" fillId="9" borderId="7" xfId="0" applyNumberFormat="1" applyFont="1" applyFill="1" applyBorder="1" applyAlignment="1">
      <alignment horizontal="left" vertical="center"/>
    </xf>
    <xf numFmtId="0" fontId="23" fillId="9" borderId="7" xfId="0" applyFont="1" applyFill="1" applyBorder="1" applyAlignment="1">
      <alignment vertical="center"/>
    </xf>
    <xf numFmtId="0" fontId="22" fillId="9" borderId="8" xfId="0" applyFont="1" applyFill="1" applyBorder="1" applyAlignment="1">
      <alignmen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0" fontId="10" fillId="4" borderId="3" xfId="0" applyFont="1" applyFill="1" applyBorder="1" applyAlignment="1">
      <alignment vertical="center"/>
    </xf>
    <xf numFmtId="0" fontId="9" fillId="4" borderId="10" xfId="0" applyFont="1" applyFill="1" applyBorder="1" applyAlignment="1">
      <alignment vertical="center"/>
    </xf>
    <xf numFmtId="168" fontId="9" fillId="4" borderId="10" xfId="0" applyNumberFormat="1" applyFont="1" applyFill="1" applyBorder="1" applyAlignment="1">
      <alignment vertical="center"/>
    </xf>
    <xf numFmtId="170" fontId="9" fillId="4" borderId="10" xfId="0" applyNumberFormat="1" applyFont="1" applyFill="1" applyBorder="1" applyAlignment="1">
      <alignment vertical="center"/>
    </xf>
    <xf numFmtId="164" fontId="10" fillId="3" borderId="2" xfId="0" applyNumberFormat="1" applyFont="1" applyFill="1" applyBorder="1" applyAlignment="1" applyProtection="1">
      <alignment horizontal="center" vertical="center"/>
      <protection locked="0"/>
    </xf>
    <xf numFmtId="168" fontId="10" fillId="0" borderId="9" xfId="0" applyNumberFormat="1" applyFont="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8" fontId="9" fillId="0" borderId="9" xfId="0" applyNumberFormat="1" applyFont="1" applyBorder="1" applyAlignment="1">
      <alignment horizontal="center" vertical="center"/>
    </xf>
    <xf numFmtId="171"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6" fontId="10" fillId="0" borderId="9" xfId="0" applyNumberFormat="1" applyFont="1" applyBorder="1" applyAlignment="1">
      <alignment vertical="center"/>
    </xf>
    <xf numFmtId="166" fontId="10" fillId="4" borderId="3" xfId="0" applyNumberFormat="1" applyFont="1" applyFill="1" applyBorder="1" applyAlignment="1">
      <alignment vertical="center"/>
    </xf>
    <xf numFmtId="173" fontId="10" fillId="0" borderId="9" xfId="0" applyNumberFormat="1" applyFont="1" applyBorder="1" applyAlignment="1">
      <alignment vertical="center"/>
    </xf>
    <xf numFmtId="173"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Ten largest gaps (value): short &lt; 0 &lt; excess</a:t>
            </a:r>
          </a:p>
        </c:rich>
      </c:tx>
      <c:layout/>
    </c:title>
    <c:plotArea>
      <c:layout/>
      <c:barChart>
        <c:barDir val="bar"/>
        <c:grouping val="clustered"/>
        <c:ser>
          <c:idx val="0"/>
          <c:order val="0"/>
          <c:tx>
            <c:v>Gap value</c:v>
          </c:tx>
          <c:spPr>
            <a:solidFill>
              <a:srgbClr val="3B64D8"/>
            </a:solidFill>
            <a:ln w="9525">
              <a:solidFill>
                <a:srgbClr val="FFFFFF"/>
              </a:solidFill>
            </a:ln>
          </c:spPr>
          <c:cat>
            <c:strRef>
              <c:f>Dashboard!$C$33:$C$42</c:f>
              <c:strCache>
                <c:ptCount val="10"/>
                <c:pt idx="0">
                  <c:v>VFD-11</c:v>
                </c:pt>
                <c:pt idx="1">
                  <c:v>CAS-100</c:v>
                </c:pt>
                <c:pt idx="2">
                  <c:v>SEAL-M</c:v>
                </c:pt>
                <c:pt idx="3">
                  <c:v>CTL-P</c:v>
                </c:pt>
                <c:pt idx="4">
                  <c:v>MOT-15</c:v>
                </c:pt>
                <c:pt idx="5">
                  <c:v>SHF-40</c:v>
                </c:pt>
                <c:pt idx="6">
                  <c:v>MOT-7</c:v>
                </c:pt>
                <c:pt idx="7">
                  <c:v>IMP-250</c:v>
                </c:pt>
                <c:pt idx="8">
                  <c:v>BRG-62</c:v>
                </c:pt>
                <c:pt idx="9">
                  <c:v>BRG-63</c:v>
                </c:pt>
              </c:strCache>
            </c:strRef>
          </c:cat>
          <c:val>
            <c:numRef>
              <c:f>Dashboard!$J$33:$J$42</c:f>
              <c:numCache>
                <c:formatCode>General</c:formatCode>
                <c:ptCount val="10"/>
                <c:pt idx="0">
                  <c:v>-52431.61</c:v>
                </c:pt>
                <c:pt idx="1">
                  <c:v>-24629.78</c:v>
                </c:pt>
                <c:pt idx="2">
                  <c:v>14160.15</c:v>
                </c:pt>
                <c:pt idx="3">
                  <c:v>-12426.18</c:v>
                </c:pt>
                <c:pt idx="4">
                  <c:v>-11724.06</c:v>
                </c:pt>
                <c:pt idx="5">
                  <c:v>8561.39</c:v>
                </c:pt>
                <c:pt idx="6">
                  <c:v>-6910.99</c:v>
                </c:pt>
                <c:pt idx="7">
                  <c:v>-5207.07</c:v>
                </c:pt>
                <c:pt idx="8">
                  <c:v>3162.57</c:v>
                </c:pt>
                <c:pt idx="9">
                  <c:v>3150.82</c:v>
                </c:pt>
              </c:numCache>
            </c:numRef>
          </c:val>
        </c:ser>
        <c:gapWidth val="60"/>
        <c:overlap val="-10"/>
        <c:axId val="50010001"/>
        <c:axId val="50010002"/>
      </c:barChart>
      <c:catAx>
        <c:axId val="50010001"/>
        <c:scaling>
          <c:orientation val="maxMin"/>
        </c:scaling>
        <c:axPos val="l"/>
        <c:majorTickMark val="none"/>
        <c:minorTickMark val="none"/>
        <c:tickLblPos val="low"/>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max"/>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of service: buffer value by service level</a:t>
            </a:r>
          </a:p>
        </c:rich>
      </c:tx>
      <c:layout/>
    </c:title>
    <c:plotArea>
      <c:layout/>
      <c:barChart>
        <c:barDir val="col"/>
        <c:grouping val="clustered"/>
        <c:ser>
          <c:idx val="0"/>
          <c:order val="0"/>
          <c:tx>
            <c:v>Buffer value, all items</c:v>
          </c:tx>
          <c:spPr>
            <a:solidFill>
              <a:srgbClr val="3B64D8"/>
            </a:solidFill>
            <a:ln w="9525">
              <a:solidFill>
                <a:srgbClr val="FFFFFF"/>
              </a:solidFill>
            </a:ln>
          </c:spPr>
          <c:cat>
            <c:numRef>
              <c:f>Dashboard!$B$55:$B$61</c:f>
              <c:numCache>
                <c:formatCode>General</c:formatCode>
                <c:ptCount val="7"/>
                <c:pt idx="0">
                  <c:v>0.9</c:v>
                </c:pt>
                <c:pt idx="1">
                  <c:v>0.92</c:v>
                </c:pt>
                <c:pt idx="2">
                  <c:v>0.95</c:v>
                </c:pt>
                <c:pt idx="3">
                  <c:v>0.97</c:v>
                </c:pt>
                <c:pt idx="4">
                  <c:v>0.98</c:v>
                </c:pt>
                <c:pt idx="5">
                  <c:v>0.99</c:v>
                </c:pt>
                <c:pt idx="6">
                  <c:v>0.995</c:v>
                </c:pt>
              </c:numCache>
            </c:numRef>
          </c:cat>
          <c:val>
            <c:numRef>
              <c:f>Dashboard!$D$55:$D$61</c:f>
              <c:numCache>
                <c:formatCode>General</c:formatCode>
                <c:ptCount val="7"/>
                <c:pt idx="0">
                  <c:v>169004.666723965</c:v>
                </c:pt>
                <c:pt idx="1">
                  <c:v>185293.871240008</c:v>
                </c:pt>
                <c:pt idx="2">
                  <c:v>216915.141385284</c:v>
                </c:pt>
                <c:pt idx="3">
                  <c:v>248029.736350944</c:v>
                </c:pt>
                <c:pt idx="4">
                  <c:v>270838.224155685</c:v>
                </c:pt>
                <c:pt idx="5">
                  <c:v>306787.223945375</c:v>
                </c:pt>
                <c:pt idx="6">
                  <c:v>339687.597977465</c:v>
                </c:pt>
              </c:numCache>
            </c:numRef>
          </c:val>
        </c:ser>
        <c:gapWidth val="60"/>
        <c:overlap val="-10"/>
        <c:axId val="50020001"/>
        <c:axId val="50020002"/>
      </c:barChart>
      <c:lineChart>
        <c:grouping val="standard"/>
        <c:ser>
          <c:idx val="1"/>
          <c:order val="1"/>
          <c:tx>
            <c:v>Current buffer value</c:v>
          </c:tx>
          <c:spPr>
            <a:ln w="19050">
              <a:solidFill>
                <a:srgbClr val="4A5361"/>
              </a:solidFill>
              <a:prstDash val="dash"/>
            </a:ln>
          </c:spPr>
          <c:marker>
            <c:symbol val="none"/>
          </c:marker>
          <c:cat>
            <c:numRef>
              <c:f>Dashboard!$B$55:$B$61</c:f>
              <c:numCache>
                <c:formatCode>General</c:formatCode>
                <c:ptCount val="7"/>
                <c:pt idx="0">
                  <c:v>0.9</c:v>
                </c:pt>
                <c:pt idx="1">
                  <c:v>0.92</c:v>
                </c:pt>
                <c:pt idx="2">
                  <c:v>0.95</c:v>
                </c:pt>
                <c:pt idx="3">
                  <c:v>0.97</c:v>
                </c:pt>
                <c:pt idx="4">
                  <c:v>0.98</c:v>
                </c:pt>
                <c:pt idx="5">
                  <c:v>0.99</c:v>
                </c:pt>
                <c:pt idx="6">
                  <c:v>0.995</c:v>
                </c:pt>
              </c:numCache>
            </c:numRef>
          </c:cat>
          <c:val>
            <c:numRef>
              <c:f>Dashboard!$F$55:$F$61</c:f>
              <c:numCache>
                <c:formatCode>General</c:formatCode>
                <c:ptCount val="7"/>
                <c:pt idx="0">
                  <c:v>194598</c:v>
                </c:pt>
                <c:pt idx="1">
                  <c:v>194598</c:v>
                </c:pt>
                <c:pt idx="2">
                  <c:v>194598</c:v>
                </c:pt>
                <c:pt idx="3">
                  <c:v>194598</c:v>
                </c:pt>
                <c:pt idx="4">
                  <c:v>194598</c:v>
                </c:pt>
                <c:pt idx="5">
                  <c:v>194598</c:v>
                </c:pt>
                <c:pt idx="6">
                  <c:v>194598</c:v>
                </c:pt>
              </c:numCache>
            </c:numRef>
          </c:val>
        </c:ser>
        <c:marker val="1"/>
        <c:axId val="50020001"/>
        <c:axId val="50020002"/>
      </c:lineChart>
      <c:catAx>
        <c:axId val="50020001"/>
        <c:scaling>
          <c:orientation val="minMax"/>
        </c:scaling>
        <c:axPos val="b"/>
        <c:numFmt formatCode="0.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676275</xdr:colOff>
      <xdr:row>27</xdr:row>
      <xdr:rowOff>152400</xdr:rowOff>
    </xdr:to>
    <xdr:graphicFrame macro="">
      <xdr:nvGraphicFramePr>
        <xdr:cNvPr id="2" name="Chart 1" descr="Bar chart of the ten items with the largest gap in value between today's safety stock and the recommended one; bars left of zero are short, bars right of zero hold exces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676275</xdr:colOff>
      <xdr:row>27</xdr:row>
      <xdr:rowOff>152400</xdr:rowOff>
    </xdr:to>
    <xdr:graphicFrame macro="">
      <xdr:nvGraphicFramePr>
        <xdr:cNvPr id="3" name="Chart 2" descr="Column chart of the total safety stock value if every item ran at each service level from 90% to 99.5%, with today's buffer value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Classes" displayName="tblClasses" ref="B17:E20" totalsRowShown="0">
  <autoFilter ref="B17:E20"/>
  <tableColumns count="4">
    <tableColumn id="1" name="Class"/>
    <tableColumn id="2" name="Cycle service level"/>
    <tableColumn id="3" name="Z factor">
      <calculatedColumnFormula>_xlfn.NORM.S.INV(tblClasses[[#This Row],[Cycle service level]])</calculatedColumnFormula>
    </tableColumn>
    <tableColumn id="4" name="Meaning"/>
  </tableColumns>
  <tableStyleInfo name="TableStyleLight1" showFirstColumn="0" showLastColumn="0" showRowStripes="0" showColumnStripes="0"/>
</table>
</file>

<file path=xl/tables/table2.xml><?xml version="1.0" encoding="utf-8"?>
<table xmlns="http://schemas.openxmlformats.org/spreadsheetml/2006/main" id="2" name="tblRegister" displayName="tblRegister" ref="B6:Y30" totalsRowShown="0">
  <autoFilter ref="B6:Y30"/>
  <tableColumns count="24">
    <tableColumn id="1" name="Item"/>
    <tableColumn id="2" name="Description"/>
    <tableColumn id="3" name="Class"/>
    <tableColumn id="4" name="Unit cost"/>
    <tableColumn id="5" name="Avg demand"/>
    <tableColumn id="6" name="Demand std dev"/>
    <tableColumn id="7" name="Lead time"/>
    <tableColumn id="8" name="Lead time std dev"/>
    <tableColumn id="9" name="Current safety stock"/>
    <tableColumn id="10" name="Service level">
      <calculatedColumnFormula>IF(tblRegister[[#This Row],[Item]]="","",IFERROR(INDEX(tblClasses[Cycle service level],MATCH(tblRegister[[#This Row],[Class]],tblClasses[Class],0)),""))</calculatedColumnFormula>
    </tableColumn>
    <tableColumn id="11" name="Z factor">
      <calculatedColumnFormula>IF(tblRegister[[#This Row],[Item]]="","",IF(tblRegister[[#This Row],[Service level]]="","",_xlfn.NORM.S.INV(tblRegister[[#This Row],[Service level]])))</calculatedColumnFormula>
    </tableColumn>
    <tableColumn id="12" name="Lead-time demand">
      <calculatedColumnFormula>IF(tblRegister[[#This Row],[Item]]="","",tblRegister[[#This Row],[Avg demand]]*tblRegister[[#This Row],[Lead time]])</calculatedColumnFormula>
    </tableColumn>
    <tableColumn id="13" name="Std dev of LT demand">
      <calculatedColumnFormula>IF(tblRegister[[#This Row],[Item]]="","",SQRT(tblRegister[[#This Row],[Lead time]]*tblRegister[[#This Row],[Demand std dev]]^2+tblRegister[[#This Row],[Avg demand]]^2*tblRegister[[#This Row],[Lead time std dev]]^2))</calculatedColumnFormula>
    </tableColumn>
    <tableColumn id="14" name="Safety stock">
      <calculatedColumnFormula>IF(tblRegister[[#This Row],[Item]]="","",IF(tblRegister[[#This Row],[Z factor]]="","",tblRegister[[#This Row],[Z factor]]*tblRegister[[#This Row],[Std dev of LT demand]]))</calculatedColumnFormula>
    </tableColumn>
    <tableColumn id="15" name="Reorder point">
      <calculatedColumnFormula>IF(tblRegister[[#This Row],[Item]]="","",IF(tblRegister[[#This Row],[Safety stock]]="","",tblRegister[[#This Row],[Lead-time demand]]+tblRegister[[#This Row],[Safety stock]]))</calculatedColumnFormula>
    </tableColumn>
    <tableColumn id="16" name="Lead-time share">
      <calculatedColumnFormula>IF(tblRegister[[#This Row],[Item]]="","",IF(tblRegister[[#This Row],[Std dev of LT demand]]&gt;0,(tblRegister[[#This Row],[Avg demand]]*tblRegister[[#This Row],[Lead time std dev]])^2/tblRegister[[#This Row],[Std dev of LT demand]]^2,""))</calculatedColumnFormula>
    </tableColumn>
    <tableColumn id="17" name="Safety stock value">
      <calculatedColumnFormula>IF(tblRegister[[#This Row],[Item]]="","",IF(tblRegister[[#This Row],[Safety stock]]="","",tblRegister[[#This Row],[Safety stock]]*tblRegister[[#This Row],[Unit cost]]))</calculatedColumnFormula>
    </tableColumn>
    <tableColumn id="18" name="Annual holding cost">
      <calculatedColumnFormula>IF(tblRegister[[#This Row],[Item]]="","",IF(tblRegister[[#This Row],[Safety stock]]="","",tblRegister[[#This Row],[Safety stock value]]*CarryRate))</calculatedColumnFormula>
    </tableColumn>
    <tableColumn id="19" name="Gap">
      <calculatedColumnFormula>IF(tblRegister[[#This Row],[Item]]="","",IF(tblRegister[[#This Row],[Safety stock]]="","",tblRegister[[#This Row],[Current safety stock]]-tblRegister[[#This Row],[Safety stock]]))</calculatedColumnFormula>
    </tableColumn>
    <tableColumn id="20" name="Gap value">
      <calculatedColumnFormula>IF(tblRegister[[#This Row],[Item]]="","",IF(tblRegister[[#This Row],[Safety stock]]="","",ROUND((tblRegister[[#This Row],[Current safety stock]]-tblRegister[[#This Row],[Safety stock]])*tblRegister[[#This Row],[Unit cost]],2)))</calculatedColumnFormula>
    </tableColumn>
    <tableColumn id="21" name="Current vs recommended">
      <calculatedColumnFormula>IF(tblRegister[[#This Row],[Item]]="","",IF(tblRegister[[#This Row],[Safety stock]]="","",IF(tblRegister[[#This Row],[Current safety stock]]&lt;tblRegister[[#This Row],[Safety stock]]*(1-Tolerance),"Below target",IF(tblRegister[[#This Row],[Current safety stock]]&gt;tblRegister[[#This Row],[Safety stock]]*(1+Tolerance),"Above target","On target"))))</calculatedColumnFormula>
    </tableColumn>
    <tableColumn id="22" name="Action rank">
      <calculatedColumnFormula>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calculatedColumnFormula>
    </tableColumn>
    <tableColumn id="23" name="Check">
      <calculatedColumnFormula>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calculatedColumnFormula>
    </tableColumn>
    <tableColumn id="24" name="Notes"/>
  </tableColumns>
  <tableStyleInfo name="TableStyleLight1" showFirstColumn="0" showLastColumn="0" showRowStripes="0" showColumnStripes="0"/>
</table>
</file>

<file path=xl/tables/table3.xml><?xml version="1.0" encoding="utf-8"?>
<table xmlns="http://schemas.openxmlformats.org/spreadsheetml/2006/main" id="3" name="tblVerifyClasses" displayName="tblVerifyClasses" ref="B43:E45" totalsRowShown="0">
  <tableColumns count="4">
    <tableColumn id="1" name="Class"/>
    <tableColumn id="2" name="Cycle service level"/>
    <tableColumn id="3" name="Z factor">
      <calculatedColumnFormula>_xlfn.NORM.S.INV(tblVerifyClasses[[#This Row],[Cycle service level]])</calculatedColumnFormula>
    </tableColumn>
    <tableColumn id="4" name="Meaning"/>
  </tableColumns>
  <tableStyleInfo name="TableStyleLight1" showFirstColumn="0" showLastColumn="0" showRowStripes="0" showColumnStripes="0"/>
</table>
</file>

<file path=xl/tables/table4.xml><?xml version="1.0" encoding="utf-8"?>
<table xmlns="http://schemas.openxmlformats.org/spreadsheetml/2006/main" id="4" name="tblVerifyRegister" displayName="tblVerifyRegister" ref="B49:Y53" totalsRowShown="0">
  <tableColumns count="24">
    <tableColumn id="1" name="Item"/>
    <tableColumn id="2" name="Description"/>
    <tableColumn id="3" name="Class"/>
    <tableColumn id="4" name="Unit cost"/>
    <tableColumn id="5" name="Avg demand"/>
    <tableColumn id="6" name="Demand std dev"/>
    <tableColumn id="7" name="Lead time"/>
    <tableColumn id="8" name="Lead time std dev"/>
    <tableColumn id="9" name="Current safety stock"/>
    <tableColumn id="10" name="Service level"/>
    <tableColumn id="11" name="Z factor">
      <calculatedColumnFormula>IF(tblVerifyRegister[[#This Row],[Item]]="","",IF(tblVerifyRegister[[#This Row],[Service level]]="","",_xlfn.NORM.S.INV(tblVerifyRegister[[#This Row],[Service level]])))</calculatedColumnFormula>
    </tableColumn>
    <tableColumn id="12" name="Lead-time demand">
      <calculatedColumnFormula>IF(tblVerifyRegister[[#This Row],[Item]]="","",tblVerifyRegister[[#This Row],[Avg demand]]*tblVerifyRegister[[#This Row],[Lead time]])</calculatedColumnFormula>
    </tableColumn>
    <tableColumn id="13" name="Std dev of LT demand">
      <calculatedColumnFormula>IF(tblVerifyRegister[[#This Row],[Item]]="","",SQRT(tblVerifyRegister[[#This Row],[Lead time]]*tblVerifyRegister[[#This Row],[Demand std dev]]^2+tblVerifyRegister[[#This Row],[Avg demand]]^2*tblVerifyRegister[[#This Row],[Lead time std dev]]^2))</calculatedColumnFormula>
    </tableColumn>
    <tableColumn id="14" name="Safety stock">
      <calculatedColumnFormula>IF(tblVerifyRegister[[#This Row],[Item]]="","",IF(tblVerifyRegister[[#This Row],[Z factor]]="","",tblVerifyRegister[[#This Row],[Z factor]]*tblVerifyRegister[[#This Row],[Std dev of LT demand]]))</calculatedColumnFormula>
    </tableColumn>
    <tableColumn id="15" name="Reorder point">
      <calculatedColumnFormula>IF(tblVerifyRegister[[#This Row],[Item]]="","",IF(tblVerifyRegister[[#This Row],[Safety stock]]="","",tblVerifyRegister[[#This Row],[Lead-time demand]]+tblVerifyRegister[[#This Row],[Safety stock]]))</calculatedColumnFormula>
    </tableColumn>
    <tableColumn id="16" name="Lead-time share">
      <calculatedColumnFormula>IF(tblVerifyRegister[[#This Row],[Item]]="","",IF(tblVerifyRegister[[#This Row],[Std dev of LT demand]]&gt;0,(tblVerifyRegister[[#This Row],[Avg demand]]*tblVerifyRegister[[#This Row],[Lead time std dev]])^2/tblVerifyRegister[[#This Row],[Std dev of LT demand]]^2,""))</calculatedColumnFormula>
    </tableColumn>
    <tableColumn id="17" name="Safety stock value">
      <calculatedColumnFormula>IF(tblVerifyRegister[[#This Row],[Item]]="","",IF(tblVerifyRegister[[#This Row],[Safety stock]]="","",tblVerifyRegister[[#This Row],[Safety stock]]*tblVerifyRegister[[#This Row],[Unit cost]]))</calculatedColumnFormula>
    </tableColumn>
    <tableColumn id="18" name="Annual holding cost">
      <calculatedColumnFormula>IF(tblVerifyRegister[[#This Row],[Item]]="","",IF(tblVerifyRegister[[#This Row],[Safety stock]]="","",tblVerifyRegister[[#This Row],[Safety stock value]]*$E$39))</calculatedColumnFormula>
    </tableColumn>
    <tableColumn id="19" name="Gap">
      <calculatedColumnFormula>IF(tblVerifyRegister[[#This Row],[Item]]="","",IF(tblVerifyRegister[[#This Row],[Safety stock]]="","",tblVerifyRegister[[#This Row],[Current safety stock]]-tblVerifyRegister[[#This Row],[Safety stock]]))</calculatedColumnFormula>
    </tableColumn>
    <tableColumn id="20" name="Gap value">
      <calculatedColumnFormula>IF(tblVerifyRegister[[#This Row],[Item]]="","",IF(tblVerifyRegister[[#This Row],[Safety stock]]="","",ROUND((tblVerifyRegister[[#This Row],[Current safety stock]]-tblVerifyRegister[[#This Row],[Safety stock]])*tblVerifyRegister[[#This Row],[Unit cost]],2)))</calculatedColumnFormula>
    </tableColumn>
    <tableColumn id="21" name="Current vs recommended">
      <calculatedColumnFormula>IF(tblVerifyRegister[[#This Row],[Item]]="","",IF(tblVerifyRegister[[#This Row],[Safety stock]]="","",IF(tblVerifyRegister[[#This Row],[Current safety stock]]&lt;tblVerifyRegister[[#This Row],[Safety stock]]*(1-$E$40),"Below target",IF(tblVerifyRegister[[#This Row],[Current safety stock]]&gt;tblVerifyRegister[[#This Row],[Safety stock]]*(1+$E$40),"Above target","On target"))))</calculatedColumnFormula>
    </tableColumn>
    <tableColumn id="22" name="Action rank">
      <calculatedColumnFormula>IF(tblVerifyRegister[[#This Row],[Item]]="","",IF(tblVerifyRegister[[#This Row],[Gap value]]="","",COUNTIF(tblVerifyRegister[Gap value],"&gt;"&amp;ABS(tblVerifyRegister[[#This Row],[Gap value]]))+COUNTIF(tblVerifyRegister[Gap value],"&lt;"&amp;-ABS(tblVerifyRegister[[#This Row],[Gap value]]))+SUMPRODUCT(((tblVerifyRegister[Gap value]=ABS(tblVerifyRegister[[#This Row],[Gap value]]))+(tblVerifyRegister[Gap value]=-ABS(tblVerifyRegister[[#This Row],[Gap value]]))*(tblVerifyRegister[[#This Row],[Gap value]]&lt;&gt;0))*(ROW(tblVerifyRegister[Gap value])&lt;ROW(tblVerifyRegister[[#This Row],[Gap value]])))+1))</calculatedColumnFormula>
    </tableColumn>
    <tableColumn id="23" name="Check">
      <calculatedColumnFormula>IF(tblVerifyRegister[[#This Row],[Item]]="","",IF(tblVerifyRegister[[#This Row],[Class]]="","Missing class",IF(tblVerifyRegister[[#This Row],[Unit cost]]="","Missing unit cost",IF(tblVerifyRegister[[#This Row],[Avg demand]]="","Missing avg demand",IF(tblVerifyRegister[[#This Row],[Demand std dev]]="","Missing demand std dev",IF(tblVerifyRegister[[#This Row],[Lead time]]="","Missing lead time",IF(tblVerifyRegister[[#This Row],[Current safety stock]]="","Missing current safety stock",IF(COUNTIF(tblVerifyClasses[Class],tblVerifyRegister[[#This Row],[Class]])=0,"Class not on Setup list",IF(COUNTIF(tblVerifyRegister[Item],tblVerifyRegister[[#This Row],[Item]])&gt;1,"Item listed twice",IF(tblVerifyRegister[[#This Row],[Lead time]]=0,"Lead time is 0",IF(tblVerifyRegister[[#This Row],[Avg demand]]=0,"Average demand is 0","OK")))))))))))</calculatedColumnFormula>
    </tableColumn>
    <tableColumn id="24"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stock" TargetMode="External"/><Relationship Id="rId2" Type="http://schemas.openxmlformats.org/officeDocument/2006/relationships/hyperlink" Target="https://www.mfgcalcs.com/calculators/supply-chain-procurement-inventory/safety-stock-calculator?utm_source=mfgcalcs-template&amp;utm_medium=xlsx&amp;utm_campaign=safety-stock" TargetMode="External"/><Relationship Id="rId3" Type="http://schemas.openxmlformats.org/officeDocument/2006/relationships/hyperlink" Target="https://www.mfgcalcs.com/templates/safety-stock?utm_source=mfgcalcs-template&amp;utm_medium=xlsx&amp;utm_campaign=safety-stock" TargetMode="External"/><Relationship Id="rId4" Type="http://schemas.openxmlformats.org/officeDocument/2006/relationships/hyperlink" Target="https://www.mfgcalcs.com/templates?utm_source=mfgcalcs-template&amp;utm_medium=xlsx&amp;utm_campaign=safety-stock"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stock"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stock" TargetMode="External"/><Relationship Id="rId2"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stock"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stock" TargetMode="External"/><Relationship Id="rId2" Type="http://schemas.openxmlformats.org/officeDocument/2006/relationships/hyperlink" Target="https://www.mfgcalcs.com/calculators/supply-chain-procurement-inventory/safety-stock-calculator?utm_source=mfgcalcs-template&amp;utm_medium=xlsx&amp;utm_campaign=safety-stock"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afety-stock" TargetMode="External"/><Relationship Id="rId2" Type="http://schemas.openxmlformats.org/officeDocument/2006/relationships/table" Target="../tables/table3.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23 of 23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61.8"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Item Register'!A1" tooltip="Go to Item Register" display="Item Register"/>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Safety Stock Planner&amp;R&amp;8&amp;A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20"/>
  <sheetViews>
    <sheetView showGridLines="0" workbookViewId="0"/>
  </sheetViews>
  <sheetFormatPr defaultRowHeight="15"/>
  <cols>
    <col min="1" max="1" width="2.7109375" customWidth="1"/>
    <col min="2" max="2" width="34.7109375" customWidth="1"/>
    <col min="3" max="3" width="14.7109375" customWidth="1"/>
    <col min="4" max="4" width="16.7109375" customWidth="1"/>
    <col min="5" max="5" width="40.7109375" customWidth="1"/>
  </cols>
  <sheetData>
    <row r="1" spans="1:5" ht="30" customHeight="1">
      <c r="A1" s="1" t="s">
        <v>0</v>
      </c>
      <c r="B1" s="1"/>
      <c r="C1" s="1"/>
      <c r="D1" s="1"/>
      <c r="E1" s="1"/>
    </row>
    <row r="2" spans="1:5" ht="32.4" customHeight="1">
      <c r="B2" s="2" t="s">
        <v>18</v>
      </c>
      <c r="C2" s="2"/>
      <c r="D2" s="2"/>
      <c r="E2" s="3" t="s">
        <v>2</v>
      </c>
    </row>
    <row r="3" spans="1:5" ht="6" customHeight="1"/>
    <row r="4" spans="1:5" ht="21" customHeight="1">
      <c r="B4" s="8" t="s">
        <v>64</v>
      </c>
      <c r="C4" s="8"/>
      <c r="D4" s="8"/>
      <c r="E4" s="8"/>
    </row>
    <row r="5" spans="1:5" ht="5" customHeight="1"/>
    <row r="6" spans="1:5">
      <c r="B6" s="27" t="s">
        <v>65</v>
      </c>
      <c r="C6" s="28" t="s">
        <v>66</v>
      </c>
      <c r="D6" s="28"/>
    </row>
    <row r="7" spans="1:5">
      <c r="B7" s="27" t="s">
        <v>67</v>
      </c>
      <c r="C7" s="28" t="s">
        <v>68</v>
      </c>
      <c r="D7" s="28"/>
    </row>
    <row r="8" spans="1:5">
      <c r="B8" s="27" t="s">
        <v>69</v>
      </c>
      <c r="C8" s="28" t="s">
        <v>70</v>
      </c>
      <c r="D8" s="28"/>
    </row>
    <row r="9" spans="1:5">
      <c r="B9" s="27" t="s">
        <v>71</v>
      </c>
      <c r="C9" s="29">
        <v>0.22</v>
      </c>
      <c r="D9" s="7" t="s">
        <v>72</v>
      </c>
    </row>
    <row r="10" spans="1:5">
      <c r="B10" s="27" t="s">
        <v>73</v>
      </c>
      <c r="C10" s="29">
        <v>0.1</v>
      </c>
      <c r="D10" s="7" t="s">
        <v>74</v>
      </c>
    </row>
    <row r="12" spans="1:5" ht="35.4" customHeight="1">
      <c r="B12" s="25" t="s">
        <v>75</v>
      </c>
      <c r="C12" s="25"/>
      <c r="D12" s="25"/>
      <c r="E12" s="25"/>
    </row>
    <row r="14" spans="1:5" ht="21" customHeight="1">
      <c r="B14" s="8" t="s">
        <v>76</v>
      </c>
      <c r="C14" s="8"/>
      <c r="D14" s="8"/>
      <c r="E14" s="8"/>
    </row>
    <row r="15" spans="1:5" ht="5" customHeight="1"/>
    <row r="16" spans="1:5">
      <c r="B16" s="30" t="s">
        <v>77</v>
      </c>
      <c r="C16" s="30"/>
      <c r="D16" s="30"/>
      <c r="E16" s="30"/>
    </row>
    <row r="17" spans="2:5" ht="32" customHeight="1">
      <c r="B17" s="31" t="s">
        <v>60</v>
      </c>
      <c r="C17" s="31" t="s">
        <v>61</v>
      </c>
      <c r="D17" s="31" t="s">
        <v>62</v>
      </c>
      <c r="E17" s="31" t="s">
        <v>63</v>
      </c>
    </row>
    <row r="18" spans="2:5">
      <c r="B18" s="32" t="s">
        <v>78</v>
      </c>
      <c r="C18" s="29">
        <v>0.98</v>
      </c>
      <c r="D18" s="33">
        <f>_xlfn.NORM.S.INV(tblClasses[[#This Row],[Cycle service level]])</f>
        <v>2.05374891063182</v>
      </c>
      <c r="E18" s="32" t="s">
        <v>79</v>
      </c>
    </row>
    <row r="19" spans="2:5">
      <c r="B19" s="32" t="s">
        <v>80</v>
      </c>
      <c r="C19" s="29">
        <v>0.95</v>
      </c>
      <c r="D19" s="33">
        <f>_xlfn.NORM.S.INV(tblClasses[[#This Row],[Cycle service level]])</f>
        <v>1.64485362695147</v>
      </c>
      <c r="E19" s="32" t="s">
        <v>81</v>
      </c>
    </row>
    <row r="20" spans="2:5">
      <c r="B20" s="32" t="s">
        <v>82</v>
      </c>
      <c r="C20" s="29">
        <v>0.9</v>
      </c>
      <c r="D20" s="33">
        <f>_xlfn.NORM.S.INV(tblClasses[[#This Row],[Cycle service level]])</f>
        <v>1.2815515655446</v>
      </c>
      <c r="E20" s="32" t="s">
        <v>83</v>
      </c>
    </row>
  </sheetData>
  <mergeCells count="9">
    <mergeCell ref="A1:E1"/>
    <mergeCell ref="B2:D2"/>
    <mergeCell ref="B4:E4"/>
    <mergeCell ref="C6:D6"/>
    <mergeCell ref="C7:D7"/>
    <mergeCell ref="C8:D8"/>
    <mergeCell ref="B12:E12"/>
    <mergeCell ref="B14:E14"/>
    <mergeCell ref="B16:E16"/>
  </mergeCells>
  <dataValidations count="8">
    <dataValidation type="textLength" allowBlank="1" showInputMessage="1" showErrorMessage="1" errorTitle="Check this entry" error="Text up to 80 characters." promptTitle="Company or site" prompt="Shown on the Dashboard. Text up to 80 characters." sqref="C6">
      <formula1>0</formula1>
      <formula2>80</formula2>
    </dataValidation>
    <dataValidation type="textLength" allowBlank="1" showInputMessage="1" showErrorMessage="1" errorTitle="Check this entry" error="Text up to 12 characters." promptTitle="Currency label" prompt="Text shown with every money value, e.g. USD, INR, GBP, EUR, MXN. No exchange rate is applied. Text up to 12 characters." sqref="C7">
      <formula1>0</formula1>
      <formula2>12</formula2>
    </dataValidation>
    <dataValidation type="list" allowBlank="1" showInputMessage="1" showErrorMessage="1" errorTitle="Check this entry" error="Pick one of: day, week, month." promptTitle="Demand period" prompt="The period you type demand and lead time in. A label only: demand per period, its standard deviation and lead time must all use it. Pick one of: day, week, month." sqref="C8">
      <formula1>"day,week,month"</formula1>
    </dataValidation>
    <dataValidation type="decimal" allowBlank="1" showInputMessage="1" showErrorMessage="1" errorTitle="Check this entry" error="Enter a percentage from 0% to 100% (type 85% or 0.85)." promptTitle="Carrying-cost rate" prompt="Your annual cost of holding inventory as a % of its value (see the Inventory Carrying Cost template). 22% is an example, not a benchmark. Enter a percentage from 0% to 100% (type 85% or 0.85)." sqref="C9">
      <formula1>0</formula1>
      <formula2>1</formula2>
    </dataValidation>
    <dataValidation type="decimal" allowBlank="1" showInputMessage="1" showErrorMessage="1" errorTitle="Check this entry" error="Enter a percentage from 0% to 100% (type 85% or 0.85)." promptTitle="On-target band" prompt="Today's safety stock within this % of the recommended one reads On target; below it Below target, above it Above target. Enter a percentage from 0% to 100% (type 85% or 0.85)." sqref="C10">
      <formula1>0</formula1>
      <formula2>1</formula2>
    </dataValidation>
    <dataValidation type="textLength" allowBlank="1" showInputMessage="1" showErrorMessage="1" errorTitle="Check this entry" error="Text up to 20 characters." promptTitle="Class" prompt="Text up to 20 characters." sqref="B18:B120">
      <formula1>0</formula1>
      <formula2>20</formula2>
    </dataValidation>
    <dataValidation type="decimal" allowBlank="1" showInputMessage="1" showErrorMessage="1" errorTitle="Check this entry" error="Enter a percentage from 50% to 99.99% (type 85% or 0.85)." promptTitle="Cycle service level" prompt="Chance of no stockout per replenishment cycle, between 50% and 99.99%. Enter a percentage from 50% to 99.99% (type 85% or 0.85)." sqref="C18:C120">
      <formula1>0.5</formula1>
      <formula2>0.9999</formula2>
    </dataValidation>
    <dataValidation type="textLength" allowBlank="1" showInputMessage="1" showErrorMessage="1" errorTitle="Check this entry" error="Text up to 120 characters." promptTitle="Meaning" prompt="Text up to 120 characters." sqref="E18:E120">
      <formula1>0</formula1>
      <formula2>120</formula2>
    </dataValidation>
  </dataValidations>
  <hyperlinks>
    <hyperlink ref="E2" r:id="rId1" tooltip="Free manufacturing calculators and templates"/>
  </hyperlinks>
  <pageMargins left="0.4" right="0.4" top="0.7" bottom="0.65" header="0.3" footer="0.3"/>
  <pageSetup fitToHeight="0" orientation="portrait"/>
  <headerFooter>
    <oddHeader>&amp;L&amp;8MFG Calcs - Safety Stock Planner&amp;R&amp;8&amp;A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Y30"/>
  <sheetViews>
    <sheetView workbookViewId="0">
      <pane xSplit="2" ySplit="6" topLeftCell="C7" activePane="bottomRight" state="frozen"/>
      <selection pane="topRight" activeCell="C1" sqref="C1"/>
      <selection pane="bottomLeft" activeCell="A7" sqref="A7"/>
      <selection pane="bottomRight"/>
    </sheetView>
  </sheetViews>
  <sheetFormatPr defaultRowHeight="15" x14ac:dyDescent="0.25"/>
  <cols>
    <col min="1" max="1" width="2.7109375" customWidth="1"/>
    <col min="2" max="2" width="9.7109375" customWidth="1"/>
    <col min="3" max="3" width="24.7109375" customWidth="1"/>
    <col min="4" max="4" width="7.28515625" customWidth="1"/>
    <col min="5" max="5" width="9.7109375" customWidth="1"/>
    <col min="6" max="7" width="9.28515625" customWidth="1"/>
    <col min="8" max="8" width="8.28515625" customWidth="1"/>
    <col min="9" max="9" width="9.28515625" customWidth="1"/>
    <col min="10" max="10" width="9.7109375" customWidth="1"/>
    <col min="11" max="11" width="8.7109375" customWidth="1"/>
    <col min="12" max="12" width="7.7109375" customWidth="1"/>
    <col min="13" max="16" width="9.7109375" customWidth="1"/>
    <col min="17" max="17" width="8.7109375" customWidth="1"/>
    <col min="18" max="18" width="10.7109375" customWidth="1"/>
    <col min="19" max="19" width="10.28515625" customWidth="1"/>
    <col min="20" max="20" width="8.7109375" customWidth="1"/>
    <col min="21" max="21" width="10.28515625" customWidth="1"/>
    <col min="22" max="22" width="13.7109375" customWidth="1"/>
    <col min="23" max="23" width="7.7109375" customWidth="1"/>
    <col min="24" max="24" width="19.7109375" customWidth="1"/>
    <col min="25" max="25" width="26.7109375" customWidth="1"/>
  </cols>
  <sheetData>
    <row r="1" spans="1:25" ht="30" customHeight="1" x14ac:dyDescent="0.25">
      <c r="A1" s="1" t="s">
        <v>0</v>
      </c>
      <c r="B1" s="1"/>
      <c r="C1" s="1"/>
      <c r="D1" s="1"/>
      <c r="E1" s="1"/>
      <c r="F1" s="1"/>
      <c r="G1" s="1"/>
      <c r="H1" s="1"/>
      <c r="I1" s="1"/>
      <c r="J1" s="1"/>
      <c r="K1" s="1"/>
      <c r="L1" s="1"/>
      <c r="M1" s="1"/>
      <c r="N1" s="1"/>
      <c r="O1" s="1"/>
      <c r="P1" s="1"/>
      <c r="Q1" s="1"/>
      <c r="R1" s="1"/>
      <c r="S1" s="1"/>
      <c r="T1" s="1"/>
      <c r="U1" s="1"/>
      <c r="V1" s="1"/>
      <c r="W1" s="1"/>
      <c r="X1" s="1"/>
      <c r="Y1" s="1"/>
    </row>
    <row r="2" spans="1:25" ht="21" customHeight="1" x14ac:dyDescent="0.25">
      <c r="B2" s="2" t="s">
        <v>20</v>
      </c>
      <c r="C2" s="2"/>
      <c r="D2" s="2"/>
      <c r="E2" s="2"/>
      <c r="F2" s="2"/>
      <c r="G2" s="2"/>
      <c r="H2" s="2"/>
      <c r="I2" s="2"/>
      <c r="J2" s="2"/>
      <c r="K2" s="2"/>
      <c r="L2" s="2"/>
      <c r="M2" s="2"/>
      <c r="N2" s="2"/>
      <c r="O2" s="2"/>
      <c r="P2" s="2"/>
      <c r="Q2" s="2"/>
      <c r="R2" s="2"/>
      <c r="S2" s="2"/>
      <c r="T2" s="2"/>
      <c r="U2" s="2"/>
      <c r="V2" s="2"/>
      <c r="W2" s="2"/>
      <c r="X2" s="2"/>
      <c r="Y2" s="3" t="s">
        <v>2</v>
      </c>
    </row>
    <row r="3" spans="1:25" ht="6" customHeight="1" x14ac:dyDescent="0.25"/>
    <row r="4" spans="1:25" ht="18" customHeight="1" x14ac:dyDescent="0.25">
      <c r="B4" s="34" t="s">
        <v>106</v>
      </c>
      <c r="C4" s="34"/>
      <c r="D4" s="34"/>
      <c r="E4" s="34"/>
      <c r="F4" s="34"/>
      <c r="G4" s="34"/>
      <c r="H4" s="34"/>
      <c r="I4" s="34"/>
      <c r="J4" s="34"/>
      <c r="K4" s="34"/>
      <c r="L4" s="34"/>
      <c r="M4" s="34"/>
      <c r="N4" s="34"/>
      <c r="O4" s="34"/>
      <c r="P4" s="34"/>
      <c r="Q4" s="34"/>
      <c r="R4" s="34"/>
      <c r="S4" s="34"/>
      <c r="T4" s="34"/>
      <c r="U4" s="34"/>
      <c r="V4" s="34"/>
      <c r="W4" s="34"/>
      <c r="X4" s="34"/>
      <c r="Y4" s="34"/>
    </row>
    <row r="5" spans="1:25" ht="14" customHeight="1" x14ac:dyDescent="0.25">
      <c r="B5" s="35"/>
      <c r="C5" s="35"/>
      <c r="D5" s="35"/>
      <c r="E5" s="35" t="str">
        <f>Currency</f>
        <v>GBP</v>
      </c>
      <c r="F5" s="35" t="str">
        <f>"units/"&amp;Period</f>
        <v>units/week</v>
      </c>
      <c r="G5" s="35" t="str">
        <f>"units/"&amp;Period</f>
        <v>units/week</v>
      </c>
      <c r="H5" s="35" t="str">
        <f>Period&amp;"s"</f>
        <v>weeks</v>
      </c>
      <c r="I5" s="35" t="str">
        <f>Period&amp;"s"</f>
        <v>weeks</v>
      </c>
      <c r="J5" s="35" t="s">
        <v>107</v>
      </c>
      <c r="K5" s="35"/>
      <c r="L5" s="35"/>
      <c r="M5" s="35" t="s">
        <v>107</v>
      </c>
      <c r="N5" s="35" t="s">
        <v>107</v>
      </c>
      <c r="O5" s="35" t="s">
        <v>107</v>
      </c>
      <c r="P5" s="35" t="s">
        <v>107</v>
      </c>
      <c r="Q5" s="35"/>
      <c r="R5" s="35" t="str">
        <f>Currency</f>
        <v>GBP</v>
      </c>
      <c r="S5" s="35" t="str">
        <f>Currency&amp;"/year"</f>
        <v>GBP/year</v>
      </c>
      <c r="T5" s="35" t="s">
        <v>107</v>
      </c>
      <c r="U5" s="35" t="str">
        <f>Currency</f>
        <v>GBP</v>
      </c>
      <c r="V5" s="35"/>
      <c r="W5" s="35"/>
      <c r="X5" s="35"/>
      <c r="Y5" s="35"/>
    </row>
    <row r="6" spans="1:25" ht="45.5" customHeight="1" x14ac:dyDescent="0.25">
      <c r="B6" s="31" t="s">
        <v>84</v>
      </c>
      <c r="C6" s="31" t="s">
        <v>85</v>
      </c>
      <c r="D6" s="31" t="s">
        <v>60</v>
      </c>
      <c r="E6" s="31" t="s">
        <v>86</v>
      </c>
      <c r="F6" s="31" t="s">
        <v>87</v>
      </c>
      <c r="G6" s="31" t="s">
        <v>88</v>
      </c>
      <c r="H6" s="31" t="s">
        <v>89</v>
      </c>
      <c r="I6" s="31" t="s">
        <v>90</v>
      </c>
      <c r="J6" s="31" t="s">
        <v>91</v>
      </c>
      <c r="K6" s="31" t="s">
        <v>92</v>
      </c>
      <c r="L6" s="31" t="s">
        <v>62</v>
      </c>
      <c r="M6" s="31" t="s">
        <v>93</v>
      </c>
      <c r="N6" s="31" t="s">
        <v>94</v>
      </c>
      <c r="O6" s="31" t="s">
        <v>95</v>
      </c>
      <c r="P6" s="31" t="s">
        <v>96</v>
      </c>
      <c r="Q6" s="31" t="s">
        <v>97</v>
      </c>
      <c r="R6" s="31" t="s">
        <v>98</v>
      </c>
      <c r="S6" s="31" t="s">
        <v>99</v>
      </c>
      <c r="T6" s="31" t="s">
        <v>100</v>
      </c>
      <c r="U6" s="31" t="s">
        <v>101</v>
      </c>
      <c r="V6" s="31" t="s">
        <v>102</v>
      </c>
      <c r="W6" s="31" t="s">
        <v>103</v>
      </c>
      <c r="X6" s="31" t="s">
        <v>104</v>
      </c>
      <c r="Y6" s="31" t="s">
        <v>105</v>
      </c>
    </row>
    <row r="7" spans="1:25" x14ac:dyDescent="0.25">
      <c r="B7" s="28" t="s">
        <v>108</v>
      </c>
      <c r="C7" s="28" t="s">
        <v>109</v>
      </c>
      <c r="D7" s="28" t="s">
        <v>78</v>
      </c>
      <c r="E7" s="36">
        <v>186</v>
      </c>
      <c r="F7" s="37">
        <v>42</v>
      </c>
      <c r="G7" s="37">
        <v>16.6</v>
      </c>
      <c r="H7" s="37">
        <v>6</v>
      </c>
      <c r="I7" s="37">
        <v>1.5</v>
      </c>
      <c r="J7" s="38">
        <v>126</v>
      </c>
      <c r="K7" s="39">
        <f>IF(tblRegister[[#This Row],[Item]]="","",IFERROR(INDEX(tblClasses[Cycle service level],MATCH(tblRegister[[#This Row],[Class]],tblClasses[Class],0)),""))</f>
        <v>0.98</v>
      </c>
      <c r="L7" s="33">
        <f>IF(tblRegister[[#This Row],[Item]]="","",IF(tblRegister[[#This Row],[Service level]]="","",_xlfn.NORM.S.INV(tblRegister[[#This Row],[Service level]])))</f>
        <v>2.05374891063182</v>
      </c>
      <c r="M7" s="40">
        <f>IF(tblRegister[[#This Row],[Item]]="","",tblRegister[[#This Row],[Avg demand]]*tblRegister[[#This Row],[Lead time]])</f>
        <v>252</v>
      </c>
      <c r="N7" s="41">
        <f>IF(tblRegister[[#This Row],[Item]]="","",SQRT(tblRegister[[#This Row],[Lead time]]*tblRegister[[#This Row],[Demand std dev]]^2+tblRegister[[#This Row],[Avg demand]]^2*tblRegister[[#This Row],[Lead time std dev]]^2))</f>
        <v>74.9823979344486</v>
      </c>
      <c r="O7" s="40">
        <f>IF(tblRegister[[#This Row],[Item]]="","",IF(tblRegister[[#This Row],[Z factor]]="","",tblRegister[[#This Row],[Z factor]]*tblRegister[[#This Row],[Std dev of LT demand]]))</f>
        <v>153.995018074436</v>
      </c>
      <c r="P7" s="40">
        <f>IF(tblRegister[[#This Row],[Item]]="","",IF(tblRegister[[#This Row],[Safety stock]]="","",tblRegister[[#This Row],[Lead-time demand]]+tblRegister[[#This Row],[Safety stock]]))</f>
        <v>405.995018074436</v>
      </c>
      <c r="Q7" s="42">
        <f>IF(tblRegister[[#This Row],[Item]]="","",IF(tblRegister[[#This Row],[Std dev of LT demand]]&gt;0,(tblRegister[[#This Row],[Avg demand]]*tblRegister[[#This Row],[Lead time std dev]])^2/tblRegister[[#This Row],[Std dev of LT demand]]^2,""))</f>
        <v>0.705931317098158</v>
      </c>
      <c r="R7" s="40">
        <f>IF(tblRegister[[#This Row],[Item]]="","",IF(tblRegister[[#This Row],[Safety stock]]="","",tblRegister[[#This Row],[Safety stock]]*tblRegister[[#This Row],[Unit cost]]))</f>
        <v>28643.073361845</v>
      </c>
      <c r="S7" s="40">
        <f>IF(tblRegister[[#This Row],[Item]]="","",IF(tblRegister[[#This Row],[Safety stock]]="","",tblRegister[[#This Row],[Safety stock value]]*CarryRate))</f>
        <v>6301.47613960591</v>
      </c>
      <c r="T7" s="43">
        <f>IF(tblRegister[[#This Row],[Item]]="","",IF(tblRegister[[#This Row],[Safety stock]]="","",tblRegister[[#This Row],[Current safety stock]]-tblRegister[[#This Row],[Safety stock]]))</f>
        <v>-27.9950180744356</v>
      </c>
      <c r="U7" s="43">
        <f>IF(tblRegister[[#This Row],[Item]]="","",IF(tblRegister[[#This Row],[Safety stock]]="","",ROUND((tblRegister[[#This Row],[Current safety stock]]-tblRegister[[#This Row],[Safety stock]])*tblRegister[[#This Row],[Unit cost]],2)))</f>
        <v>-5207.07</v>
      </c>
      <c r="V7" s="44" t="str">
        <f>IF(tblRegister[[#This Row],[Item]]="","",IF(tblRegister[[#This Row],[Safety stock]]="","",IF(tblRegister[[#This Row],[Current safety stock]]&lt;tblRegister[[#This Row],[Safety stock]]*(1-Tolerance),"Below target",IF(tblRegister[[#This Row],[Current safety stock]]&gt;tblRegister[[#This Row],[Safety stock]]*(1+Tolerance),"Above target","On target"))))</f>
        <v>Below target</v>
      </c>
      <c r="W7"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8</v>
      </c>
      <c r="X7"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7" s="28" t="s">
        <v>110</v>
      </c>
    </row>
    <row r="8" spans="1:25" x14ac:dyDescent="0.25">
      <c r="B8" s="28" t="s">
        <v>111</v>
      </c>
      <c r="C8" s="28" t="s">
        <v>112</v>
      </c>
      <c r="D8" s="28" t="s">
        <v>78</v>
      </c>
      <c r="E8" s="36">
        <v>320</v>
      </c>
      <c r="F8" s="37">
        <v>22</v>
      </c>
      <c r="G8" s="37">
        <v>7</v>
      </c>
      <c r="H8" s="37">
        <v>10</v>
      </c>
      <c r="I8" s="37">
        <v>3</v>
      </c>
      <c r="J8" s="38">
        <v>66</v>
      </c>
      <c r="K8" s="39">
        <f>IF(tblRegister[[#This Row],[Item]]="","",IFERROR(INDEX(tblClasses[Cycle service level],MATCH(tblRegister[[#This Row],[Class]],tblClasses[Class],0)),""))</f>
        <v>0.98</v>
      </c>
      <c r="L8" s="33">
        <f>IF(tblRegister[[#This Row],[Item]]="","",IF(tblRegister[[#This Row],[Service level]]="","",_xlfn.NORM.S.INV(tblRegister[[#This Row],[Service level]])))</f>
        <v>2.05374891063182</v>
      </c>
      <c r="M8" s="40">
        <f>IF(tblRegister[[#This Row],[Item]]="","",tblRegister[[#This Row],[Avg demand]]*tblRegister[[#This Row],[Lead time]])</f>
        <v>220</v>
      </c>
      <c r="N8" s="41">
        <f>IF(tblRegister[[#This Row],[Item]]="","",SQRT(tblRegister[[#This Row],[Lead time]]*tblRegister[[#This Row],[Demand std dev]]^2+tblRegister[[#This Row],[Avg demand]]^2*tblRegister[[#This Row],[Lead time std dev]]^2))</f>
        <v>69.6132171358285</v>
      </c>
      <c r="O8" s="40">
        <f>IF(tblRegister[[#This Row],[Item]]="","",IF(tblRegister[[#This Row],[Z factor]]="","",tblRegister[[#This Row],[Z factor]]*tblRegister[[#This Row],[Std dev of LT demand]]))</f>
        <v>142.968068858284</v>
      </c>
      <c r="P8" s="40">
        <f>IF(tblRegister[[#This Row],[Item]]="","",IF(tblRegister[[#This Row],[Safety stock]]="","",tblRegister[[#This Row],[Lead-time demand]]+tblRegister[[#This Row],[Safety stock]]))</f>
        <v>362.968068858284</v>
      </c>
      <c r="Q8" s="42">
        <f>IF(tblRegister[[#This Row],[Item]]="","",IF(tblRegister[[#This Row],[Std dev of LT demand]]&gt;0,(tblRegister[[#This Row],[Avg demand]]*tblRegister[[#This Row],[Lead time std dev]])^2/tblRegister[[#This Row],[Std dev of LT demand]]^2,""))</f>
        <v>0.898885678910442</v>
      </c>
      <c r="R8" s="40">
        <f>IF(tblRegister[[#This Row],[Item]]="","",IF(tblRegister[[#This Row],[Safety stock]]="","",tblRegister[[#This Row],[Safety stock]]*tblRegister[[#This Row],[Unit cost]]))</f>
        <v>45749.7820346509</v>
      </c>
      <c r="S8" s="40">
        <f>IF(tblRegister[[#This Row],[Item]]="","",IF(tblRegister[[#This Row],[Safety stock]]="","",tblRegister[[#This Row],[Safety stock value]]*CarryRate))</f>
        <v>10064.9520476232</v>
      </c>
      <c r="T8" s="43">
        <f>IF(tblRegister[[#This Row],[Item]]="","",IF(tblRegister[[#This Row],[Safety stock]]="","",tblRegister[[#This Row],[Current safety stock]]-tblRegister[[#This Row],[Safety stock]]))</f>
        <v>-76.9680688582842</v>
      </c>
      <c r="U8" s="43">
        <f>IF(tblRegister[[#This Row],[Item]]="","",IF(tblRegister[[#This Row],[Safety stock]]="","",ROUND((tblRegister[[#This Row],[Current safety stock]]-tblRegister[[#This Row],[Safety stock]])*tblRegister[[#This Row],[Unit cost]],2)))</f>
        <v>-24629.78</v>
      </c>
      <c r="V8" s="44" t="str">
        <f>IF(tblRegister[[#This Row],[Item]]="","",IF(tblRegister[[#This Row],[Safety stock]]="","",IF(tblRegister[[#This Row],[Current safety stock]]&lt;tblRegister[[#This Row],[Safety stock]]*(1-Tolerance),"Below target",IF(tblRegister[[#This Row],[Current safety stock]]&gt;tblRegister[[#This Row],[Safety stock]]*(1+Tolerance),"Above target","On target"))))</f>
        <v>Below target</v>
      </c>
      <c r="W8"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2</v>
      </c>
      <c r="X8"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8" s="28" t="s">
        <v>110</v>
      </c>
    </row>
    <row r="9" spans="1:25" x14ac:dyDescent="0.25">
      <c r="B9" s="28" t="s">
        <v>113</v>
      </c>
      <c r="C9" s="28" t="s">
        <v>114</v>
      </c>
      <c r="D9" s="28" t="s">
        <v>78</v>
      </c>
      <c r="E9" s="36">
        <v>940</v>
      </c>
      <c r="F9" s="37">
        <v>9</v>
      </c>
      <c r="G9" s="37">
        <v>3.6</v>
      </c>
      <c r="H9" s="37">
        <v>8</v>
      </c>
      <c r="I9" s="37">
        <v>2</v>
      </c>
      <c r="J9" s="38">
        <v>30</v>
      </c>
      <c r="K9" s="39">
        <f>IF(tblRegister[[#This Row],[Item]]="","",IFERROR(INDEX(tblClasses[Cycle service level],MATCH(tblRegister[[#This Row],[Class]],tblClasses[Class],0)),""))</f>
        <v>0.98</v>
      </c>
      <c r="L9" s="33">
        <f>IF(tblRegister[[#This Row],[Item]]="","",IF(tblRegister[[#This Row],[Service level]]="","",_xlfn.NORM.S.INV(tblRegister[[#This Row],[Service level]])))</f>
        <v>2.05374891063182</v>
      </c>
      <c r="M9" s="40">
        <f>IF(tblRegister[[#This Row],[Item]]="","",tblRegister[[#This Row],[Avg demand]]*tblRegister[[#This Row],[Lead time]])</f>
        <v>72</v>
      </c>
      <c r="N9" s="41">
        <f>IF(tblRegister[[#This Row],[Item]]="","",SQRT(tblRegister[[#This Row],[Lead time]]*tblRegister[[#This Row],[Demand std dev]]^2+tblRegister[[#This Row],[Avg demand]]^2*tblRegister[[#This Row],[Lead time std dev]]^2))</f>
        <v>20.6804255275369</v>
      </c>
      <c r="O9" s="40">
        <f>IF(tblRegister[[#This Row],[Item]]="","",IF(tblRegister[[#This Row],[Z factor]]="","",tblRegister[[#This Row],[Z factor]]*tblRegister[[#This Row],[Std dev of LT demand]]))</f>
        <v>42.4724013985814</v>
      </c>
      <c r="P9" s="40">
        <f>IF(tblRegister[[#This Row],[Item]]="","",IF(tblRegister[[#This Row],[Safety stock]]="","",tblRegister[[#This Row],[Lead-time demand]]+tblRegister[[#This Row],[Safety stock]]))</f>
        <v>114.472401398581</v>
      </c>
      <c r="Q9" s="42">
        <f>IF(tblRegister[[#This Row],[Item]]="","",IF(tblRegister[[#This Row],[Std dev of LT demand]]&gt;0,(tblRegister[[#This Row],[Avg demand]]*tblRegister[[#This Row],[Lead time std dev]])^2/tblRegister[[#This Row],[Std dev of LT demand]]^2,""))</f>
        <v>0.757575757575758</v>
      </c>
      <c r="R9" s="40">
        <f>IF(tblRegister[[#This Row],[Item]]="","",IF(tblRegister[[#This Row],[Safety stock]]="","",tblRegister[[#This Row],[Safety stock]]*tblRegister[[#This Row],[Unit cost]]))</f>
        <v>39924.0573146666</v>
      </c>
      <c r="S9" s="40">
        <f>IF(tblRegister[[#This Row],[Item]]="","",IF(tblRegister[[#This Row],[Safety stock]]="","",tblRegister[[#This Row],[Safety stock value]]*CarryRate))</f>
        <v>8783.29260922664</v>
      </c>
      <c r="T9" s="43">
        <f>IF(tblRegister[[#This Row],[Item]]="","",IF(tblRegister[[#This Row],[Safety stock]]="","",tblRegister[[#This Row],[Current safety stock]]-tblRegister[[#This Row],[Safety stock]]))</f>
        <v>-12.4724013985814</v>
      </c>
      <c r="U9" s="43">
        <f>IF(tblRegister[[#This Row],[Item]]="","",IF(tblRegister[[#This Row],[Safety stock]]="","",ROUND((tblRegister[[#This Row],[Current safety stock]]-tblRegister[[#This Row],[Safety stock]])*tblRegister[[#This Row],[Unit cost]],2)))</f>
        <v>-11724.06</v>
      </c>
      <c r="V9" s="44" t="str">
        <f>IF(tblRegister[[#This Row],[Item]]="","",IF(tblRegister[[#This Row],[Safety stock]]="","",IF(tblRegister[[#This Row],[Current safety stock]]&lt;tblRegister[[#This Row],[Safety stock]]*(1-Tolerance),"Below target",IF(tblRegister[[#This Row],[Current safety stock]]&gt;tblRegister[[#This Row],[Safety stock]]*(1+Tolerance),"Above target","On target"))))</f>
        <v>Below target</v>
      </c>
      <c r="W9"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5</v>
      </c>
      <c r="X9"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9" s="28" t="s">
        <v>115</v>
      </c>
    </row>
    <row r="10" spans="1:25" x14ac:dyDescent="0.25">
      <c r="B10" s="28" t="s">
        <v>116</v>
      </c>
      <c r="C10" s="28" t="s">
        <v>117</v>
      </c>
      <c r="D10" s="28" t="s">
        <v>78</v>
      </c>
      <c r="E10" s="36">
        <v>610</v>
      </c>
      <c r="F10" s="37">
        <v>14</v>
      </c>
      <c r="G10" s="37">
        <v>5.4</v>
      </c>
      <c r="H10" s="37">
        <v>8</v>
      </c>
      <c r="I10" s="37">
        <v>1.5</v>
      </c>
      <c r="J10" s="38">
        <v>42</v>
      </c>
      <c r="K10" s="39">
        <f>IF(tblRegister[[#This Row],[Item]]="","",IFERROR(INDEX(tblClasses[Cycle service level],MATCH(tblRegister[[#This Row],[Class]],tblClasses[Class],0)),""))</f>
        <v>0.98</v>
      </c>
      <c r="L10" s="33">
        <f>IF(tblRegister[[#This Row],[Item]]="","",IF(tblRegister[[#This Row],[Service level]]="","",_xlfn.NORM.S.INV(tblRegister[[#This Row],[Service level]])))</f>
        <v>2.05374891063182</v>
      </c>
      <c r="M10" s="40">
        <f>IF(tblRegister[[#This Row],[Item]]="","",tblRegister[[#This Row],[Avg demand]]*tblRegister[[#This Row],[Lead time]])</f>
        <v>112</v>
      </c>
      <c r="N10" s="41">
        <f>IF(tblRegister[[#This Row],[Item]]="","",SQRT(tblRegister[[#This Row],[Lead time]]*tblRegister[[#This Row],[Demand std dev]]^2+tblRegister[[#This Row],[Avg demand]]^2*tblRegister[[#This Row],[Lead time std dev]]^2))</f>
        <v>25.9669020100589</v>
      </c>
      <c r="O10" s="40">
        <f>IF(tblRegister[[#This Row],[Item]]="","",IF(tblRegister[[#This Row],[Z factor]]="","",tblRegister[[#This Row],[Z factor]]*tblRegister[[#This Row],[Std dev of LT demand]]))</f>
        <v>53.3294967156417</v>
      </c>
      <c r="P10" s="40">
        <f>IF(tblRegister[[#This Row],[Item]]="","",IF(tblRegister[[#This Row],[Safety stock]]="","",tblRegister[[#This Row],[Lead-time demand]]+tblRegister[[#This Row],[Safety stock]]))</f>
        <v>165.329496715642</v>
      </c>
      <c r="Q10" s="42">
        <f>IF(tblRegister[[#This Row],[Item]]="","",IF(tblRegister[[#This Row],[Std dev of LT demand]]&gt;0,(tblRegister[[#This Row],[Avg demand]]*tblRegister[[#This Row],[Lead time std dev]])^2/tblRegister[[#This Row],[Std dev of LT demand]]^2,""))</f>
        <v>0.654030966364122</v>
      </c>
      <c r="R10" s="40">
        <f>IF(tblRegister[[#This Row],[Item]]="","",IF(tblRegister[[#This Row],[Safety stock]]="","",tblRegister[[#This Row],[Safety stock]]*tblRegister[[#This Row],[Unit cost]]))</f>
        <v>32530.9929965414</v>
      </c>
      <c r="S10" s="40">
        <f>IF(tblRegister[[#This Row],[Item]]="","",IF(tblRegister[[#This Row],[Safety stock]]="","",tblRegister[[#This Row],[Safety stock value]]*CarryRate))</f>
        <v>7156.81845923912</v>
      </c>
      <c r="T10" s="43">
        <f>IF(tblRegister[[#This Row],[Item]]="","",IF(tblRegister[[#This Row],[Safety stock]]="","",tblRegister[[#This Row],[Current safety stock]]-tblRegister[[#This Row],[Safety stock]]))</f>
        <v>-11.3294967156417</v>
      </c>
      <c r="U10" s="43">
        <f>IF(tblRegister[[#This Row],[Item]]="","",IF(tblRegister[[#This Row],[Safety stock]]="","",ROUND((tblRegister[[#This Row],[Current safety stock]]-tblRegister[[#This Row],[Safety stock]])*tblRegister[[#This Row],[Unit cost]],2)))</f>
        <v>-6910.99</v>
      </c>
      <c r="V10" s="44" t="str">
        <f>IF(tblRegister[[#This Row],[Item]]="","",IF(tblRegister[[#This Row],[Safety stock]]="","",IF(tblRegister[[#This Row],[Current safety stock]]&lt;tblRegister[[#This Row],[Safety stock]]*(1-Tolerance),"Below target",IF(tblRegister[[#This Row],[Current safety stock]]&gt;tblRegister[[#This Row],[Safety stock]]*(1+Tolerance),"Above target","On target"))))</f>
        <v>Below target</v>
      </c>
      <c r="W10"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7</v>
      </c>
      <c r="X10"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0" s="28" t="s">
        <v>118</v>
      </c>
    </row>
    <row r="11" spans="1:25" x14ac:dyDescent="0.25">
      <c r="B11" s="28" t="s">
        <v>119</v>
      </c>
      <c r="C11" s="28" t="s">
        <v>120</v>
      </c>
      <c r="D11" s="28" t="s">
        <v>78</v>
      </c>
      <c r="E11" s="36">
        <v>145</v>
      </c>
      <c r="F11" s="37">
        <v>60</v>
      </c>
      <c r="G11" s="37">
        <v>13.3</v>
      </c>
      <c r="H11" s="37">
        <v>4</v>
      </c>
      <c r="I11" s="37">
        <v>0.5</v>
      </c>
      <c r="J11" s="38">
        <v>180</v>
      </c>
      <c r="K11" s="39">
        <f>IF(tblRegister[[#This Row],[Item]]="","",IFERROR(INDEX(tblClasses[Cycle service level],MATCH(tblRegister[[#This Row],[Class]],tblClasses[Class],0)),""))</f>
        <v>0.98</v>
      </c>
      <c r="L11" s="33">
        <f>IF(tblRegister[[#This Row],[Item]]="","",IF(tblRegister[[#This Row],[Service level]]="","",_xlfn.NORM.S.INV(tblRegister[[#This Row],[Service level]])))</f>
        <v>2.05374891063182</v>
      </c>
      <c r="M11" s="40">
        <f>IF(tblRegister[[#This Row],[Item]]="","",tblRegister[[#This Row],[Avg demand]]*tblRegister[[#This Row],[Lead time]])</f>
        <v>240</v>
      </c>
      <c r="N11" s="41">
        <f>IF(tblRegister[[#This Row],[Item]]="","",SQRT(tblRegister[[#This Row],[Lead time]]*tblRegister[[#This Row],[Demand std dev]]^2+tblRegister[[#This Row],[Avg demand]]^2*tblRegister[[#This Row],[Lead time std dev]]^2))</f>
        <v>40.0943886348202</v>
      </c>
      <c r="O11" s="40">
        <f>IF(tblRegister[[#This Row],[Item]]="","",IF(tblRegister[[#This Row],[Z factor]]="","",tblRegister[[#This Row],[Z factor]]*tblRegister[[#This Row],[Std dev of LT demand]]))</f>
        <v>82.3438069812109</v>
      </c>
      <c r="P11" s="40">
        <f>IF(tblRegister[[#This Row],[Item]]="","",IF(tblRegister[[#This Row],[Safety stock]]="","",tblRegister[[#This Row],[Lead-time demand]]+tblRegister[[#This Row],[Safety stock]]))</f>
        <v>322.343806981211</v>
      </c>
      <c r="Q11" s="42">
        <f>IF(tblRegister[[#This Row],[Item]]="","",IF(tblRegister[[#This Row],[Std dev of LT demand]]&gt;0,(tblRegister[[#This Row],[Avg demand]]*tblRegister[[#This Row],[Lead time std dev]])^2/tblRegister[[#This Row],[Std dev of LT demand]]^2,""))</f>
        <v>0.559854686605788</v>
      </c>
      <c r="R11" s="40">
        <f>IF(tblRegister[[#This Row],[Item]]="","",IF(tblRegister[[#This Row],[Safety stock]]="","",tblRegister[[#This Row],[Safety stock]]*tblRegister[[#This Row],[Unit cost]]))</f>
        <v>11939.8520122756</v>
      </c>
      <c r="S11" s="40">
        <f>IF(tblRegister[[#This Row],[Item]]="","",IF(tblRegister[[#This Row],[Safety stock]]="","",tblRegister[[#This Row],[Safety stock value]]*CarryRate))</f>
        <v>2626.76744270063</v>
      </c>
      <c r="T11" s="43">
        <f>IF(tblRegister[[#This Row],[Item]]="","",IF(tblRegister[[#This Row],[Safety stock]]="","",tblRegister[[#This Row],[Current safety stock]]-tblRegister[[#This Row],[Safety stock]]))</f>
        <v>97.6561930187891</v>
      </c>
      <c r="U11" s="43">
        <f>IF(tblRegister[[#This Row],[Item]]="","",IF(tblRegister[[#This Row],[Safety stock]]="","",ROUND((tblRegister[[#This Row],[Current safety stock]]-tblRegister[[#This Row],[Safety stock]])*tblRegister[[#This Row],[Unit cost]],2)))</f>
        <v>14160.15</v>
      </c>
      <c r="V11"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11"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3</v>
      </c>
      <c r="X11"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1" s="28" t="s">
        <v>118</v>
      </c>
    </row>
    <row r="12" spans="1:25" x14ac:dyDescent="0.25">
      <c r="B12" s="28" t="s">
        <v>121</v>
      </c>
      <c r="C12" s="28" t="s">
        <v>122</v>
      </c>
      <c r="D12" s="28" t="s">
        <v>78</v>
      </c>
      <c r="E12" s="36">
        <v>1280</v>
      </c>
      <c r="F12" s="37">
        <v>5</v>
      </c>
      <c r="G12" s="37">
        <v>3.2</v>
      </c>
      <c r="H12" s="37">
        <v>12</v>
      </c>
      <c r="I12" s="37">
        <v>4</v>
      </c>
      <c r="J12" s="38">
        <v>6</v>
      </c>
      <c r="K12" s="39">
        <f>IF(tblRegister[[#This Row],[Item]]="","",IFERROR(INDEX(tblClasses[Cycle service level],MATCH(tblRegister[[#This Row],[Class]],tblClasses[Class],0)),""))</f>
        <v>0.98</v>
      </c>
      <c r="L12" s="33">
        <f>IF(tblRegister[[#This Row],[Item]]="","",IF(tblRegister[[#This Row],[Service level]]="","",_xlfn.NORM.S.INV(tblRegister[[#This Row],[Service level]])))</f>
        <v>2.05374891063182</v>
      </c>
      <c r="M12" s="40">
        <f>IF(tblRegister[[#This Row],[Item]]="","",tblRegister[[#This Row],[Avg demand]]*tblRegister[[#This Row],[Lead time]])</f>
        <v>60</v>
      </c>
      <c r="N12" s="41">
        <f>IF(tblRegister[[#This Row],[Item]]="","",SQRT(tblRegister[[#This Row],[Lead time]]*tblRegister[[#This Row],[Demand std dev]]^2+tblRegister[[#This Row],[Avg demand]]^2*tblRegister[[#This Row],[Lead time std dev]]^2))</f>
        <v>22.8665694847303</v>
      </c>
      <c r="O12" s="40">
        <f>IF(tblRegister[[#This Row],[Item]]="","",IF(tblRegister[[#This Row],[Z factor]]="","",tblRegister[[#This Row],[Z factor]]*tblRegister[[#This Row],[Std dev of LT demand]]))</f>
        <v>46.9621921691518</v>
      </c>
      <c r="P12" s="40">
        <f>IF(tblRegister[[#This Row],[Item]]="","",IF(tblRegister[[#This Row],[Safety stock]]="","",tblRegister[[#This Row],[Lead-time demand]]+tblRegister[[#This Row],[Safety stock]]))</f>
        <v>106.962192169152</v>
      </c>
      <c r="Q12" s="42">
        <f>IF(tblRegister[[#This Row],[Item]]="","",IF(tblRegister[[#This Row],[Std dev of LT demand]]&gt;0,(tblRegister[[#This Row],[Avg demand]]*tblRegister[[#This Row],[Lead time std dev]])^2/tblRegister[[#This Row],[Std dev of LT demand]]^2,""))</f>
        <v>0.76499388004896</v>
      </c>
      <c r="R12" s="40">
        <f>IF(tblRegister[[#This Row],[Item]]="","",IF(tblRegister[[#This Row],[Safety stock]]="","",tblRegister[[#This Row],[Safety stock]]*tblRegister[[#This Row],[Unit cost]]))</f>
        <v>60111.6059765143</v>
      </c>
      <c r="S12" s="40">
        <f>IF(tblRegister[[#This Row],[Item]]="","",IF(tblRegister[[#This Row],[Safety stock]]="","",tblRegister[[#This Row],[Safety stock value]]*CarryRate))</f>
        <v>13224.5533148331</v>
      </c>
      <c r="T12" s="43">
        <f>IF(tblRegister[[#This Row],[Item]]="","",IF(tblRegister[[#This Row],[Safety stock]]="","",tblRegister[[#This Row],[Current safety stock]]-tblRegister[[#This Row],[Safety stock]]))</f>
        <v>-40.9621921691518</v>
      </c>
      <c r="U12" s="43">
        <f>IF(tblRegister[[#This Row],[Item]]="","",IF(tblRegister[[#This Row],[Safety stock]]="","",ROUND((tblRegister[[#This Row],[Current safety stock]]-tblRegister[[#This Row],[Safety stock]])*tblRegister[[#This Row],[Unit cost]],2)))</f>
        <v>-52431.61</v>
      </c>
      <c r="V12" s="44" t="str">
        <f>IF(tblRegister[[#This Row],[Item]]="","",IF(tblRegister[[#This Row],[Safety stock]]="","",IF(tblRegister[[#This Row],[Current safety stock]]&lt;tblRegister[[#This Row],[Safety stock]]*(1-Tolerance),"Below target",IF(tblRegister[[#This Row],[Current safety stock]]&gt;tblRegister[[#This Row],[Safety stock]]*(1+Tolerance),"Above target","On target"))))</f>
        <v>Below target</v>
      </c>
      <c r="W12"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v>
      </c>
      <c r="X12"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2" s="28" t="s">
        <v>123</v>
      </c>
    </row>
    <row r="13" spans="1:25" x14ac:dyDescent="0.25">
      <c r="B13" s="28" t="s">
        <v>124</v>
      </c>
      <c r="C13" s="28" t="s">
        <v>125</v>
      </c>
      <c r="D13" s="28" t="s">
        <v>78</v>
      </c>
      <c r="E13" s="36">
        <v>88</v>
      </c>
      <c r="F13" s="37">
        <v>55</v>
      </c>
      <c r="G13" s="37">
        <v>10.5</v>
      </c>
      <c r="H13" s="37">
        <v>3</v>
      </c>
      <c r="I13" s="37">
        <v>0.5</v>
      </c>
      <c r="J13" s="38">
        <v>165</v>
      </c>
      <c r="K13" s="39">
        <f>IF(tblRegister[[#This Row],[Item]]="","",IFERROR(INDEX(tblClasses[Cycle service level],MATCH(tblRegister[[#This Row],[Class]],tblClasses[Class],0)),""))</f>
        <v>0.98</v>
      </c>
      <c r="L13" s="33">
        <f>IF(tblRegister[[#This Row],[Item]]="","",IF(tblRegister[[#This Row],[Service level]]="","",_xlfn.NORM.S.INV(tblRegister[[#This Row],[Service level]])))</f>
        <v>2.05374891063182</v>
      </c>
      <c r="M13" s="40">
        <f>IF(tblRegister[[#This Row],[Item]]="","",tblRegister[[#This Row],[Avg demand]]*tblRegister[[#This Row],[Lead time]])</f>
        <v>165</v>
      </c>
      <c r="N13" s="41">
        <f>IF(tblRegister[[#This Row],[Item]]="","",SQRT(tblRegister[[#This Row],[Lead time]]*tblRegister[[#This Row],[Demand std dev]]^2+tblRegister[[#This Row],[Avg demand]]^2*tblRegister[[#This Row],[Lead time std dev]]^2))</f>
        <v>32.9696830436691</v>
      </c>
      <c r="O13" s="40">
        <f>IF(tblRegister[[#This Row],[Item]]="","",IF(tblRegister[[#This Row],[Z factor]]="","",tblRegister[[#This Row],[Z factor]]*tblRegister[[#This Row],[Std dev of LT demand]]))</f>
        <v>67.7114506348118</v>
      </c>
      <c r="P13" s="40">
        <f>IF(tblRegister[[#This Row],[Item]]="","",IF(tblRegister[[#This Row],[Safety stock]]="","",tblRegister[[#This Row],[Lead-time demand]]+tblRegister[[#This Row],[Safety stock]]))</f>
        <v>232.711450634812</v>
      </c>
      <c r="Q13" s="42">
        <f>IF(tblRegister[[#This Row],[Item]]="","",IF(tblRegister[[#This Row],[Std dev of LT demand]]&gt;0,(tblRegister[[#This Row],[Avg demand]]*tblRegister[[#This Row],[Lead time std dev]])^2/tblRegister[[#This Row],[Std dev of LT demand]]^2,""))</f>
        <v>0.695722171113156</v>
      </c>
      <c r="R13" s="40">
        <f>IF(tblRegister[[#This Row],[Item]]="","",IF(tblRegister[[#This Row],[Safety stock]]="","",tblRegister[[#This Row],[Safety stock]]*tblRegister[[#This Row],[Unit cost]]))</f>
        <v>5958.60765586344</v>
      </c>
      <c r="S13" s="40">
        <f>IF(tblRegister[[#This Row],[Item]]="","",IF(tblRegister[[#This Row],[Safety stock]]="","",tblRegister[[#This Row],[Safety stock value]]*CarryRate))</f>
        <v>1310.89368428996</v>
      </c>
      <c r="T13" s="43">
        <f>IF(tblRegister[[#This Row],[Item]]="","",IF(tblRegister[[#This Row],[Safety stock]]="","",tblRegister[[#This Row],[Current safety stock]]-tblRegister[[#This Row],[Safety stock]]))</f>
        <v>97.2885493651882</v>
      </c>
      <c r="U13" s="43">
        <f>IF(tblRegister[[#This Row],[Item]]="","",IF(tblRegister[[#This Row],[Safety stock]]="","",ROUND((tblRegister[[#This Row],[Current safety stock]]-tblRegister[[#This Row],[Safety stock]])*tblRegister[[#This Row],[Unit cost]],2)))</f>
        <v>8561.39</v>
      </c>
      <c r="V13"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13"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6</v>
      </c>
      <c r="X13"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3" s="28" t="s">
        <v>118</v>
      </c>
    </row>
    <row r="14" spans="1:25" x14ac:dyDescent="0.25">
      <c r="B14" s="28" t="s">
        <v>126</v>
      </c>
      <c r="C14" s="28" t="s">
        <v>127</v>
      </c>
      <c r="D14" s="28" t="s">
        <v>80</v>
      </c>
      <c r="E14" s="36">
        <v>6.4</v>
      </c>
      <c r="F14" s="37">
        <v>220</v>
      </c>
      <c r="G14" s="37">
        <v>53.9</v>
      </c>
      <c r="H14" s="37">
        <v>2</v>
      </c>
      <c r="I14" s="37">
        <v>0.3</v>
      </c>
      <c r="J14" s="38">
        <v>660</v>
      </c>
      <c r="K14" s="39">
        <f>IF(tblRegister[[#This Row],[Item]]="","",IFERROR(INDEX(tblClasses[Cycle service level],MATCH(tblRegister[[#This Row],[Class]],tblClasses[Class],0)),""))</f>
        <v>0.95</v>
      </c>
      <c r="L14" s="33">
        <f>IF(tblRegister[[#This Row],[Item]]="","",IF(tblRegister[[#This Row],[Service level]]="","",_xlfn.NORM.S.INV(tblRegister[[#This Row],[Service level]])))</f>
        <v>1.64485362695147</v>
      </c>
      <c r="M14" s="40">
        <f>IF(tblRegister[[#This Row],[Item]]="","",tblRegister[[#This Row],[Avg demand]]*tblRegister[[#This Row],[Lead time]])</f>
        <v>440</v>
      </c>
      <c r="N14" s="41">
        <f>IF(tblRegister[[#This Row],[Item]]="","",SQRT(tblRegister[[#This Row],[Lead time]]*tblRegister[[#This Row],[Demand std dev]]^2+tblRegister[[#This Row],[Avg demand]]^2*tblRegister[[#This Row],[Lead time std dev]]^2))</f>
        <v>100.828666558673</v>
      </c>
      <c r="O14" s="40">
        <f>IF(tblRegister[[#This Row],[Item]]="","",IF(tblRegister[[#This Row],[Z factor]]="","",tblRegister[[#This Row],[Z factor]]*tblRegister[[#This Row],[Std dev of LT demand]]))</f>
        <v>165.848397889713</v>
      </c>
      <c r="P14" s="40">
        <f>IF(tblRegister[[#This Row],[Item]]="","",IF(tblRegister[[#This Row],[Safety stock]]="","",tblRegister[[#This Row],[Lead-time demand]]+tblRegister[[#This Row],[Safety stock]]))</f>
        <v>605.848397889713</v>
      </c>
      <c r="Q14" s="42">
        <f>IF(tblRegister[[#This Row],[Item]]="","",IF(tblRegister[[#This Row],[Std dev of LT demand]]&gt;0,(tblRegister[[#This Row],[Avg demand]]*tblRegister[[#This Row],[Lead time std dev]])^2/tblRegister[[#This Row],[Std dev of LT demand]]^2,""))</f>
        <v>0.428469412044751</v>
      </c>
      <c r="R14" s="40">
        <f>IF(tblRegister[[#This Row],[Item]]="","",IF(tblRegister[[#This Row],[Safety stock]]="","",tblRegister[[#This Row],[Safety stock]]*tblRegister[[#This Row],[Unit cost]]))</f>
        <v>1061.42974649417</v>
      </c>
      <c r="S14" s="40">
        <f>IF(tblRegister[[#This Row],[Item]]="","",IF(tblRegister[[#This Row],[Safety stock]]="","",tblRegister[[#This Row],[Safety stock value]]*CarryRate))</f>
        <v>233.514544228716</v>
      </c>
      <c r="T14" s="43">
        <f>IF(tblRegister[[#This Row],[Item]]="","",IF(tblRegister[[#This Row],[Safety stock]]="","",tblRegister[[#This Row],[Current safety stock]]-tblRegister[[#This Row],[Safety stock]]))</f>
        <v>494.151602110287</v>
      </c>
      <c r="U14" s="43">
        <f>IF(tblRegister[[#This Row],[Item]]="","",IF(tblRegister[[#This Row],[Safety stock]]="","",ROUND((tblRegister[[#This Row],[Current safety stock]]-tblRegister[[#This Row],[Safety stock]])*tblRegister[[#This Row],[Unit cost]],2)))</f>
        <v>3162.57</v>
      </c>
      <c r="V14"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14"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9</v>
      </c>
      <c r="X14"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4" s="28" t="s">
        <v>118</v>
      </c>
    </row>
    <row r="15" spans="1:25" x14ac:dyDescent="0.25">
      <c r="B15" s="28" t="s">
        <v>128</v>
      </c>
      <c r="C15" s="28" t="s">
        <v>129</v>
      </c>
      <c r="D15" s="28" t="s">
        <v>80</v>
      </c>
      <c r="E15" s="36">
        <v>8.9</v>
      </c>
      <c r="F15" s="37">
        <v>160</v>
      </c>
      <c r="G15" s="37">
        <v>42.2</v>
      </c>
      <c r="H15" s="37">
        <v>2</v>
      </c>
      <c r="I15" s="37">
        <v>0.3</v>
      </c>
      <c r="J15" s="38">
        <v>480</v>
      </c>
      <c r="K15" s="39">
        <f>IF(tblRegister[[#This Row],[Item]]="","",IFERROR(INDEX(tblClasses[Cycle service level],MATCH(tblRegister[[#This Row],[Class]],tblClasses[Class],0)),""))</f>
        <v>0.95</v>
      </c>
      <c r="L15" s="33">
        <f>IF(tblRegister[[#This Row],[Item]]="","",IF(tblRegister[[#This Row],[Service level]]="","",_xlfn.NORM.S.INV(tblRegister[[#This Row],[Service level]])))</f>
        <v>1.64485362695147</v>
      </c>
      <c r="M15" s="40">
        <f>IF(tblRegister[[#This Row],[Item]]="","",tblRegister[[#This Row],[Avg demand]]*tblRegister[[#This Row],[Lead time]])</f>
        <v>320</v>
      </c>
      <c r="N15" s="41">
        <f>IF(tblRegister[[#This Row],[Item]]="","",SQRT(tblRegister[[#This Row],[Lead time]]*tblRegister[[#This Row],[Demand std dev]]^2+tblRegister[[#This Row],[Avg demand]]^2*tblRegister[[#This Row],[Lead time std dev]]^2))</f>
        <v>76.5877274764045</v>
      </c>
      <c r="O15" s="40">
        <f>IF(tblRegister[[#This Row],[Item]]="","",IF(tblRegister[[#This Row],[Z factor]]="","",tblRegister[[#This Row],[Z factor]]*tblRegister[[#This Row],[Std dev of LT demand]]))</f>
        <v>125.975601319535</v>
      </c>
      <c r="P15" s="40">
        <f>IF(tblRegister[[#This Row],[Item]]="","",IF(tblRegister[[#This Row],[Safety stock]]="","",tblRegister[[#This Row],[Lead-time demand]]+tblRegister[[#This Row],[Safety stock]]))</f>
        <v>445.975601319535</v>
      </c>
      <c r="Q15" s="42">
        <f>IF(tblRegister[[#This Row],[Item]]="","",IF(tblRegister[[#This Row],[Std dev of LT demand]]&gt;0,(tblRegister[[#This Row],[Avg demand]]*tblRegister[[#This Row],[Lead time std dev]])^2/tblRegister[[#This Row],[Std dev of LT demand]]^2,""))</f>
        <v>0.392793333424258</v>
      </c>
      <c r="R15" s="40">
        <f>IF(tblRegister[[#This Row],[Item]]="","",IF(tblRegister[[#This Row],[Safety stock]]="","",tblRegister[[#This Row],[Safety stock]]*tblRegister[[#This Row],[Unit cost]]))</f>
        <v>1121.18285174386</v>
      </c>
      <c r="S15" s="40">
        <f>IF(tblRegister[[#This Row],[Item]]="","",IF(tblRegister[[#This Row],[Safety stock]]="","",tblRegister[[#This Row],[Safety stock value]]*CarryRate))</f>
        <v>246.660227383649</v>
      </c>
      <c r="T15" s="43">
        <f>IF(tblRegister[[#This Row],[Item]]="","",IF(tblRegister[[#This Row],[Safety stock]]="","",tblRegister[[#This Row],[Current safety stock]]-tblRegister[[#This Row],[Safety stock]]))</f>
        <v>354.024398680465</v>
      </c>
      <c r="U15" s="43">
        <f>IF(tblRegister[[#This Row],[Item]]="","",IF(tblRegister[[#This Row],[Safety stock]]="","",ROUND((tblRegister[[#This Row],[Current safety stock]]-tblRegister[[#This Row],[Safety stock]])*tblRegister[[#This Row],[Unit cost]],2)))</f>
        <v>3150.82</v>
      </c>
      <c r="V15"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15"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10</v>
      </c>
      <c r="X15"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5" s="28" t="s">
        <v>118</v>
      </c>
    </row>
    <row r="16" spans="1:25" x14ac:dyDescent="0.25">
      <c r="B16" s="28" t="s">
        <v>130</v>
      </c>
      <c r="C16" s="28" t="s">
        <v>131</v>
      </c>
      <c r="D16" s="28" t="s">
        <v>80</v>
      </c>
      <c r="E16" s="36">
        <v>34</v>
      </c>
      <c r="F16" s="37">
        <v>40</v>
      </c>
      <c r="G16" s="37">
        <v>16</v>
      </c>
      <c r="H16" s="37">
        <v>5</v>
      </c>
      <c r="I16" s="37">
        <v>1</v>
      </c>
      <c r="J16" s="38">
        <v>90</v>
      </c>
      <c r="K16" s="39">
        <f>IF(tblRegister[[#This Row],[Item]]="","",IFERROR(INDEX(tblClasses[Cycle service level],MATCH(tblRegister[[#This Row],[Class]],tblClasses[Class],0)),""))</f>
        <v>0.95</v>
      </c>
      <c r="L16" s="33">
        <f>IF(tblRegister[[#This Row],[Item]]="","",IF(tblRegister[[#This Row],[Service level]]="","",_xlfn.NORM.S.INV(tblRegister[[#This Row],[Service level]])))</f>
        <v>1.64485362695147</v>
      </c>
      <c r="M16" s="40">
        <f>IF(tblRegister[[#This Row],[Item]]="","",tblRegister[[#This Row],[Avg demand]]*tblRegister[[#This Row],[Lead time]])</f>
        <v>200</v>
      </c>
      <c r="N16" s="41">
        <f>IF(tblRegister[[#This Row],[Item]]="","",SQRT(tblRegister[[#This Row],[Lead time]]*tblRegister[[#This Row],[Demand std dev]]^2+tblRegister[[#This Row],[Avg demand]]^2*tblRegister[[#This Row],[Lead time std dev]]^2))</f>
        <v>53.665631459995</v>
      </c>
      <c r="O16" s="40">
        <f>IF(tblRegister[[#This Row],[Item]]="","",IF(tblRegister[[#This Row],[Z factor]]="","",tblRegister[[#This Row],[Z factor]]*tblRegister[[#This Row],[Std dev of LT demand]]))</f>
        <v>88.2721085496137</v>
      </c>
      <c r="P16" s="40">
        <f>IF(tblRegister[[#This Row],[Item]]="","",IF(tblRegister[[#This Row],[Safety stock]]="","",tblRegister[[#This Row],[Lead-time demand]]+tblRegister[[#This Row],[Safety stock]]))</f>
        <v>288.272108549614</v>
      </c>
      <c r="Q16" s="42">
        <f>IF(tblRegister[[#This Row],[Item]]="","",IF(tblRegister[[#This Row],[Std dev of LT demand]]&gt;0,(tblRegister[[#This Row],[Avg demand]]*tblRegister[[#This Row],[Lead time std dev]])^2/tblRegister[[#This Row],[Std dev of LT demand]]^2,""))</f>
        <v>0.555555555555556</v>
      </c>
      <c r="R16" s="40">
        <f>IF(tblRegister[[#This Row],[Item]]="","",IF(tblRegister[[#This Row],[Safety stock]]="","",tblRegister[[#This Row],[Safety stock]]*tblRegister[[#This Row],[Unit cost]]))</f>
        <v>3001.25169068687</v>
      </c>
      <c r="S16" s="40">
        <f>IF(tblRegister[[#This Row],[Item]]="","",IF(tblRegister[[#This Row],[Safety stock]]="","",tblRegister[[#This Row],[Safety stock value]]*CarryRate))</f>
        <v>660.27537195111</v>
      </c>
      <c r="T16" s="43">
        <f>IF(tblRegister[[#This Row],[Item]]="","",IF(tblRegister[[#This Row],[Safety stock]]="","",tblRegister[[#This Row],[Current safety stock]]-tblRegister[[#This Row],[Safety stock]]))</f>
        <v>1.72789145038631</v>
      </c>
      <c r="U16" s="43">
        <f>IF(tblRegister[[#This Row],[Item]]="","",IF(tblRegister[[#This Row],[Safety stock]]="","",ROUND((tblRegister[[#This Row],[Current safety stock]]-tblRegister[[#This Row],[Safety stock]])*tblRegister[[#This Row],[Unit cost]],2)))</f>
        <v>58.75</v>
      </c>
      <c r="V16" s="44" t="str">
        <f>IF(tblRegister[[#This Row],[Item]]="","",IF(tblRegister[[#This Row],[Safety stock]]="","",IF(tblRegister[[#This Row],[Current safety stock]]&lt;tblRegister[[#This Row],[Safety stock]]*(1-Tolerance),"Below target",IF(tblRegister[[#This Row],[Current safety stock]]&gt;tblRegister[[#This Row],[Safety stock]]*(1+Tolerance),"Above target","On target"))))</f>
        <v>On target</v>
      </c>
      <c r="W16"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24</v>
      </c>
      <c r="X16"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6" s="28" t="s">
        <v>115</v>
      </c>
    </row>
    <row r="17" spans="2:25" x14ac:dyDescent="0.25">
      <c r="B17" s="28" t="s">
        <v>132</v>
      </c>
      <c r="C17" s="28" t="s">
        <v>133</v>
      </c>
      <c r="D17" s="28" t="s">
        <v>80</v>
      </c>
      <c r="E17" s="36">
        <v>12.5</v>
      </c>
      <c r="F17" s="37">
        <v>140</v>
      </c>
      <c r="G17" s="37">
        <v>43.6</v>
      </c>
      <c r="H17" s="37">
        <v>3</v>
      </c>
      <c r="I17" s="37">
        <v>0.5</v>
      </c>
      <c r="J17" s="38">
        <v>420</v>
      </c>
      <c r="K17" s="39">
        <f>IF(tblRegister[[#This Row],[Item]]="","",IFERROR(INDEX(tblClasses[Cycle service level],MATCH(tblRegister[[#This Row],[Class]],tblClasses[Class],0)),""))</f>
        <v>0.95</v>
      </c>
      <c r="L17" s="33">
        <f>IF(tblRegister[[#This Row],[Item]]="","",IF(tblRegister[[#This Row],[Service level]]="","",_xlfn.NORM.S.INV(tblRegister[[#This Row],[Service level]])))</f>
        <v>1.64485362695147</v>
      </c>
      <c r="M17" s="40">
        <f>IF(tblRegister[[#This Row],[Item]]="","",tblRegister[[#This Row],[Avg demand]]*tblRegister[[#This Row],[Lead time]])</f>
        <v>420</v>
      </c>
      <c r="N17" s="41">
        <f>IF(tblRegister[[#This Row],[Item]]="","",SQRT(tblRegister[[#This Row],[Lead time]]*tblRegister[[#This Row],[Demand std dev]]^2+tblRegister[[#This Row],[Avg demand]]^2*tblRegister[[#This Row],[Lead time std dev]]^2))</f>
        <v>102.970286976389</v>
      </c>
      <c r="O17" s="40">
        <f>IF(tblRegister[[#This Row],[Item]]="","",IF(tblRegister[[#This Row],[Z factor]]="","",tblRegister[[#This Row],[Z factor]]*tblRegister[[#This Row],[Std dev of LT demand]]))</f>
        <v>169.371050001348</v>
      </c>
      <c r="P17" s="40">
        <f>IF(tblRegister[[#This Row],[Item]]="","",IF(tblRegister[[#This Row],[Safety stock]]="","",tblRegister[[#This Row],[Lead-time demand]]+tblRegister[[#This Row],[Safety stock]]))</f>
        <v>589.371050001348</v>
      </c>
      <c r="Q17" s="42">
        <f>IF(tblRegister[[#This Row],[Item]]="","",IF(tblRegister[[#This Row],[Std dev of LT demand]]&gt;0,(tblRegister[[#This Row],[Avg demand]]*tblRegister[[#This Row],[Lead time std dev]])^2/tblRegister[[#This Row],[Std dev of LT demand]]^2,""))</f>
        <v>0.46213858876079</v>
      </c>
      <c r="R17" s="40">
        <f>IF(tblRegister[[#This Row],[Item]]="","",IF(tblRegister[[#This Row],[Safety stock]]="","",tblRegister[[#This Row],[Safety stock]]*tblRegister[[#This Row],[Unit cost]]))</f>
        <v>2117.13812501685</v>
      </c>
      <c r="S17" s="40">
        <f>IF(tblRegister[[#This Row],[Item]]="","",IF(tblRegister[[#This Row],[Safety stock]]="","",tblRegister[[#This Row],[Safety stock value]]*CarryRate))</f>
        <v>465.770387503707</v>
      </c>
      <c r="T17" s="43">
        <f>IF(tblRegister[[#This Row],[Item]]="","",IF(tblRegister[[#This Row],[Safety stock]]="","",tblRegister[[#This Row],[Current safety stock]]-tblRegister[[#This Row],[Safety stock]]))</f>
        <v>250.628949998652</v>
      </c>
      <c r="U17" s="43">
        <f>IF(tblRegister[[#This Row],[Item]]="","",IF(tblRegister[[#This Row],[Safety stock]]="","",ROUND((tblRegister[[#This Row],[Current safety stock]]-tblRegister[[#This Row],[Safety stock]])*tblRegister[[#This Row],[Unit cost]],2)))</f>
        <v>3132.86</v>
      </c>
      <c r="V17"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17"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11</v>
      </c>
      <c r="X17"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7" s="28" t="s">
        <v>118</v>
      </c>
    </row>
    <row r="18" spans="2:25" x14ac:dyDescent="0.25">
      <c r="B18" s="28" t="s">
        <v>134</v>
      </c>
      <c r="C18" s="28" t="s">
        <v>135</v>
      </c>
      <c r="D18" s="28" t="s">
        <v>80</v>
      </c>
      <c r="E18" s="36">
        <v>210</v>
      </c>
      <c r="F18" s="37">
        <v>10</v>
      </c>
      <c r="G18" s="37">
        <v>5.6</v>
      </c>
      <c r="H18" s="37">
        <v>14</v>
      </c>
      <c r="I18" s="37">
        <v>5</v>
      </c>
      <c r="J18" s="38">
        <v>30</v>
      </c>
      <c r="K18" s="39">
        <f>IF(tblRegister[[#This Row],[Item]]="","",IFERROR(INDEX(tblClasses[Cycle service level],MATCH(tblRegister[[#This Row],[Class]],tblClasses[Class],0)),""))</f>
        <v>0.95</v>
      </c>
      <c r="L18" s="33">
        <f>IF(tblRegister[[#This Row],[Item]]="","",IF(tblRegister[[#This Row],[Service level]]="","",_xlfn.NORM.S.INV(tblRegister[[#This Row],[Service level]])))</f>
        <v>1.64485362695147</v>
      </c>
      <c r="M18" s="40">
        <f>IF(tblRegister[[#This Row],[Item]]="","",tblRegister[[#This Row],[Avg demand]]*tblRegister[[#This Row],[Lead time]])</f>
        <v>140</v>
      </c>
      <c r="N18" s="41">
        <f>IF(tblRegister[[#This Row],[Item]]="","",SQRT(tblRegister[[#This Row],[Lead time]]*tblRegister[[#This Row],[Demand std dev]]^2+tblRegister[[#This Row],[Avg demand]]^2*tblRegister[[#This Row],[Lead time std dev]]^2))</f>
        <v>54.2129135907673</v>
      </c>
      <c r="O18" s="40">
        <f>IF(tblRegister[[#This Row],[Item]]="","",IF(tblRegister[[#This Row],[Z factor]]="","",tblRegister[[#This Row],[Z factor]]*tblRegister[[#This Row],[Std dev of LT demand]]))</f>
        <v>89.1723075473803</v>
      </c>
      <c r="P18" s="40">
        <f>IF(tblRegister[[#This Row],[Item]]="","",IF(tblRegister[[#This Row],[Safety stock]]="","",tblRegister[[#This Row],[Lead-time demand]]+tblRegister[[#This Row],[Safety stock]]))</f>
        <v>229.17230754738</v>
      </c>
      <c r="Q18" s="42">
        <f>IF(tblRegister[[#This Row],[Item]]="","",IF(tblRegister[[#This Row],[Std dev of LT demand]]&gt;0,(tblRegister[[#This Row],[Avg demand]]*tblRegister[[#This Row],[Lead time std dev]])^2/tblRegister[[#This Row],[Std dev of LT demand]]^2,""))</f>
        <v>0.850617888834449</v>
      </c>
      <c r="R18" s="40">
        <f>IF(tblRegister[[#This Row],[Item]]="","",IF(tblRegister[[#This Row],[Safety stock]]="","",tblRegister[[#This Row],[Safety stock]]*tblRegister[[#This Row],[Unit cost]]))</f>
        <v>18726.1845849499</v>
      </c>
      <c r="S18" s="40">
        <f>IF(tblRegister[[#This Row],[Item]]="","",IF(tblRegister[[#This Row],[Safety stock]]="","",tblRegister[[#This Row],[Safety stock value]]*CarryRate))</f>
        <v>4119.76060868897</v>
      </c>
      <c r="T18" s="43">
        <f>IF(tblRegister[[#This Row],[Item]]="","",IF(tblRegister[[#This Row],[Safety stock]]="","",tblRegister[[#This Row],[Current safety stock]]-tblRegister[[#This Row],[Safety stock]]))</f>
        <v>-59.1723075473803</v>
      </c>
      <c r="U18" s="43">
        <f>IF(tblRegister[[#This Row],[Item]]="","",IF(tblRegister[[#This Row],[Safety stock]]="","",ROUND((tblRegister[[#This Row],[Current safety stock]]-tblRegister[[#This Row],[Safety stock]])*tblRegister[[#This Row],[Unit cost]],2)))</f>
        <v>-12426.18</v>
      </c>
      <c r="V18" s="44" t="str">
        <f>IF(tblRegister[[#This Row],[Item]]="","",IF(tblRegister[[#This Row],[Safety stock]]="","",IF(tblRegister[[#This Row],[Current safety stock]]&lt;tblRegister[[#This Row],[Safety stock]]*(1-Tolerance),"Below target",IF(tblRegister[[#This Row],[Current safety stock]]&gt;tblRegister[[#This Row],[Safety stock]]*(1+Tolerance),"Above target","On target"))))</f>
        <v>Below target</v>
      </c>
      <c r="W18"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4</v>
      </c>
      <c r="X18"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8" s="28" t="s">
        <v>136</v>
      </c>
    </row>
    <row r="19" spans="2:25" x14ac:dyDescent="0.25">
      <c r="B19" s="28" t="s">
        <v>137</v>
      </c>
      <c r="C19" s="28" t="s">
        <v>138</v>
      </c>
      <c r="D19" s="28" t="s">
        <v>80</v>
      </c>
      <c r="E19" s="36">
        <v>75</v>
      </c>
      <c r="F19" s="37">
        <v>30</v>
      </c>
      <c r="G19" s="37">
        <v>9.1</v>
      </c>
      <c r="H19" s="37">
        <v>4</v>
      </c>
      <c r="I19" s="37">
        <v>0.8</v>
      </c>
      <c r="J19" s="38">
        <v>90</v>
      </c>
      <c r="K19" s="39">
        <f>IF(tblRegister[[#This Row],[Item]]="","",IFERROR(INDEX(tblClasses[Cycle service level],MATCH(tblRegister[[#This Row],[Class]],tblClasses[Class],0)),""))</f>
        <v>0.95</v>
      </c>
      <c r="L19" s="33">
        <f>IF(tblRegister[[#This Row],[Item]]="","",IF(tblRegister[[#This Row],[Service level]]="","",_xlfn.NORM.S.INV(tblRegister[[#This Row],[Service level]])))</f>
        <v>1.64485362695147</v>
      </c>
      <c r="M19" s="40">
        <f>IF(tblRegister[[#This Row],[Item]]="","",tblRegister[[#This Row],[Avg demand]]*tblRegister[[#This Row],[Lead time]])</f>
        <v>120</v>
      </c>
      <c r="N19" s="41">
        <f>IF(tblRegister[[#This Row],[Item]]="","",SQRT(tblRegister[[#This Row],[Lead time]]*tblRegister[[#This Row],[Demand std dev]]^2+tblRegister[[#This Row],[Avg demand]]^2*tblRegister[[#This Row],[Lead time std dev]]^2))</f>
        <v>30.1204249638016</v>
      </c>
      <c r="O19" s="40">
        <f>IF(tblRegister[[#This Row],[Item]]="","",IF(tblRegister[[#This Row],[Z factor]]="","",tblRegister[[#This Row],[Z factor]]*tblRegister[[#This Row],[Std dev of LT demand]]))</f>
        <v>49.5436902470286</v>
      </c>
      <c r="P19" s="40">
        <f>IF(tblRegister[[#This Row],[Item]]="","",IF(tblRegister[[#This Row],[Safety stock]]="","",tblRegister[[#This Row],[Lead-time demand]]+tblRegister[[#This Row],[Safety stock]]))</f>
        <v>169.543690247029</v>
      </c>
      <c r="Q19" s="42">
        <f>IF(tblRegister[[#This Row],[Item]]="","",IF(tblRegister[[#This Row],[Std dev of LT demand]]&gt;0,(tblRegister[[#This Row],[Avg demand]]*tblRegister[[#This Row],[Lead time std dev]])^2/tblRegister[[#This Row],[Std dev of LT demand]]^2,""))</f>
        <v>0.634892641417927</v>
      </c>
      <c r="R19" s="40">
        <f>IF(tblRegister[[#This Row],[Item]]="","",IF(tblRegister[[#This Row],[Safety stock]]="","",tblRegister[[#This Row],[Safety stock]]*tblRegister[[#This Row],[Unit cost]]))</f>
        <v>3715.77676852715</v>
      </c>
      <c r="S19" s="40">
        <f>IF(tblRegister[[#This Row],[Item]]="","",IF(tblRegister[[#This Row],[Safety stock]]="","",tblRegister[[#This Row],[Safety stock value]]*CarryRate))</f>
        <v>817.470889075973</v>
      </c>
      <c r="T19" s="43">
        <f>IF(tblRegister[[#This Row],[Item]]="","",IF(tblRegister[[#This Row],[Safety stock]]="","",tblRegister[[#This Row],[Current safety stock]]-tblRegister[[#This Row],[Safety stock]]))</f>
        <v>40.4563097529714</v>
      </c>
      <c r="U19" s="43">
        <f>IF(tblRegister[[#This Row],[Item]]="","",IF(tblRegister[[#This Row],[Safety stock]]="","",ROUND((tblRegister[[#This Row],[Current safety stock]]-tblRegister[[#This Row],[Safety stock]])*tblRegister[[#This Row],[Unit cost]],2)))</f>
        <v>3034.22</v>
      </c>
      <c r="V19"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19"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12</v>
      </c>
      <c r="X19"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19" s="28" t="s">
        <v>118</v>
      </c>
    </row>
    <row r="20" spans="2:25" x14ac:dyDescent="0.25">
      <c r="B20" s="28" t="s">
        <v>139</v>
      </c>
      <c r="C20" s="28" t="s">
        <v>140</v>
      </c>
      <c r="D20" s="28" t="s">
        <v>80</v>
      </c>
      <c r="E20" s="36">
        <v>18</v>
      </c>
      <c r="F20" s="37">
        <v>35</v>
      </c>
      <c r="G20" s="37">
        <v>10.4</v>
      </c>
      <c r="H20" s="37">
        <v>6</v>
      </c>
      <c r="I20" s="37">
        <v>1</v>
      </c>
      <c r="J20" s="38">
        <v>75</v>
      </c>
      <c r="K20" s="39">
        <f>IF(tblRegister[[#This Row],[Item]]="","",IFERROR(INDEX(tblClasses[Cycle service level],MATCH(tblRegister[[#This Row],[Class]],tblClasses[Class],0)),""))</f>
        <v>0.95</v>
      </c>
      <c r="L20" s="33">
        <f>IF(tblRegister[[#This Row],[Item]]="","",IF(tblRegister[[#This Row],[Service level]]="","",_xlfn.NORM.S.INV(tblRegister[[#This Row],[Service level]])))</f>
        <v>1.64485362695147</v>
      </c>
      <c r="M20" s="40">
        <f>IF(tblRegister[[#This Row],[Item]]="","",tblRegister[[#This Row],[Avg demand]]*tblRegister[[#This Row],[Lead time]])</f>
        <v>210</v>
      </c>
      <c r="N20" s="41">
        <f>IF(tblRegister[[#This Row],[Item]]="","",SQRT(tblRegister[[#This Row],[Lead time]]*tblRegister[[#This Row],[Demand std dev]]^2+tblRegister[[#This Row],[Avg demand]]^2*tblRegister[[#This Row],[Lead time std dev]]^2))</f>
        <v>43.2892596379287</v>
      </c>
      <c r="O20" s="40">
        <f>IF(tblRegister[[#This Row],[Item]]="","",IF(tblRegister[[#This Row],[Z factor]]="","",tblRegister[[#This Row],[Z factor]]*tblRegister[[#This Row],[Std dev of LT demand]]))</f>
        <v>71.2044957234909</v>
      </c>
      <c r="P20" s="40">
        <f>IF(tblRegister[[#This Row],[Item]]="","",IF(tblRegister[[#This Row],[Safety stock]]="","",tblRegister[[#This Row],[Lead-time demand]]+tblRegister[[#This Row],[Safety stock]]))</f>
        <v>281.204495723491</v>
      </c>
      <c r="Q20" s="42">
        <f>IF(tblRegister[[#This Row],[Item]]="","",IF(tblRegister[[#This Row],[Std dev of LT demand]]&gt;0,(tblRegister[[#This Row],[Avg demand]]*tblRegister[[#This Row],[Lead time std dev]])^2/tblRegister[[#This Row],[Std dev of LT demand]]^2,""))</f>
        <v>0.653695916668446</v>
      </c>
      <c r="R20" s="40">
        <f>IF(tblRegister[[#This Row],[Item]]="","",IF(tblRegister[[#This Row],[Safety stock]]="","",tblRegister[[#This Row],[Safety stock]]*tblRegister[[#This Row],[Unit cost]]))</f>
        <v>1281.68092302284</v>
      </c>
      <c r="S20" s="40">
        <f>IF(tblRegister[[#This Row],[Item]]="","",IF(tblRegister[[#This Row],[Safety stock]]="","",tblRegister[[#This Row],[Safety stock value]]*CarryRate))</f>
        <v>281.969803065024</v>
      </c>
      <c r="T20" s="43">
        <f>IF(tblRegister[[#This Row],[Item]]="","",IF(tblRegister[[#This Row],[Safety stock]]="","",tblRegister[[#This Row],[Current safety stock]]-tblRegister[[#This Row],[Safety stock]]))</f>
        <v>3.79550427650909</v>
      </c>
      <c r="U20" s="43">
        <f>IF(tblRegister[[#This Row],[Item]]="","",IF(tblRegister[[#This Row],[Safety stock]]="","",ROUND((tblRegister[[#This Row],[Current safety stock]]-tblRegister[[#This Row],[Safety stock]])*tblRegister[[#This Row],[Unit cost]],2)))</f>
        <v>68.32</v>
      </c>
      <c r="V20" s="44" t="str">
        <f>IF(tblRegister[[#This Row],[Item]]="","",IF(tblRegister[[#This Row],[Safety stock]]="","",IF(tblRegister[[#This Row],[Current safety stock]]&lt;tblRegister[[#This Row],[Safety stock]]*(1-Tolerance),"Below target",IF(tblRegister[[#This Row],[Current safety stock]]&gt;tblRegister[[#This Row],[Safety stock]]*(1+Tolerance),"Above target","On target"))))</f>
        <v>On target</v>
      </c>
      <c r="W20"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23</v>
      </c>
      <c r="X20"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0" s="28" t="s">
        <v>115</v>
      </c>
    </row>
    <row r="21" spans="2:25" x14ac:dyDescent="0.25">
      <c r="B21" s="28" t="s">
        <v>141</v>
      </c>
      <c r="C21" s="28" t="s">
        <v>142</v>
      </c>
      <c r="D21" s="28" t="s">
        <v>80</v>
      </c>
      <c r="E21" s="36">
        <v>26</v>
      </c>
      <c r="F21" s="37">
        <v>70</v>
      </c>
      <c r="G21" s="37">
        <v>22.3</v>
      </c>
      <c r="H21" s="37">
        <v>4</v>
      </c>
      <c r="I21" s="37">
        <v>0.6</v>
      </c>
      <c r="J21" s="38">
        <v>210</v>
      </c>
      <c r="K21" s="39">
        <f>IF(tblRegister[[#This Row],[Item]]="","",IFERROR(INDEX(tblClasses[Cycle service level],MATCH(tblRegister[[#This Row],[Class]],tblClasses[Class],0)),""))</f>
        <v>0.95</v>
      </c>
      <c r="L21" s="33">
        <f>IF(tblRegister[[#This Row],[Item]]="","",IF(tblRegister[[#This Row],[Service level]]="","",_xlfn.NORM.S.INV(tblRegister[[#This Row],[Service level]])))</f>
        <v>1.64485362695147</v>
      </c>
      <c r="M21" s="40">
        <f>IF(tblRegister[[#This Row],[Item]]="","",tblRegister[[#This Row],[Avg demand]]*tblRegister[[#This Row],[Lead time]])</f>
        <v>280</v>
      </c>
      <c r="N21" s="41">
        <f>IF(tblRegister[[#This Row],[Item]]="","",SQRT(tblRegister[[#This Row],[Lead time]]*tblRegister[[#This Row],[Demand std dev]]^2+tblRegister[[#This Row],[Avg demand]]^2*tblRegister[[#This Row],[Lead time std dev]]^2))</f>
        <v>61.2630394283535</v>
      </c>
      <c r="O21" s="40">
        <f>IF(tblRegister[[#This Row],[Item]]="","",IF(tblRegister[[#This Row],[Z factor]]="","",tblRegister[[#This Row],[Z factor]]*tblRegister[[#This Row],[Std dev of LT demand]]))</f>
        <v>100.768732601798</v>
      </c>
      <c r="P21" s="40">
        <f>IF(tblRegister[[#This Row],[Item]]="","",IF(tblRegister[[#This Row],[Safety stock]]="","",tblRegister[[#This Row],[Lead-time demand]]+tblRegister[[#This Row],[Safety stock]]))</f>
        <v>380.768732601798</v>
      </c>
      <c r="Q21" s="42">
        <f>IF(tblRegister[[#This Row],[Item]]="","",IF(tblRegister[[#This Row],[Std dev of LT demand]]&gt;0,(tblRegister[[#This Row],[Avg demand]]*tblRegister[[#This Row],[Lead time std dev]])^2/tblRegister[[#This Row],[Std dev of LT demand]]^2,""))</f>
        <v>0.470003943343742</v>
      </c>
      <c r="R21" s="40">
        <f>IF(tblRegister[[#This Row],[Item]]="","",IF(tblRegister[[#This Row],[Safety stock]]="","",tblRegister[[#This Row],[Safety stock]]*tblRegister[[#This Row],[Unit cost]]))</f>
        <v>2619.98704764676</v>
      </c>
      <c r="S21" s="40">
        <f>IF(tblRegister[[#This Row],[Item]]="","",IF(tblRegister[[#This Row],[Safety stock]]="","",tblRegister[[#This Row],[Safety stock value]]*CarryRate))</f>
        <v>576.397150482286</v>
      </c>
      <c r="T21" s="43">
        <f>IF(tblRegister[[#This Row],[Item]]="","",IF(tblRegister[[#This Row],[Safety stock]]="","",tblRegister[[#This Row],[Current safety stock]]-tblRegister[[#This Row],[Safety stock]]))</f>
        <v>109.231267398202</v>
      </c>
      <c r="U21" s="43">
        <f>IF(tblRegister[[#This Row],[Item]]="","",IF(tblRegister[[#This Row],[Safety stock]]="","",ROUND((tblRegister[[#This Row],[Current safety stock]]-tblRegister[[#This Row],[Safety stock]])*tblRegister[[#This Row],[Unit cost]],2)))</f>
        <v>2840.01</v>
      </c>
      <c r="V21"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1"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13</v>
      </c>
      <c r="X21"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1" s="28" t="s">
        <v>118</v>
      </c>
    </row>
    <row r="22" spans="2:25" x14ac:dyDescent="0.25">
      <c r="B22" s="28" t="s">
        <v>143</v>
      </c>
      <c r="C22" s="28" t="s">
        <v>144</v>
      </c>
      <c r="D22" s="28" t="s">
        <v>82</v>
      </c>
      <c r="E22" s="36">
        <v>3.2</v>
      </c>
      <c r="F22" s="37">
        <v>300</v>
      </c>
      <c r="G22" s="37">
        <v>93.3</v>
      </c>
      <c r="H22" s="37">
        <v>2</v>
      </c>
      <c r="I22" s="37">
        <v>0.2</v>
      </c>
      <c r="J22" s="38">
        <v>900</v>
      </c>
      <c r="K22" s="39">
        <f>IF(tblRegister[[#This Row],[Item]]="","",IFERROR(INDEX(tblClasses[Cycle service level],MATCH(tblRegister[[#This Row],[Class]],tblClasses[Class],0)),""))</f>
        <v>0.9</v>
      </c>
      <c r="L22" s="33">
        <f>IF(tblRegister[[#This Row],[Item]]="","",IF(tblRegister[[#This Row],[Service level]]="","",_xlfn.NORM.S.INV(tblRegister[[#This Row],[Service level]])))</f>
        <v>1.2815515655446</v>
      </c>
      <c r="M22" s="40">
        <f>IF(tblRegister[[#This Row],[Item]]="","",tblRegister[[#This Row],[Avg demand]]*tblRegister[[#This Row],[Lead time]])</f>
        <v>600</v>
      </c>
      <c r="N22" s="41">
        <f>IF(tblRegister[[#This Row],[Item]]="","",SQRT(tblRegister[[#This Row],[Lead time]]*tblRegister[[#This Row],[Demand std dev]]^2+tblRegister[[#This Row],[Avg demand]]^2*tblRegister[[#This Row],[Lead time std dev]]^2))</f>
        <v>144.947507739871</v>
      </c>
      <c r="O22" s="40">
        <f>IF(tblRegister[[#This Row],[Item]]="","",IF(tblRegister[[#This Row],[Z factor]]="","",tblRegister[[#This Row],[Z factor]]*tblRegister[[#This Row],[Std dev of LT demand]]))</f>
        <v>185.75770546582</v>
      </c>
      <c r="P22" s="40">
        <f>IF(tblRegister[[#This Row],[Item]]="","",IF(tblRegister[[#This Row],[Safety stock]]="","",tblRegister[[#This Row],[Lead-time demand]]+tblRegister[[#This Row],[Safety stock]]))</f>
        <v>785.75770546582</v>
      </c>
      <c r="Q22" s="42">
        <f>IF(tblRegister[[#This Row],[Item]]="","",IF(tblRegister[[#This Row],[Std dev of LT demand]]&gt;0,(tblRegister[[#This Row],[Avg demand]]*tblRegister[[#This Row],[Lead time std dev]])^2/tblRegister[[#This Row],[Std dev of LT demand]]^2,""))</f>
        <v>0.171348771857678</v>
      </c>
      <c r="R22" s="40">
        <f>IF(tblRegister[[#This Row],[Item]]="","",IF(tblRegister[[#This Row],[Safety stock]]="","",tblRegister[[#This Row],[Safety stock]]*tblRegister[[#This Row],[Unit cost]]))</f>
        <v>594.424657490624</v>
      </c>
      <c r="S22" s="40">
        <f>IF(tblRegister[[#This Row],[Item]]="","",IF(tblRegister[[#This Row],[Safety stock]]="","",tblRegister[[#This Row],[Safety stock value]]*CarryRate))</f>
        <v>130.773424647937</v>
      </c>
      <c r="T22" s="43">
        <f>IF(tblRegister[[#This Row],[Item]]="","",IF(tblRegister[[#This Row],[Safety stock]]="","",tblRegister[[#This Row],[Current safety stock]]-tblRegister[[#This Row],[Safety stock]]))</f>
        <v>714.24229453418</v>
      </c>
      <c r="U22" s="43">
        <f>IF(tblRegister[[#This Row],[Item]]="","",IF(tblRegister[[#This Row],[Safety stock]]="","",ROUND((tblRegister[[#This Row],[Current safety stock]]-tblRegister[[#This Row],[Safety stock]])*tblRegister[[#This Row],[Unit cost]],2)))</f>
        <v>2285.58</v>
      </c>
      <c r="V22"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2"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14</v>
      </c>
      <c r="X22"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2" s="28" t="s">
        <v>118</v>
      </c>
    </row>
    <row r="23" spans="2:25" x14ac:dyDescent="0.25">
      <c r="B23" s="28" t="s">
        <v>145</v>
      </c>
      <c r="C23" s="28" t="s">
        <v>146</v>
      </c>
      <c r="D23" s="28" t="s">
        <v>82</v>
      </c>
      <c r="E23" s="36">
        <v>9.6</v>
      </c>
      <c r="F23" s="37">
        <v>45</v>
      </c>
      <c r="G23" s="37">
        <v>16</v>
      </c>
      <c r="H23" s="37">
        <v>1</v>
      </c>
      <c r="I23" s="37">
        <v>0.2</v>
      </c>
      <c r="J23" s="38">
        <v>135</v>
      </c>
      <c r="K23" s="39">
        <f>IF(tblRegister[[#This Row],[Item]]="","",IFERROR(INDEX(tblClasses[Cycle service level],MATCH(tblRegister[[#This Row],[Class]],tblClasses[Class],0)),""))</f>
        <v>0.9</v>
      </c>
      <c r="L23" s="33">
        <f>IF(tblRegister[[#This Row],[Item]]="","",IF(tblRegister[[#This Row],[Service level]]="","",_xlfn.NORM.S.INV(tblRegister[[#This Row],[Service level]])))</f>
        <v>1.2815515655446</v>
      </c>
      <c r="M23" s="40">
        <f>IF(tblRegister[[#This Row],[Item]]="","",tblRegister[[#This Row],[Avg demand]]*tblRegister[[#This Row],[Lead time]])</f>
        <v>45</v>
      </c>
      <c r="N23" s="41">
        <f>IF(tblRegister[[#This Row],[Item]]="","",SQRT(tblRegister[[#This Row],[Lead time]]*tblRegister[[#This Row],[Demand std dev]]^2+tblRegister[[#This Row],[Avg demand]]^2*tblRegister[[#This Row],[Lead time std dev]]^2))</f>
        <v>18.3575597506858</v>
      </c>
      <c r="O23" s="40">
        <f>IF(tblRegister[[#This Row],[Item]]="","",IF(tblRegister[[#This Row],[Z factor]]="","",tblRegister[[#This Row],[Z factor]]*tblRegister[[#This Row],[Std dev of LT demand]]))</f>
        <v>23.52615943807</v>
      </c>
      <c r="P23" s="40">
        <f>IF(tblRegister[[#This Row],[Item]]="","",IF(tblRegister[[#This Row],[Safety stock]]="","",tblRegister[[#This Row],[Lead-time demand]]+tblRegister[[#This Row],[Safety stock]]))</f>
        <v>68.52615943807</v>
      </c>
      <c r="Q23" s="42">
        <f>IF(tblRegister[[#This Row],[Item]]="","",IF(tblRegister[[#This Row],[Std dev of LT demand]]&gt;0,(tblRegister[[#This Row],[Avg demand]]*tblRegister[[#This Row],[Lead time std dev]])^2/tblRegister[[#This Row],[Std dev of LT demand]]^2,""))</f>
        <v>0.240356083086053</v>
      </c>
      <c r="R23" s="40">
        <f>IF(tblRegister[[#This Row],[Item]]="","",IF(tblRegister[[#This Row],[Safety stock]]="","",tblRegister[[#This Row],[Safety stock]]*tblRegister[[#This Row],[Unit cost]]))</f>
        <v>225.851130605472</v>
      </c>
      <c r="S23" s="40">
        <f>IF(tblRegister[[#This Row],[Item]]="","",IF(tblRegister[[#This Row],[Safety stock]]="","",tblRegister[[#This Row],[Safety stock value]]*CarryRate))</f>
        <v>49.6872487332038</v>
      </c>
      <c r="T23" s="43">
        <f>IF(tblRegister[[#This Row],[Item]]="","",IF(tblRegister[[#This Row],[Safety stock]]="","",tblRegister[[#This Row],[Current safety stock]]-tblRegister[[#This Row],[Safety stock]]))</f>
        <v>111.47384056193</v>
      </c>
      <c r="U23" s="43">
        <f>IF(tblRegister[[#This Row],[Item]]="","",IF(tblRegister[[#This Row],[Safety stock]]="","",ROUND((tblRegister[[#This Row],[Current safety stock]]-tblRegister[[#This Row],[Safety stock]])*tblRegister[[#This Row],[Unit cost]],2)))</f>
        <v>1070.15</v>
      </c>
      <c r="V23"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3"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17</v>
      </c>
      <c r="X23"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3" s="28" t="s">
        <v>118</v>
      </c>
    </row>
    <row r="24" spans="2:25" x14ac:dyDescent="0.25">
      <c r="B24" s="28" t="s">
        <v>147</v>
      </c>
      <c r="C24" s="28" t="s">
        <v>148</v>
      </c>
      <c r="D24" s="28" t="s">
        <v>82</v>
      </c>
      <c r="E24" s="36">
        <v>1.1</v>
      </c>
      <c r="F24" s="37">
        <v>120</v>
      </c>
      <c r="G24" s="37">
        <v>33.9</v>
      </c>
      <c r="H24" s="37">
        <v>3</v>
      </c>
      <c r="I24" s="37">
        <v>0.5</v>
      </c>
      <c r="J24" s="38">
        <v>360</v>
      </c>
      <c r="K24" s="39">
        <f>IF(tblRegister[[#This Row],[Item]]="","",IFERROR(INDEX(tblClasses[Cycle service level],MATCH(tblRegister[[#This Row],[Class]],tblClasses[Class],0)),""))</f>
        <v>0.9</v>
      </c>
      <c r="L24" s="33">
        <f>IF(tblRegister[[#This Row],[Item]]="","",IF(tblRegister[[#This Row],[Service level]]="","",_xlfn.NORM.S.INV(tblRegister[[#This Row],[Service level]])))</f>
        <v>1.2815515655446</v>
      </c>
      <c r="M24" s="40">
        <f>IF(tblRegister[[#This Row],[Item]]="","",tblRegister[[#This Row],[Avg demand]]*tblRegister[[#This Row],[Lead time]])</f>
        <v>360</v>
      </c>
      <c r="N24" s="41">
        <f>IF(tblRegister[[#This Row],[Item]]="","",SQRT(tblRegister[[#This Row],[Lead time]]*tblRegister[[#This Row],[Demand std dev]]^2+tblRegister[[#This Row],[Avg demand]]^2*tblRegister[[#This Row],[Lead time std dev]]^2))</f>
        <v>83.9501637878093</v>
      </c>
      <c r="O24" s="40">
        <f>IF(tblRegister[[#This Row],[Item]]="","",IF(tblRegister[[#This Row],[Z factor]]="","",tblRegister[[#This Row],[Z factor]]*tblRegister[[#This Row],[Std dev of LT demand]]))</f>
        <v>107.586463829993</v>
      </c>
      <c r="P24" s="40">
        <f>IF(tblRegister[[#This Row],[Item]]="","",IF(tblRegister[[#This Row],[Safety stock]]="","",tblRegister[[#This Row],[Lead-time demand]]+tblRegister[[#This Row],[Safety stock]]))</f>
        <v>467.586463829993</v>
      </c>
      <c r="Q24" s="42">
        <f>IF(tblRegister[[#This Row],[Item]]="","",IF(tblRegister[[#This Row],[Std dev of LT demand]]&gt;0,(tblRegister[[#This Row],[Avg demand]]*tblRegister[[#This Row],[Lead time std dev]])^2/tblRegister[[#This Row],[Std dev of LT demand]]^2,""))</f>
        <v>0.510810016984433</v>
      </c>
      <c r="R24" s="40">
        <f>IF(tblRegister[[#This Row],[Item]]="","",IF(tblRegister[[#This Row],[Safety stock]]="","",tblRegister[[#This Row],[Safety stock]]*tblRegister[[#This Row],[Unit cost]]))</f>
        <v>118.345110212992</v>
      </c>
      <c r="S24" s="40">
        <f>IF(tblRegister[[#This Row],[Item]]="","",IF(tblRegister[[#This Row],[Safety stock]]="","",tblRegister[[#This Row],[Safety stock value]]*CarryRate))</f>
        <v>26.0359242468582</v>
      </c>
      <c r="T24" s="43">
        <f>IF(tblRegister[[#This Row],[Item]]="","",IF(tblRegister[[#This Row],[Safety stock]]="","",tblRegister[[#This Row],[Current safety stock]]-tblRegister[[#This Row],[Safety stock]]))</f>
        <v>252.413536170007</v>
      </c>
      <c r="U24" s="43">
        <f>IF(tblRegister[[#This Row],[Item]]="","",IF(tblRegister[[#This Row],[Safety stock]]="","",ROUND((tblRegister[[#This Row],[Current safety stock]]-tblRegister[[#This Row],[Safety stock]])*tblRegister[[#This Row],[Unit cost]],2)))</f>
        <v>277.65</v>
      </c>
      <c r="V24"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4"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21</v>
      </c>
      <c r="X24"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4" s="28" t="s">
        <v>118</v>
      </c>
    </row>
    <row r="25" spans="2:25" x14ac:dyDescent="0.25">
      <c r="B25" s="28" t="s">
        <v>149</v>
      </c>
      <c r="C25" s="28" t="s">
        <v>150</v>
      </c>
      <c r="D25" s="28" t="s">
        <v>82</v>
      </c>
      <c r="E25" s="36">
        <v>14</v>
      </c>
      <c r="F25" s="37">
        <v>30</v>
      </c>
      <c r="G25" s="37">
        <v>7.4</v>
      </c>
      <c r="H25" s="37">
        <v>1</v>
      </c>
      <c r="I25" s="37">
        <v>0.1</v>
      </c>
      <c r="J25" s="38">
        <v>90</v>
      </c>
      <c r="K25" s="39">
        <f>IF(tblRegister[[#This Row],[Item]]="","",IFERROR(INDEX(tblClasses[Cycle service level],MATCH(tblRegister[[#This Row],[Class]],tblClasses[Class],0)),""))</f>
        <v>0.9</v>
      </c>
      <c r="L25" s="33">
        <f>IF(tblRegister[[#This Row],[Item]]="","",IF(tblRegister[[#This Row],[Service level]]="","",_xlfn.NORM.S.INV(tblRegister[[#This Row],[Service level]])))</f>
        <v>1.2815515655446</v>
      </c>
      <c r="M25" s="40">
        <f>IF(tblRegister[[#This Row],[Item]]="","",tblRegister[[#This Row],[Avg demand]]*tblRegister[[#This Row],[Lead time]])</f>
        <v>30</v>
      </c>
      <c r="N25" s="41">
        <f>IF(tblRegister[[#This Row],[Item]]="","",SQRT(tblRegister[[#This Row],[Lead time]]*tblRegister[[#This Row],[Demand std dev]]^2+tblRegister[[#This Row],[Avg demand]]^2*tblRegister[[#This Row],[Lead time std dev]]^2))</f>
        <v>7.98498591107085</v>
      </c>
      <c r="O25" s="40">
        <f>IF(tblRegister[[#This Row],[Item]]="","",IF(tblRegister[[#This Row],[Z factor]]="","",tblRegister[[#This Row],[Z factor]]*tblRegister[[#This Row],[Std dev of LT demand]]))</f>
        <v>10.2331711951844</v>
      </c>
      <c r="P25" s="40">
        <f>IF(tblRegister[[#This Row],[Item]]="","",IF(tblRegister[[#This Row],[Safety stock]]="","",tblRegister[[#This Row],[Lead-time demand]]+tblRegister[[#This Row],[Safety stock]]))</f>
        <v>40.2331711951844</v>
      </c>
      <c r="Q25" s="42">
        <f>IF(tblRegister[[#This Row],[Item]]="","",IF(tblRegister[[#This Row],[Std dev of LT demand]]&gt;0,(tblRegister[[#This Row],[Avg demand]]*tblRegister[[#This Row],[Lead time std dev]])^2/tblRegister[[#This Row],[Std dev of LT demand]]^2,""))</f>
        <v>0.141154328732748</v>
      </c>
      <c r="R25" s="40">
        <f>IF(tblRegister[[#This Row],[Item]]="","",IF(tblRegister[[#This Row],[Safety stock]]="","",tblRegister[[#This Row],[Safety stock]]*tblRegister[[#This Row],[Unit cost]]))</f>
        <v>143.264396732582</v>
      </c>
      <c r="S25" s="40">
        <f>IF(tblRegister[[#This Row],[Item]]="","",IF(tblRegister[[#This Row],[Safety stock]]="","",tblRegister[[#This Row],[Safety stock value]]*CarryRate))</f>
        <v>31.5181672811681</v>
      </c>
      <c r="T25" s="43">
        <f>IF(tblRegister[[#This Row],[Item]]="","",IF(tblRegister[[#This Row],[Safety stock]]="","",tblRegister[[#This Row],[Current safety stock]]-tblRegister[[#This Row],[Safety stock]]))</f>
        <v>79.7668288048156</v>
      </c>
      <c r="U25" s="43">
        <f>IF(tblRegister[[#This Row],[Item]]="","",IF(tblRegister[[#This Row],[Safety stock]]="","",ROUND((tblRegister[[#This Row],[Current safety stock]]-tblRegister[[#This Row],[Safety stock]])*tblRegister[[#This Row],[Unit cost]],2)))</f>
        <v>1116.74</v>
      </c>
      <c r="V25"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5"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16</v>
      </c>
      <c r="X25"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5" s="28" t="s">
        <v>151</v>
      </c>
    </row>
    <row r="26" spans="2:25" x14ac:dyDescent="0.25">
      <c r="B26" s="28" t="s">
        <v>152</v>
      </c>
      <c r="C26" s="28" t="s">
        <v>153</v>
      </c>
      <c r="D26" s="28" t="s">
        <v>82</v>
      </c>
      <c r="E26" s="36">
        <v>38</v>
      </c>
      <c r="F26" s="37">
        <v>12</v>
      </c>
      <c r="G26" s="37">
        <v>5.8</v>
      </c>
      <c r="H26" s="37">
        <v>2</v>
      </c>
      <c r="I26" s="37">
        <v>0.5</v>
      </c>
      <c r="J26" s="38">
        <v>36</v>
      </c>
      <c r="K26" s="39">
        <f>IF(tblRegister[[#This Row],[Item]]="","",IFERROR(INDEX(tblClasses[Cycle service level],MATCH(tblRegister[[#This Row],[Class]],tblClasses[Class],0)),""))</f>
        <v>0.9</v>
      </c>
      <c r="L26" s="33">
        <f>IF(tblRegister[[#This Row],[Item]]="","",IF(tblRegister[[#This Row],[Service level]]="","",_xlfn.NORM.S.INV(tblRegister[[#This Row],[Service level]])))</f>
        <v>1.2815515655446</v>
      </c>
      <c r="M26" s="40">
        <f>IF(tblRegister[[#This Row],[Item]]="","",tblRegister[[#This Row],[Avg demand]]*tblRegister[[#This Row],[Lead time]])</f>
        <v>24</v>
      </c>
      <c r="N26" s="41">
        <f>IF(tblRegister[[#This Row],[Item]]="","",SQRT(tblRegister[[#This Row],[Lead time]]*tblRegister[[#This Row],[Demand std dev]]^2+tblRegister[[#This Row],[Avg demand]]^2*tblRegister[[#This Row],[Lead time std dev]]^2))</f>
        <v>10.16267681273</v>
      </c>
      <c r="O26" s="40">
        <f>IF(tblRegister[[#This Row],[Item]]="","",IF(tblRegister[[#This Row],[Z factor]]="","",tblRegister[[#This Row],[Z factor]]*tblRegister[[#This Row],[Std dev of LT demand]]))</f>
        <v>13.0239943794779</v>
      </c>
      <c r="P26" s="40">
        <f>IF(tblRegister[[#This Row],[Item]]="","",IF(tblRegister[[#This Row],[Safety stock]]="","",tblRegister[[#This Row],[Lead-time demand]]+tblRegister[[#This Row],[Safety stock]]))</f>
        <v>37.023994379478</v>
      </c>
      <c r="Q26" s="42">
        <f>IF(tblRegister[[#This Row],[Item]]="","",IF(tblRegister[[#This Row],[Std dev of LT demand]]&gt;0,(tblRegister[[#This Row],[Avg demand]]*tblRegister[[#This Row],[Lead time std dev]])^2/tblRegister[[#This Row],[Std dev of LT demand]]^2,""))</f>
        <v>0.34856700232378</v>
      </c>
      <c r="R26" s="40">
        <f>IF(tblRegister[[#This Row],[Item]]="","",IF(tblRegister[[#This Row],[Safety stock]]="","",tblRegister[[#This Row],[Safety stock]]*tblRegister[[#This Row],[Unit cost]]))</f>
        <v>494.911786420162</v>
      </c>
      <c r="S26" s="40">
        <f>IF(tblRegister[[#This Row],[Item]]="","",IF(tblRegister[[#This Row],[Safety stock]]="","",tblRegister[[#This Row],[Safety stock value]]*CarryRate))</f>
        <v>108.880593012436</v>
      </c>
      <c r="T26" s="43">
        <f>IF(tblRegister[[#This Row],[Item]]="","",IF(tblRegister[[#This Row],[Safety stock]]="","",tblRegister[[#This Row],[Current safety stock]]-tblRegister[[#This Row],[Safety stock]]))</f>
        <v>22.9760056205221</v>
      </c>
      <c r="U26" s="43">
        <f>IF(tblRegister[[#This Row],[Item]]="","",IF(tblRegister[[#This Row],[Safety stock]]="","",ROUND((tblRegister[[#This Row],[Current safety stock]]-tblRegister[[#This Row],[Safety stock]])*tblRegister[[#This Row],[Unit cost]],2)))</f>
        <v>873.09</v>
      </c>
      <c r="V26"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6"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19</v>
      </c>
      <c r="X26"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6" s="28" t="s">
        <v>118</v>
      </c>
    </row>
    <row r="27" spans="2:25" x14ac:dyDescent="0.25">
      <c r="B27" s="28" t="s">
        <v>154</v>
      </c>
      <c r="C27" s="28" t="s">
        <v>155</v>
      </c>
      <c r="D27" s="28" t="s">
        <v>82</v>
      </c>
      <c r="E27" s="36">
        <v>4.2</v>
      </c>
      <c r="F27" s="37">
        <v>90</v>
      </c>
      <c r="G27" s="37">
        <v>34.7</v>
      </c>
      <c r="H27" s="37">
        <v>1</v>
      </c>
      <c r="I27" s="37">
        <v>0.2</v>
      </c>
      <c r="J27" s="38">
        <v>270</v>
      </c>
      <c r="K27" s="39">
        <f>IF(tblRegister[[#This Row],[Item]]="","",IFERROR(INDEX(tblClasses[Cycle service level],MATCH(tblRegister[[#This Row],[Class]],tblClasses[Class],0)),""))</f>
        <v>0.9</v>
      </c>
      <c r="L27" s="33">
        <f>IF(tblRegister[[#This Row],[Item]]="","",IF(tblRegister[[#This Row],[Service level]]="","",_xlfn.NORM.S.INV(tblRegister[[#This Row],[Service level]])))</f>
        <v>1.2815515655446</v>
      </c>
      <c r="M27" s="40">
        <f>IF(tblRegister[[#This Row],[Item]]="","",tblRegister[[#This Row],[Avg demand]]*tblRegister[[#This Row],[Lead time]])</f>
        <v>90</v>
      </c>
      <c r="N27" s="41">
        <f>IF(tblRegister[[#This Row],[Item]]="","",SQRT(tblRegister[[#This Row],[Lead time]]*tblRegister[[#This Row],[Demand std dev]]^2+tblRegister[[#This Row],[Avg demand]]^2*tblRegister[[#This Row],[Lead time std dev]]^2))</f>
        <v>39.0907917545808</v>
      </c>
      <c r="O27" s="40">
        <f>IF(tblRegister[[#This Row],[Item]]="","",IF(tblRegister[[#This Row],[Z factor]]="","",tblRegister[[#This Row],[Z factor]]*tblRegister[[#This Row],[Std dev of LT demand]]))</f>
        <v>50.096865371461</v>
      </c>
      <c r="P27" s="40">
        <f>IF(tblRegister[[#This Row],[Item]]="","",IF(tblRegister[[#This Row],[Safety stock]]="","",tblRegister[[#This Row],[Lead-time demand]]+tblRegister[[#This Row],[Safety stock]]))</f>
        <v>140.096865371461</v>
      </c>
      <c r="Q27" s="42">
        <f>IF(tblRegister[[#This Row],[Item]]="","",IF(tblRegister[[#This Row],[Std dev of LT demand]]&gt;0,(tblRegister[[#This Row],[Avg demand]]*tblRegister[[#This Row],[Lead time std dev]])^2/tblRegister[[#This Row],[Std dev of LT demand]]^2,""))</f>
        <v>0.212029396174309</v>
      </c>
      <c r="R27" s="40">
        <f>IF(tblRegister[[#This Row],[Item]]="","",IF(tblRegister[[#This Row],[Safety stock]]="","",tblRegister[[#This Row],[Safety stock]]*tblRegister[[#This Row],[Unit cost]]))</f>
        <v>210.406834560136</v>
      </c>
      <c r="S27" s="40">
        <f>IF(tblRegister[[#This Row],[Item]]="","",IF(tblRegister[[#This Row],[Safety stock]]="","",tblRegister[[#This Row],[Safety stock value]]*CarryRate))</f>
        <v>46.2895036032299</v>
      </c>
      <c r="T27" s="43">
        <f>IF(tblRegister[[#This Row],[Item]]="","",IF(tblRegister[[#This Row],[Safety stock]]="","",tblRegister[[#This Row],[Current safety stock]]-tblRegister[[#This Row],[Safety stock]]))</f>
        <v>219.903134628539</v>
      </c>
      <c r="U27" s="43">
        <f>IF(tblRegister[[#This Row],[Item]]="","",IF(tblRegister[[#This Row],[Safety stock]]="","",ROUND((tblRegister[[#This Row],[Current safety stock]]-tblRegister[[#This Row],[Safety stock]])*tblRegister[[#This Row],[Unit cost]],2)))</f>
        <v>923.59</v>
      </c>
      <c r="V27"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7"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18</v>
      </c>
      <c r="X27"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7" s="28" t="s">
        <v>118</v>
      </c>
    </row>
    <row r="28" spans="2:25" x14ac:dyDescent="0.25">
      <c r="B28" s="28" t="s">
        <v>156</v>
      </c>
      <c r="C28" s="28" t="s">
        <v>157</v>
      </c>
      <c r="D28" s="28" t="s">
        <v>82</v>
      </c>
      <c r="E28" s="36">
        <v>11</v>
      </c>
      <c r="F28" s="37">
        <v>50</v>
      </c>
      <c r="G28" s="37">
        <v>20</v>
      </c>
      <c r="H28" s="37">
        <v>2</v>
      </c>
      <c r="I28" s="37">
        <v>0.3</v>
      </c>
      <c r="J28" s="38">
        <v>150</v>
      </c>
      <c r="K28" s="39">
        <f>IF(tblRegister[[#This Row],[Item]]="","",IFERROR(INDEX(tblClasses[Cycle service level],MATCH(tblRegister[[#This Row],[Class]],tblClasses[Class],0)),""))</f>
        <v>0.9</v>
      </c>
      <c r="L28" s="33">
        <f>IF(tblRegister[[#This Row],[Item]]="","",IF(tblRegister[[#This Row],[Service level]]="","",_xlfn.NORM.S.INV(tblRegister[[#This Row],[Service level]])))</f>
        <v>1.2815515655446</v>
      </c>
      <c r="M28" s="40">
        <f>IF(tblRegister[[#This Row],[Item]]="","",tblRegister[[#This Row],[Avg demand]]*tblRegister[[#This Row],[Lead time]])</f>
        <v>100</v>
      </c>
      <c r="N28" s="41">
        <f>IF(tblRegister[[#This Row],[Item]]="","",SQRT(tblRegister[[#This Row],[Lead time]]*tblRegister[[#This Row],[Demand std dev]]^2+tblRegister[[#This Row],[Avg demand]]^2*tblRegister[[#This Row],[Lead time std dev]]^2))</f>
        <v>32.0156211871642</v>
      </c>
      <c r="O28" s="40">
        <f>IF(tblRegister[[#This Row],[Item]]="","",IF(tblRegister[[#This Row],[Z factor]]="","",tblRegister[[#This Row],[Z factor]]*tblRegister[[#This Row],[Std dev of LT demand]]))</f>
        <v>41.0296694542932</v>
      </c>
      <c r="P28" s="40">
        <f>IF(tblRegister[[#This Row],[Item]]="","",IF(tblRegister[[#This Row],[Safety stock]]="","",tblRegister[[#This Row],[Lead-time demand]]+tblRegister[[#This Row],[Safety stock]]))</f>
        <v>141.029669454293</v>
      </c>
      <c r="Q28" s="42">
        <f>IF(tblRegister[[#This Row],[Item]]="","",IF(tblRegister[[#This Row],[Std dev of LT demand]]&gt;0,(tblRegister[[#This Row],[Avg demand]]*tblRegister[[#This Row],[Lead time std dev]])^2/tblRegister[[#This Row],[Std dev of LT demand]]^2,""))</f>
        <v>0.219512195121951</v>
      </c>
      <c r="R28" s="40">
        <f>IF(tblRegister[[#This Row],[Item]]="","",IF(tblRegister[[#This Row],[Safety stock]]="","",tblRegister[[#This Row],[Safety stock]]*tblRegister[[#This Row],[Unit cost]]))</f>
        <v>451.326363997226</v>
      </c>
      <c r="S28" s="40">
        <f>IF(tblRegister[[#This Row],[Item]]="","",IF(tblRegister[[#This Row],[Safety stock]]="","",tblRegister[[#This Row],[Safety stock value]]*CarryRate))</f>
        <v>99.2918000793896</v>
      </c>
      <c r="T28" s="43">
        <f>IF(tblRegister[[#This Row],[Item]]="","",IF(tblRegister[[#This Row],[Safety stock]]="","",tblRegister[[#This Row],[Current safety stock]]-tblRegister[[#This Row],[Safety stock]]))</f>
        <v>108.970330545707</v>
      </c>
      <c r="U28" s="43">
        <f>IF(tblRegister[[#This Row],[Item]]="","",IF(tblRegister[[#This Row],[Safety stock]]="","",ROUND((tblRegister[[#This Row],[Current safety stock]]-tblRegister[[#This Row],[Safety stock]])*tblRegister[[#This Row],[Unit cost]],2)))</f>
        <v>1198.67</v>
      </c>
      <c r="V28"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8"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15</v>
      </c>
      <c r="X28"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8" s="28" t="s">
        <v>118</v>
      </c>
    </row>
    <row r="29" spans="2:25" x14ac:dyDescent="0.25">
      <c r="B29" s="28" t="s">
        <v>158</v>
      </c>
      <c r="C29" s="28" t="s">
        <v>159</v>
      </c>
      <c r="D29" s="28" t="s">
        <v>82</v>
      </c>
      <c r="E29" s="36">
        <v>0.8</v>
      </c>
      <c r="F29" s="37">
        <v>110</v>
      </c>
      <c r="G29" s="37">
        <v>33.8</v>
      </c>
      <c r="H29" s="37">
        <v>2</v>
      </c>
      <c r="I29" s="37">
        <v>0.2</v>
      </c>
      <c r="J29" s="38">
        <v>330</v>
      </c>
      <c r="K29" s="39">
        <f>IF(tblRegister[[#This Row],[Item]]="","",IFERROR(INDEX(tblClasses[Cycle service level],MATCH(tblRegister[[#This Row],[Class]],tblClasses[Class],0)),""))</f>
        <v>0.9</v>
      </c>
      <c r="L29" s="33">
        <f>IF(tblRegister[[#This Row],[Item]]="","",IF(tblRegister[[#This Row],[Service level]]="","",_xlfn.NORM.S.INV(tblRegister[[#This Row],[Service level]])))</f>
        <v>1.2815515655446</v>
      </c>
      <c r="M29" s="40">
        <f>IF(tblRegister[[#This Row],[Item]]="","",tblRegister[[#This Row],[Avg demand]]*tblRegister[[#This Row],[Lead time]])</f>
        <v>220</v>
      </c>
      <c r="N29" s="41">
        <f>IF(tblRegister[[#This Row],[Item]]="","",SQRT(tblRegister[[#This Row],[Lead time]]*tblRegister[[#This Row],[Demand std dev]]^2+tblRegister[[#This Row],[Avg demand]]^2*tblRegister[[#This Row],[Lead time std dev]]^2))</f>
        <v>52.6201482324024</v>
      </c>
      <c r="O29" s="40">
        <f>IF(tblRegister[[#This Row],[Item]]="","",IF(tblRegister[[#This Row],[Z factor]]="","",tblRegister[[#This Row],[Z factor]]*tblRegister[[#This Row],[Std dev of LT demand]]))</f>
        <v>67.4354333464242</v>
      </c>
      <c r="P29" s="40">
        <f>IF(tblRegister[[#This Row],[Item]]="","",IF(tblRegister[[#This Row],[Safety stock]]="","",tblRegister[[#This Row],[Lead-time demand]]+tblRegister[[#This Row],[Safety stock]]))</f>
        <v>287.435433346424</v>
      </c>
      <c r="Q29" s="42">
        <f>IF(tblRegister[[#This Row],[Item]]="","",IF(tblRegister[[#This Row],[Std dev of LT demand]]&gt;0,(tblRegister[[#This Row],[Avg demand]]*tblRegister[[#This Row],[Lead time std dev]])^2/tblRegister[[#This Row],[Std dev of LT demand]]^2,""))</f>
        <v>0.174799919100864</v>
      </c>
      <c r="R29" s="40">
        <f>IF(tblRegister[[#This Row],[Item]]="","",IF(tblRegister[[#This Row],[Safety stock]]="","",tblRegister[[#This Row],[Safety stock]]*tblRegister[[#This Row],[Unit cost]]))</f>
        <v>53.9483466771394</v>
      </c>
      <c r="S29" s="40">
        <f>IF(tblRegister[[#This Row],[Item]]="","",IF(tblRegister[[#This Row],[Safety stock]]="","",tblRegister[[#This Row],[Safety stock value]]*CarryRate))</f>
        <v>11.8686362689707</v>
      </c>
      <c r="T29" s="43">
        <f>IF(tblRegister[[#This Row],[Item]]="","",IF(tblRegister[[#This Row],[Safety stock]]="","",tblRegister[[#This Row],[Current safety stock]]-tblRegister[[#This Row],[Safety stock]]))</f>
        <v>262.564566653576</v>
      </c>
      <c r="U29" s="43">
        <f>IF(tblRegister[[#This Row],[Item]]="","",IF(tblRegister[[#This Row],[Safety stock]]="","",ROUND((tblRegister[[#This Row],[Current safety stock]]-tblRegister[[#This Row],[Safety stock]])*tblRegister[[#This Row],[Unit cost]],2)))</f>
        <v>210.05</v>
      </c>
      <c r="V29"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29"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22</v>
      </c>
      <c r="X29"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29" s="28" t="s">
        <v>118</v>
      </c>
    </row>
    <row r="30" spans="2:25" x14ac:dyDescent="0.25">
      <c r="B30" s="28" t="s">
        <v>160</v>
      </c>
      <c r="C30" s="28" t="s">
        <v>161</v>
      </c>
      <c r="D30" s="28" t="s">
        <v>82</v>
      </c>
      <c r="E30" s="36">
        <v>2.4</v>
      </c>
      <c r="F30" s="37">
        <v>140</v>
      </c>
      <c r="G30" s="37">
        <v>53.6</v>
      </c>
      <c r="H30" s="37">
        <v>1</v>
      </c>
      <c r="I30" s="37">
        <v>0.2</v>
      </c>
      <c r="J30" s="38">
        <v>420</v>
      </c>
      <c r="K30" s="39">
        <f>IF(tblRegister[[#This Row],[Item]]="","",IFERROR(INDEX(tblClasses[Cycle service level],MATCH(tblRegister[[#This Row],[Class]],tblClasses[Class],0)),""))</f>
        <v>0.9</v>
      </c>
      <c r="L30" s="33">
        <f>IF(tblRegister[[#This Row],[Item]]="","",IF(tblRegister[[#This Row],[Service level]]="","",_xlfn.NORM.S.INV(tblRegister[[#This Row],[Service level]])))</f>
        <v>1.2815515655446</v>
      </c>
      <c r="M30" s="40">
        <f>IF(tblRegister[[#This Row],[Item]]="","",tblRegister[[#This Row],[Avg demand]]*tblRegister[[#This Row],[Lead time]])</f>
        <v>140</v>
      </c>
      <c r="N30" s="41">
        <f>IF(tblRegister[[#This Row],[Item]]="","",SQRT(tblRegister[[#This Row],[Lead time]]*tblRegister[[#This Row],[Demand std dev]]^2+tblRegister[[#This Row],[Avg demand]]^2*tblRegister[[#This Row],[Lead time std dev]]^2))</f>
        <v>60.4728038046856</v>
      </c>
      <c r="O30" s="40">
        <f>IF(tblRegister[[#This Row],[Item]]="","",IF(tblRegister[[#This Row],[Z factor]]="","",tblRegister[[#This Row],[Z factor]]*tblRegister[[#This Row],[Std dev of LT demand]]))</f>
        <v>77.4990163887664</v>
      </c>
      <c r="P30" s="40">
        <f>IF(tblRegister[[#This Row],[Item]]="","",IF(tblRegister[[#This Row],[Safety stock]]="","",tblRegister[[#This Row],[Lead-time demand]]+tblRegister[[#This Row],[Safety stock]]))</f>
        <v>217.499016388766</v>
      </c>
      <c r="Q30" s="42">
        <f>IF(tblRegister[[#This Row],[Item]]="","",IF(tblRegister[[#This Row],[Std dev of LT demand]]&gt;0,(tblRegister[[#This Row],[Avg demand]]*tblRegister[[#This Row],[Lead time std dev]])^2/tblRegister[[#This Row],[Std dev of LT demand]]^2,""))</f>
        <v>0.214385719285964</v>
      </c>
      <c r="R30" s="40">
        <f>IF(tblRegister[[#This Row],[Item]]="","",IF(tblRegister[[#This Row],[Safety stock]]="","",tblRegister[[#This Row],[Safety stock]]*tblRegister[[#This Row],[Unit cost]]))</f>
        <v>185.997639333039</v>
      </c>
      <c r="S30" s="40">
        <f>IF(tblRegister[[#This Row],[Item]]="","",IF(tblRegister[[#This Row],[Safety stock]]="","",tblRegister[[#This Row],[Safety stock value]]*CarryRate))</f>
        <v>40.9194806532686</v>
      </c>
      <c r="T30" s="43">
        <f>IF(tblRegister[[#This Row],[Item]]="","",IF(tblRegister[[#This Row],[Safety stock]]="","",tblRegister[[#This Row],[Current safety stock]]-tblRegister[[#This Row],[Safety stock]]))</f>
        <v>342.500983611234</v>
      </c>
      <c r="U30" s="43">
        <f>IF(tblRegister[[#This Row],[Item]]="","",IF(tblRegister[[#This Row],[Safety stock]]="","",ROUND((tblRegister[[#This Row],[Current safety stock]]-tblRegister[[#This Row],[Safety stock]])*tblRegister[[#This Row],[Unit cost]],2)))</f>
        <v>822</v>
      </c>
      <c r="V30" s="44" t="str">
        <f>IF(tblRegister[[#This Row],[Item]]="","",IF(tblRegister[[#This Row],[Safety stock]]="","",IF(tblRegister[[#This Row],[Current safety stock]]&lt;tblRegister[[#This Row],[Safety stock]]*(1-Tolerance),"Below target",IF(tblRegister[[#This Row],[Current safety stock]]&gt;tblRegister[[#This Row],[Safety stock]]*(1+Tolerance),"Above target","On target"))))</f>
        <v>Above target</v>
      </c>
      <c r="W30" s="40">
        <f>IF(tblRegister[[#This Row],[Item]]="","",IF(tblRegister[[#This Row],[Gap value]]="","",COUNTIF(tblRegister[Gap value],"&gt;"&amp;ABS(tblRegister[[#This Row],[Gap value]]))+COUNTIF(tblRegister[Gap value],"&lt;"&amp;-ABS(tblRegister[[#This Row],[Gap value]]))+SUMPRODUCT(((tblRegister[Gap value]=ABS(tblRegister[[#This Row],[Gap value]]))+(tblRegister[Gap value]=-ABS(tblRegister[[#This Row],[Gap value]]))*(tblRegister[[#This Row],[Gap value]]&lt;&gt;0))*(ROW(tblRegister[Gap value])&lt;ROW(tblRegister[[#This Row],[Gap value]])))+1))</f>
        <v>20</v>
      </c>
      <c r="X30" s="45" t="str">
        <f>IF(tblRegister[[#This Row],[Item]]="","",IF(tblRegister[[#This Row],[Class]]="","Missing class",IF(tblRegister[[#This Row],[Unit cost]]="","Missing unit cost",IF(tblRegister[[#This Row],[Avg demand]]="","Missing avg demand",IF(tblRegister[[#This Row],[Demand std dev]]="","Missing demand std dev",IF(tblRegister[[#This Row],[Lead time]]="","Missing lead time",IF(tblRegister[[#This Row],[Current safety stock]]="","Missing current safety stock",IF(COUNTIF(tblClasses[Class],tblRegister[[#This Row],[Class]])=0,"Class not on Setup list",IF(COUNTIF(tblRegister[Item],tblRegister[[#This Row],[Item]])&gt;1,"Item listed twice",IF(tblRegister[[#This Row],[Lead time]]=0,"Lead time is 0",IF(tblRegister[[#This Row],[Avg demand]]=0,"Average demand is 0","OK")))))))))))</f>
        <v>OK</v>
      </c>
      <c r="Y30" s="28" t="s">
        <v>118</v>
      </c>
    </row>
  </sheetData>
  <mergeCells count="3">
    <mergeCell ref="A1:Y1"/>
    <mergeCell ref="B2:X2"/>
    <mergeCell ref="B4:Y4"/>
  </mergeCells>
  <conditionalFormatting sqref="R7:R530">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V7:V530">
    <cfRule type="cellIs" dxfId="0" priority="2" operator="equal">
      <formula>"On target"</formula>
    </cfRule>
    <cfRule type="cellIs" dxfId="0" priority="3" operator="equal">
      <formula>"PASS"</formula>
    </cfRule>
    <cfRule type="cellIs" dxfId="0" priority="4" operator="equal">
      <formula>"OK"</formula>
    </cfRule>
    <cfRule type="cellIs" dxfId="0" priority="5" operator="equal">
      <formula>"Within limits"</formula>
    </cfRule>
    <cfRule type="cellIs" dxfId="0" priority="6" operator="equal">
      <formula>"Under capacity"</formula>
    </cfRule>
    <cfRule type="cellIs" dxfId="0" priority="7" operator="equal">
      <formula>"Complete"</formula>
    </cfRule>
    <cfRule type="cellIs" dxfId="0" priority="8" operator="equal">
      <formula>"Yes"</formula>
    </cfRule>
    <cfRule type="cellIs" dxfId="1" priority="9" operator="equal">
      <formula>"Near target"</formula>
    </cfRule>
    <cfRule type="cellIs" dxfId="1" priority="10" operator="equal">
      <formula>"Check"</formula>
    </cfRule>
    <cfRule type="cellIs" dxfId="1" priority="11" operator="equal">
      <formula>"Due soon"</formula>
    </cfRule>
    <cfRule type="cellIs" dxfId="1" priority="12" operator="equal">
      <formula>"Near capacity"</formula>
    </cfRule>
    <cfRule type="cellIs" dxfId="1" priority="13" operator="equal">
      <formula>"In progress"</formula>
    </cfRule>
    <cfRule type="cellIs" dxfId="1" priority="14" operator="equal">
      <formula>"Partial"</formula>
    </cfRule>
    <cfRule type="cellIs" dxfId="2" priority="15" operator="equal">
      <formula>"Below target"</formula>
    </cfRule>
    <cfRule type="cellIs" dxfId="2" priority="16" operator="equal">
      <formula>"Above target"</formula>
    </cfRule>
    <cfRule type="cellIs" dxfId="2" priority="17" operator="equal">
      <formula>"FAIL"</formula>
    </cfRule>
    <cfRule type="cellIs" dxfId="2" priority="18" operator="equal">
      <formula>"Over capacity"</formula>
    </cfRule>
    <cfRule type="cellIs" dxfId="2" priority="19" operator="equal">
      <formula>"Overdue"</formula>
    </cfRule>
    <cfRule type="cellIs" dxfId="2" priority="20" operator="equal">
      <formula>"Out of limits"</formula>
    </cfRule>
    <cfRule type="cellIs" dxfId="2" priority="21" operator="equal">
      <formula>"No"</formula>
    </cfRule>
  </conditionalFormatting>
  <conditionalFormatting sqref="X7:X530">
    <cfRule type="expression" dxfId="3" priority="22">
      <formula>$X7="OK"</formula>
    </cfRule>
    <cfRule type="expression" dxfId="1" priority="23">
      <formula>AND($X7&lt;&gt;"",$X7&lt;&gt;"OK")</formula>
    </cfRule>
  </conditionalFormatting>
  <dataValidations count="10">
    <dataValidation type="textLength" allowBlank="1" showInputMessage="1" showErrorMessage="1" errorTitle="Check this entry" error="Text up to 40 characters." promptTitle="Item" prompt="Text up to 40 characters." sqref="B7:B530">
      <formula1>0</formula1>
      <formula2>40</formula2>
    </dataValidation>
    <dataValidation type="textLength" allowBlank="1" showInputMessage="1" showErrorMessage="1" errorTitle="Check this entry" error="Text up to 80 characters." promptTitle="Description" prompt="Text up to 80 characters." sqref="C7:C530">
      <formula1>0</formula1>
      <formula2>80</formula2>
    </dataValidation>
    <dataValidation type="list" allowBlank="1" showInputMessage="1" showErrorMessage="1" errorTitle="Check this entry" error="Pick from the list (edit the list on Setup: Classes)." promptTitle="Class" prompt="Pick from the list (edit the list on Setup: Classes)." sqref="D7:D530">
      <formula1>Classes</formula1>
    </dataValidation>
    <dataValidation type="decimal" allowBlank="1" showInputMessage="1" showErrorMessage="1" errorTitle="Check this entry" error="Enter a number of at least 0." promptTitle="Unit cost" prompt="Standard or average cost per unit. Enter a number of at least 0." sqref="E7:E530">
      <formula1>0</formula1>
      <formula2>1000000000.0</formula2>
    </dataValidation>
    <dataValidation type="decimal" allowBlank="1" showInputMessage="1" showErrorMessage="1" errorTitle="Check this entry" error="Enter a number of at least 0." promptTitle="Avg demand" prompt="Average demand per period over the history you use (12 months or more is typical). Enter a number of at least 0." sqref="F7:F530">
      <formula1>0</formula1>
      <formula2>1000000000000.0</formula2>
    </dataValidation>
    <dataValidation type="decimal" allowBlank="1" showInputMessage="1" showErrorMessage="1" errorTitle="Check this entry" error="Enter a number of at least 0." promptTitle="Demand std dev" prompt="Sample standard deviation of demand per period (STDEV.S of the same history). Enter a number of at least 0." sqref="G7:G530">
      <formula1>0</formula1>
      <formula2>1000000000000.0</formula2>
    </dataValidation>
    <dataValidation type="decimal" allowBlank="1" showInputMessage="1" showErrorMessage="1" errorTitle="Check this entry" error="Enter a number from 0 to 1,000,000." promptTitle="Lead time" prompt="Average replenishment lead time, order to receipt, in the demand period. Enter a number from 0 to 1,000,000." sqref="H7:H530">
      <formula1>0</formula1>
      <formula2>1000000.0</formula2>
    </dataValidation>
    <dataValidation type="decimal" allowBlank="1" showInputMessage="1" showErrorMessage="1" errorTitle="Check this entry" error="Enter a number from 0 to 1,000,000." promptTitle="Lead time std dev" prompt="Standard deviation of the actual lead times; 0 or blank if the supplier is always on time. Enter a number from 0 to 1,000,000." sqref="I7:I530">
      <formula1>0</formula1>
      <formula2>1000000.0</formula2>
    </dataValidation>
    <dataValidation type="decimal" allowBlank="1" showInputMessage="1" showErrorMessage="1" errorTitle="Check this entry" error="Enter a number of at least 0." promptTitle="Current safety stock" prompt="The safety stock set in your ERP today (0 if none). Enter a number of at least 0." sqref="J7:J530">
      <formula1>0</formula1>
      <formula2>1000000000000.0</formula2>
    </dataValidation>
    <dataValidation type="textLength" allowBlank="1" showInputMessage="1" showErrorMessage="1" errorTitle="Check this entry" error="Text up to 255 characters." promptTitle="Notes" prompt="Text up to 255 characters." sqref="Y7:Y530">
      <formula1>0</formula1>
      <formula2>255</formula2>
    </dataValidation>
  </dataValidations>
  <hyperlinks>
    <hyperlink ref="Y2" r:id="rId1" tooltip="Free manufacturing calculators and templates"/>
  </hyperlinks>
  <pageMargins left="0.4" right="0.4" top="0.7" bottom="0.65" header="0.3" footer="0.3"/>
  <pageSetup fitToHeight="0" orientation="landscape"/>
  <headerFooter>
    <oddHeader>&amp;L&amp;8MFG Calcs - Safety Stock Planner&amp;R&amp;8&amp;A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R7:R530</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1BA37A"/>
    <pageSetUpPr fitToPage="1"/>
  </sheetPr>
  <dimension ref="A1:L64"/>
  <sheetViews>
    <sheetView showGridLines="0" zoomScale="90" zoomScaleNormal="90" workbookViewId="0"/>
  </sheetViews>
  <sheetFormatPr defaultRowHeight="15"/>
  <cols>
    <col min="1" max="1" width="2.7109375" customWidth="1"/>
    <col min="2" max="2" width="20.7109375" customWidth="1"/>
    <col min="3" max="12" width="10.7109375" customWidth="1"/>
  </cols>
  <sheetData>
    <row r="1" spans="1:12" ht="30" customHeight="1">
      <c r="A1" s="1" t="s">
        <v>0</v>
      </c>
      <c r="B1" s="1"/>
      <c r="C1" s="1"/>
      <c r="D1" s="1"/>
      <c r="E1" s="1"/>
      <c r="F1" s="1"/>
      <c r="G1" s="1"/>
      <c r="H1" s="1"/>
      <c r="I1" s="1"/>
      <c r="J1" s="1"/>
      <c r="K1" s="1"/>
      <c r="L1" s="1"/>
    </row>
    <row r="2" spans="1:12" ht="21" customHeight="1">
      <c r="B2" s="2" t="s">
        <v>22</v>
      </c>
      <c r="C2" s="2"/>
      <c r="D2" s="2"/>
      <c r="E2" s="2"/>
      <c r="F2" s="2"/>
      <c r="G2" s="2"/>
      <c r="H2" s="2"/>
      <c r="I2" s="2"/>
      <c r="J2" s="2"/>
      <c r="K2" s="3" t="s">
        <v>2</v>
      </c>
      <c r="L2" s="3"/>
    </row>
    <row r="3" spans="1:12" ht="6" customHeight="1"/>
    <row r="4" spans="1:12">
      <c r="B4" s="46" t="str">
        <f>"Showing "&amp;COUNTA(tblRegister[Item])&amp;" items for "&amp;CompanyName&amp;". Demand and lead time per "&amp;Period&amp;"; safety stock = z x sqrt(L x sd^2 + d^2 x sL^2)."</f>
        <v>Showing 24 items for Harbour Pumps (example). Demand and lead time per week; safety stock = z x sqrt(L x sd^2 + d^2 x sL^2).</v>
      </c>
      <c r="C4" s="46"/>
      <c r="D4" s="46"/>
      <c r="E4" s="46"/>
      <c r="F4" s="46"/>
      <c r="G4" s="46"/>
      <c r="H4" s="46"/>
      <c r="I4" s="46"/>
      <c r="J4" s="46"/>
      <c r="K4" s="46"/>
      <c r="L4" s="46"/>
    </row>
    <row r="6" spans="1:12" ht="18" customHeight="1">
      <c r="B6" s="47" t="str">
        <f>"RECOMMENDED BUFFER VALUE ("&amp;Currency&amp;")"</f>
        <v>RECOMMENDED BUFFER VALUE (GBP)</v>
      </c>
      <c r="C6" s="47"/>
      <c r="D6" s="47" t="str">
        <f>"CURRENT BUFFER VALUE ("&amp;Currency&amp;")"</f>
        <v>CURRENT BUFFER VALUE (GBP)</v>
      </c>
      <c r="E6" s="47"/>
      <c r="F6" s="47"/>
      <c r="G6" s="47" t="s">
        <v>162</v>
      </c>
      <c r="H6" s="47"/>
      <c r="I6" s="47"/>
      <c r="J6" s="47" t="str">
        <f>"HOLDING COST CHANGE ("&amp;Currency&amp;"/YEAR)"</f>
        <v>HOLDING COST CHANGE (GBP/YEAR)</v>
      </c>
      <c r="K6" s="47"/>
      <c r="L6" s="47"/>
    </row>
    <row r="7" spans="1:12" ht="21" customHeight="1">
      <c r="B7" s="48">
        <f>SUM(tblRegister[Safety stock value])</f>
        <v>260981.079356475</v>
      </c>
      <c r="C7" s="48"/>
      <c r="D7" s="48">
        <f>SUMPRODUCT(tblRegister[Current safety stock],tblRegister[Unit cost])</f>
        <v>194598</v>
      </c>
      <c r="E7" s="48"/>
      <c r="F7" s="48"/>
      <c r="G7" s="48">
        <f>COUNTIF(tblRegister[Current vs recommended],"Below target")</f>
        <v>6</v>
      </c>
      <c r="H7" s="48"/>
      <c r="I7" s="48"/>
      <c r="J7" s="49">
        <f>(SUM(tblRegister[Safety stock value])-SUMPRODUCT(tblRegister[Current safety stock],tblRegister[Unit cost]))*CarryRate</f>
        <v>14604.2774584245</v>
      </c>
      <c r="K7" s="49"/>
      <c r="L7" s="49"/>
    </row>
    <row r="8" spans="1:12" ht="21" customHeight="1">
      <c r="B8" s="48"/>
      <c r="C8" s="48"/>
      <c r="D8" s="48"/>
      <c r="E8" s="48"/>
      <c r="F8" s="48"/>
      <c r="G8" s="48"/>
      <c r="H8" s="48"/>
      <c r="I8" s="48"/>
      <c r="J8" s="49"/>
      <c r="K8" s="49"/>
      <c r="L8" s="49"/>
    </row>
    <row r="9" spans="1:12">
      <c r="B9" s="50" t="s">
        <v>163</v>
      </c>
      <c r="C9" s="50"/>
      <c r="D9" s="50" t="s">
        <v>164</v>
      </c>
      <c r="E9" s="50"/>
      <c r="F9" s="50"/>
      <c r="G9" s="50" t="s">
        <v>165</v>
      </c>
      <c r="H9" s="50"/>
      <c r="I9" s="50"/>
      <c r="J9" s="50" t="s">
        <v>166</v>
      </c>
      <c r="K9" s="50"/>
      <c r="L9" s="50"/>
    </row>
    <row r="10" spans="1:12" ht="18" customHeight="1">
      <c r="B10" s="51"/>
      <c r="C10" s="51"/>
      <c r="D10" s="51"/>
      <c r="E10" s="51"/>
      <c r="F10" s="51"/>
      <c r="G10" s="51"/>
      <c r="H10" s="51"/>
      <c r="I10" s="51"/>
      <c r="J10" s="51"/>
      <c r="K10" s="51"/>
      <c r="L10" s="51"/>
    </row>
    <row r="30" spans="2:12">
      <c r="B30" s="30" t="s">
        <v>167</v>
      </c>
      <c r="C30" s="30"/>
      <c r="D30" s="30"/>
      <c r="E30" s="30"/>
      <c r="F30" s="30"/>
      <c r="G30" s="30"/>
      <c r="H30" s="30"/>
      <c r="I30" s="30"/>
      <c r="J30" s="30"/>
      <c r="K30" s="30"/>
      <c r="L30" s="30"/>
    </row>
    <row r="31" spans="2:12" ht="32" customHeight="1">
      <c r="B31" s="52" t="s">
        <v>168</v>
      </c>
      <c r="C31" s="31" t="s">
        <v>84</v>
      </c>
      <c r="D31" s="31" t="s">
        <v>85</v>
      </c>
      <c r="E31" s="31"/>
      <c r="F31" s="31" t="s">
        <v>60</v>
      </c>
      <c r="G31" s="31" t="s">
        <v>169</v>
      </c>
      <c r="H31" s="31" t="s">
        <v>170</v>
      </c>
      <c r="I31" s="31" t="s">
        <v>96</v>
      </c>
      <c r="J31" s="31" t="s">
        <v>101</v>
      </c>
      <c r="K31" s="31" t="s">
        <v>102</v>
      </c>
      <c r="L31" s="31"/>
    </row>
    <row r="32" spans="2:12" ht="14" customHeight="1">
      <c r="B32" s="35"/>
      <c r="C32" s="35"/>
      <c r="D32" s="35"/>
      <c r="E32" s="35"/>
      <c r="F32" s="35"/>
      <c r="G32" s="35" t="s">
        <v>107</v>
      </c>
      <c r="H32" s="35" t="s">
        <v>107</v>
      </c>
      <c r="I32" s="35" t="s">
        <v>107</v>
      </c>
      <c r="J32" s="35" t="str">
        <f>Currency</f>
        <v>GBP</v>
      </c>
      <c r="K32" s="35"/>
      <c r="L32" s="35"/>
    </row>
    <row r="33" spans="2:12">
      <c r="B33" s="53" t="s">
        <v>171</v>
      </c>
      <c r="C33" s="54" t="str">
        <f>IFERROR(INDEX(tblRegister[Item],MATCH(1,tblRegister[Action rank],0)),"")</f>
        <v>VFD-11</v>
      </c>
      <c r="D33" s="54" t="str">
        <f>IFERROR(INDEX(tblRegister[Description],MATCH(1,tblRegister[Action rank],0)),"")</f>
        <v>Variable-speed drive, 11 kW</v>
      </c>
      <c r="E33" s="54"/>
      <c r="F33" s="44" t="str">
        <f>IFERROR(INDEX(tblRegister[Class],MATCH(1,tblRegister[Action rank],0)),"")</f>
        <v>A</v>
      </c>
      <c r="G33" s="40">
        <f>IFERROR(INDEX(tblRegister[Current safety stock],MATCH(1,tblRegister[Action rank],0)),"")</f>
        <v>6</v>
      </c>
      <c r="H33" s="40">
        <f>IFERROR(INDEX(tblRegister[Safety stock],MATCH(1,tblRegister[Action rank],0)),"")</f>
        <v>46.9621921691518</v>
      </c>
      <c r="I33" s="40">
        <f>IFERROR(INDEX(tblRegister[Reorder point],MATCH(1,tblRegister[Action rank],0)),"")</f>
        <v>106.962192169152</v>
      </c>
      <c r="J33" s="43">
        <f>IFERROR(INDEX(tblRegister[Gap value],MATCH(1,tblRegister[Action rank],0)),"")</f>
        <v>-52431.61</v>
      </c>
      <c r="K33" s="44" t="str">
        <f>IFERROR(INDEX(tblRegister[Current vs recommended],MATCH(1,tblRegister[Action rank],0)),"")</f>
        <v>Below target</v>
      </c>
      <c r="L33" s="44"/>
    </row>
    <row r="34" spans="2:12">
      <c r="B34" s="53" t="s">
        <v>172</v>
      </c>
      <c r="C34" s="54" t="str">
        <f>IFERROR(INDEX(tblRegister[Item],MATCH(2,tblRegister[Action rank],0)),"")</f>
        <v>CAS-100</v>
      </c>
      <c r="D34" s="54" t="str">
        <f>IFERROR(INDEX(tblRegister[Description],MATCH(2,tblRegister[Action rank],0)),"")</f>
        <v>Pump casing, ductile iron</v>
      </c>
      <c r="E34" s="54"/>
      <c r="F34" s="44" t="str">
        <f>IFERROR(INDEX(tblRegister[Class],MATCH(2,tblRegister[Action rank],0)),"")</f>
        <v>A</v>
      </c>
      <c r="G34" s="40">
        <f>IFERROR(INDEX(tblRegister[Current safety stock],MATCH(2,tblRegister[Action rank],0)),"")</f>
        <v>66</v>
      </c>
      <c r="H34" s="40">
        <f>IFERROR(INDEX(tblRegister[Safety stock],MATCH(2,tblRegister[Action rank],0)),"")</f>
        <v>142.968068858284</v>
      </c>
      <c r="I34" s="40">
        <f>IFERROR(INDEX(tblRegister[Reorder point],MATCH(2,tblRegister[Action rank],0)),"")</f>
        <v>362.968068858284</v>
      </c>
      <c r="J34" s="43">
        <f>IFERROR(INDEX(tblRegister[Gap value],MATCH(2,tblRegister[Action rank],0)),"")</f>
        <v>-24629.78</v>
      </c>
      <c r="K34" s="44" t="str">
        <f>IFERROR(INDEX(tblRegister[Current vs recommended],MATCH(2,tblRegister[Action rank],0)),"")</f>
        <v>Below target</v>
      </c>
      <c r="L34" s="44"/>
    </row>
    <row r="35" spans="2:12">
      <c r="B35" s="53" t="s">
        <v>173</v>
      </c>
      <c r="C35" s="54" t="str">
        <f>IFERROR(INDEX(tblRegister[Item],MATCH(3,tblRegister[Action rank],0)),"")</f>
        <v>SEAL-M</v>
      </c>
      <c r="D35" s="54" t="str">
        <f>IFERROR(INDEX(tblRegister[Description],MATCH(3,tblRegister[Action rank],0)),"")</f>
        <v>Mechanical seal</v>
      </c>
      <c r="E35" s="54"/>
      <c r="F35" s="44" t="str">
        <f>IFERROR(INDEX(tblRegister[Class],MATCH(3,tblRegister[Action rank],0)),"")</f>
        <v>A</v>
      </c>
      <c r="G35" s="40">
        <f>IFERROR(INDEX(tblRegister[Current safety stock],MATCH(3,tblRegister[Action rank],0)),"")</f>
        <v>180</v>
      </c>
      <c r="H35" s="40">
        <f>IFERROR(INDEX(tblRegister[Safety stock],MATCH(3,tblRegister[Action rank],0)),"")</f>
        <v>82.3438069812109</v>
      </c>
      <c r="I35" s="40">
        <f>IFERROR(INDEX(tblRegister[Reorder point],MATCH(3,tblRegister[Action rank],0)),"")</f>
        <v>322.343806981211</v>
      </c>
      <c r="J35" s="43">
        <f>IFERROR(INDEX(tblRegister[Gap value],MATCH(3,tblRegister[Action rank],0)),"")</f>
        <v>14160.15</v>
      </c>
      <c r="K35" s="44" t="str">
        <f>IFERROR(INDEX(tblRegister[Current vs recommended],MATCH(3,tblRegister[Action rank],0)),"")</f>
        <v>Above target</v>
      </c>
      <c r="L35" s="44"/>
    </row>
    <row r="36" spans="2:12">
      <c r="B36" s="53" t="s">
        <v>174</v>
      </c>
      <c r="C36" s="54" t="str">
        <f>IFERROR(INDEX(tblRegister[Item],MATCH(4,tblRegister[Action rank],0)),"")</f>
        <v>CTL-P</v>
      </c>
      <c r="D36" s="54" t="str">
        <f>IFERROR(INDEX(tblRegister[Description],MATCH(4,tblRegister[Action rank],0)),"")</f>
        <v>Pump controller board</v>
      </c>
      <c r="E36" s="54"/>
      <c r="F36" s="44" t="str">
        <f>IFERROR(INDEX(tblRegister[Class],MATCH(4,tblRegister[Action rank],0)),"")</f>
        <v>B</v>
      </c>
      <c r="G36" s="40">
        <f>IFERROR(INDEX(tblRegister[Current safety stock],MATCH(4,tblRegister[Action rank],0)),"")</f>
        <v>30</v>
      </c>
      <c r="H36" s="40">
        <f>IFERROR(INDEX(tblRegister[Safety stock],MATCH(4,tblRegister[Action rank],0)),"")</f>
        <v>89.1723075473803</v>
      </c>
      <c r="I36" s="40">
        <f>IFERROR(INDEX(tblRegister[Reorder point],MATCH(4,tblRegister[Action rank],0)),"")</f>
        <v>229.17230754738</v>
      </c>
      <c r="J36" s="43">
        <f>IFERROR(INDEX(tblRegister[Gap value],MATCH(4,tblRegister[Action rank],0)),"")</f>
        <v>-12426.18</v>
      </c>
      <c r="K36" s="44" t="str">
        <f>IFERROR(INDEX(tblRegister[Current vs recommended],MATCH(4,tblRegister[Action rank],0)),"")</f>
        <v>Below target</v>
      </c>
      <c r="L36" s="44"/>
    </row>
    <row r="37" spans="2:12">
      <c r="B37" s="53" t="s">
        <v>175</v>
      </c>
      <c r="C37" s="54" t="str">
        <f>IFERROR(INDEX(tblRegister[Item],MATCH(5,tblRegister[Action rank],0)),"")</f>
        <v>MOT-15</v>
      </c>
      <c r="D37" s="54" t="str">
        <f>IFERROR(INDEX(tblRegister[Description],MATCH(5,tblRegister[Action rank],0)),"")</f>
        <v>Motor, 15 kW</v>
      </c>
      <c r="E37" s="54"/>
      <c r="F37" s="44" t="str">
        <f>IFERROR(INDEX(tblRegister[Class],MATCH(5,tblRegister[Action rank],0)),"")</f>
        <v>A</v>
      </c>
      <c r="G37" s="40">
        <f>IFERROR(INDEX(tblRegister[Current safety stock],MATCH(5,tblRegister[Action rank],0)),"")</f>
        <v>30</v>
      </c>
      <c r="H37" s="40">
        <f>IFERROR(INDEX(tblRegister[Safety stock],MATCH(5,tblRegister[Action rank],0)),"")</f>
        <v>42.4724013985814</v>
      </c>
      <c r="I37" s="40">
        <f>IFERROR(INDEX(tblRegister[Reorder point],MATCH(5,tblRegister[Action rank],0)),"")</f>
        <v>114.472401398581</v>
      </c>
      <c r="J37" s="43">
        <f>IFERROR(INDEX(tblRegister[Gap value],MATCH(5,tblRegister[Action rank],0)),"")</f>
        <v>-11724.06</v>
      </c>
      <c r="K37" s="44" t="str">
        <f>IFERROR(INDEX(tblRegister[Current vs recommended],MATCH(5,tblRegister[Action rank],0)),"")</f>
        <v>Below target</v>
      </c>
      <c r="L37" s="44"/>
    </row>
    <row r="38" spans="2:12">
      <c r="B38" s="53" t="s">
        <v>176</v>
      </c>
      <c r="C38" s="54" t="str">
        <f>IFERROR(INDEX(tblRegister[Item],MATCH(6,tblRegister[Action rank],0)),"")</f>
        <v>SHF-40</v>
      </c>
      <c r="D38" s="54" t="str">
        <f>IFERROR(INDEX(tblRegister[Description],MATCH(6,tblRegister[Action rank],0)),"")</f>
        <v>Shaft, stainless, 40 mm</v>
      </c>
      <c r="E38" s="54"/>
      <c r="F38" s="44" t="str">
        <f>IFERROR(INDEX(tblRegister[Class],MATCH(6,tblRegister[Action rank],0)),"")</f>
        <v>A</v>
      </c>
      <c r="G38" s="40">
        <f>IFERROR(INDEX(tblRegister[Current safety stock],MATCH(6,tblRegister[Action rank],0)),"")</f>
        <v>165</v>
      </c>
      <c r="H38" s="40">
        <f>IFERROR(INDEX(tblRegister[Safety stock],MATCH(6,tblRegister[Action rank],0)),"")</f>
        <v>67.7114506348118</v>
      </c>
      <c r="I38" s="40">
        <f>IFERROR(INDEX(tblRegister[Reorder point],MATCH(6,tblRegister[Action rank],0)),"")</f>
        <v>232.711450634812</v>
      </c>
      <c r="J38" s="43">
        <f>IFERROR(INDEX(tblRegister[Gap value],MATCH(6,tblRegister[Action rank],0)),"")</f>
        <v>8561.39</v>
      </c>
      <c r="K38" s="44" t="str">
        <f>IFERROR(INDEX(tblRegister[Current vs recommended],MATCH(6,tblRegister[Action rank],0)),"")</f>
        <v>Above target</v>
      </c>
      <c r="L38" s="44"/>
    </row>
    <row r="39" spans="2:12">
      <c r="B39" s="53" t="s">
        <v>177</v>
      </c>
      <c r="C39" s="54" t="str">
        <f>IFERROR(INDEX(tblRegister[Item],MATCH(7,tblRegister[Action rank],0)),"")</f>
        <v>MOT-7</v>
      </c>
      <c r="D39" s="54" t="str">
        <f>IFERROR(INDEX(tblRegister[Description],MATCH(7,tblRegister[Action rank],0)),"")</f>
        <v>Motor, 7.5 kW</v>
      </c>
      <c r="E39" s="54"/>
      <c r="F39" s="44" t="str">
        <f>IFERROR(INDEX(tblRegister[Class],MATCH(7,tblRegister[Action rank],0)),"")</f>
        <v>A</v>
      </c>
      <c r="G39" s="40">
        <f>IFERROR(INDEX(tblRegister[Current safety stock],MATCH(7,tblRegister[Action rank],0)),"")</f>
        <v>42</v>
      </c>
      <c r="H39" s="40">
        <f>IFERROR(INDEX(tblRegister[Safety stock],MATCH(7,tblRegister[Action rank],0)),"")</f>
        <v>53.3294967156417</v>
      </c>
      <c r="I39" s="40">
        <f>IFERROR(INDEX(tblRegister[Reorder point],MATCH(7,tblRegister[Action rank],0)),"")</f>
        <v>165.329496715642</v>
      </c>
      <c r="J39" s="43">
        <f>IFERROR(INDEX(tblRegister[Gap value],MATCH(7,tblRegister[Action rank],0)),"")</f>
        <v>-6910.99</v>
      </c>
      <c r="K39" s="44" t="str">
        <f>IFERROR(INDEX(tblRegister[Current vs recommended],MATCH(7,tblRegister[Action rank],0)),"")</f>
        <v>Below target</v>
      </c>
      <c r="L39" s="44"/>
    </row>
    <row r="40" spans="2:12">
      <c r="B40" s="53" t="s">
        <v>178</v>
      </c>
      <c r="C40" s="54" t="str">
        <f>IFERROR(INDEX(tblRegister[Item],MATCH(8,tblRegister[Action rank],0)),"")</f>
        <v>IMP-250</v>
      </c>
      <c r="D40" s="54" t="str">
        <f>IFERROR(INDEX(tblRegister[Description],MATCH(8,tblRegister[Action rank],0)),"")</f>
        <v>Impeller, cast bronze, 250 mm</v>
      </c>
      <c r="E40" s="54"/>
      <c r="F40" s="44" t="str">
        <f>IFERROR(INDEX(tblRegister[Class],MATCH(8,tblRegister[Action rank],0)),"")</f>
        <v>A</v>
      </c>
      <c r="G40" s="40">
        <f>IFERROR(INDEX(tblRegister[Current safety stock],MATCH(8,tblRegister[Action rank],0)),"")</f>
        <v>126</v>
      </c>
      <c r="H40" s="40">
        <f>IFERROR(INDEX(tblRegister[Safety stock],MATCH(8,tblRegister[Action rank],0)),"")</f>
        <v>153.995018074436</v>
      </c>
      <c r="I40" s="40">
        <f>IFERROR(INDEX(tblRegister[Reorder point],MATCH(8,tblRegister[Action rank],0)),"")</f>
        <v>405.995018074436</v>
      </c>
      <c r="J40" s="43">
        <f>IFERROR(INDEX(tblRegister[Gap value],MATCH(8,tblRegister[Action rank],0)),"")</f>
        <v>-5207.07</v>
      </c>
      <c r="K40" s="44" t="str">
        <f>IFERROR(INDEX(tblRegister[Current vs recommended],MATCH(8,tblRegister[Action rank],0)),"")</f>
        <v>Below target</v>
      </c>
      <c r="L40" s="44"/>
    </row>
    <row r="41" spans="2:12">
      <c r="B41" s="53" t="s">
        <v>179</v>
      </c>
      <c r="C41" s="54" t="str">
        <f>IFERROR(INDEX(tblRegister[Item],MATCH(9,tblRegister[Action rank],0)),"")</f>
        <v>BRG-62</v>
      </c>
      <c r="D41" s="54" t="str">
        <f>IFERROR(INDEX(tblRegister[Description],MATCH(9,tblRegister[Action rank],0)),"")</f>
        <v>Bearing 6206</v>
      </c>
      <c r="E41" s="54"/>
      <c r="F41" s="44" t="str">
        <f>IFERROR(INDEX(tblRegister[Class],MATCH(9,tblRegister[Action rank],0)),"")</f>
        <v>B</v>
      </c>
      <c r="G41" s="40">
        <f>IFERROR(INDEX(tblRegister[Current safety stock],MATCH(9,tblRegister[Action rank],0)),"")</f>
        <v>660</v>
      </c>
      <c r="H41" s="40">
        <f>IFERROR(INDEX(tblRegister[Safety stock],MATCH(9,tblRegister[Action rank],0)),"")</f>
        <v>165.848397889713</v>
      </c>
      <c r="I41" s="40">
        <f>IFERROR(INDEX(tblRegister[Reorder point],MATCH(9,tblRegister[Action rank],0)),"")</f>
        <v>605.848397889713</v>
      </c>
      <c r="J41" s="43">
        <f>IFERROR(INDEX(tblRegister[Gap value],MATCH(9,tblRegister[Action rank],0)),"")</f>
        <v>3162.57</v>
      </c>
      <c r="K41" s="44" t="str">
        <f>IFERROR(INDEX(tblRegister[Current vs recommended],MATCH(9,tblRegister[Action rank],0)),"")</f>
        <v>Above target</v>
      </c>
      <c r="L41" s="44"/>
    </row>
    <row r="42" spans="2:12">
      <c r="B42" s="53" t="s">
        <v>180</v>
      </c>
      <c r="C42" s="54" t="str">
        <f>IFERROR(INDEX(tblRegister[Item],MATCH(10,tblRegister[Action rank],0)),"")</f>
        <v>BRG-63</v>
      </c>
      <c r="D42" s="54" t="str">
        <f>IFERROR(INDEX(tblRegister[Description],MATCH(10,tblRegister[Action rank],0)),"")</f>
        <v>Bearing 6306</v>
      </c>
      <c r="E42" s="54"/>
      <c r="F42" s="44" t="str">
        <f>IFERROR(INDEX(tblRegister[Class],MATCH(10,tblRegister[Action rank],0)),"")</f>
        <v>B</v>
      </c>
      <c r="G42" s="40">
        <f>IFERROR(INDEX(tblRegister[Current safety stock],MATCH(10,tblRegister[Action rank],0)),"")</f>
        <v>480</v>
      </c>
      <c r="H42" s="40">
        <f>IFERROR(INDEX(tblRegister[Safety stock],MATCH(10,tblRegister[Action rank],0)),"")</f>
        <v>125.975601319535</v>
      </c>
      <c r="I42" s="40">
        <f>IFERROR(INDEX(tblRegister[Reorder point],MATCH(10,tblRegister[Action rank],0)),"")</f>
        <v>445.975601319535</v>
      </c>
      <c r="J42" s="43">
        <f>IFERROR(INDEX(tblRegister[Gap value],MATCH(10,tblRegister[Action rank],0)),"")</f>
        <v>3150.82</v>
      </c>
      <c r="K42" s="44" t="str">
        <f>IFERROR(INDEX(tblRegister[Current vs recommended],MATCH(10,tblRegister[Action rank],0)),"")</f>
        <v>Above target</v>
      </c>
      <c r="L42" s="44"/>
    </row>
    <row r="44" spans="2:12">
      <c r="B44" s="30" t="s">
        <v>181</v>
      </c>
      <c r="C44" s="30"/>
      <c r="D44" s="30"/>
      <c r="E44" s="30"/>
      <c r="F44" s="30"/>
      <c r="G44" s="30"/>
      <c r="H44" s="30"/>
      <c r="I44" s="30"/>
      <c r="J44" s="30"/>
      <c r="K44" s="30"/>
    </row>
    <row r="45" spans="2:12" ht="32" customHeight="1">
      <c r="B45" s="52" t="s">
        <v>60</v>
      </c>
      <c r="C45" s="31" t="s">
        <v>92</v>
      </c>
      <c r="D45" s="31" t="s">
        <v>182</v>
      </c>
      <c r="E45" s="31" t="s">
        <v>183</v>
      </c>
      <c r="F45" s="31" t="s">
        <v>184</v>
      </c>
      <c r="G45" s="31" t="s">
        <v>101</v>
      </c>
      <c r="H45" s="31" t="s">
        <v>185</v>
      </c>
      <c r="I45" s="31" t="s">
        <v>186</v>
      </c>
      <c r="J45" s="31" t="s">
        <v>187</v>
      </c>
      <c r="K45" s="31" t="s">
        <v>188</v>
      </c>
    </row>
    <row r="46" spans="2:12" ht="14" customHeight="1">
      <c r="B46" s="35"/>
      <c r="C46" s="35"/>
      <c r="D46" s="35"/>
      <c r="E46" s="35" t="str">
        <f>Currency</f>
        <v>GBP</v>
      </c>
      <c r="F46" s="35" t="str">
        <f>Currency</f>
        <v>GBP</v>
      </c>
      <c r="G46" s="35" t="str">
        <f>Currency</f>
        <v>GBP</v>
      </c>
      <c r="H46" s="35" t="str">
        <f>Currency&amp;"/year"</f>
        <v>GBP/year</v>
      </c>
      <c r="I46" s="35"/>
      <c r="J46" s="35"/>
      <c r="K46" s="35"/>
    </row>
    <row r="47" spans="2:12">
      <c r="B47" s="53" t="str">
        <f>IFERROR(INDEX(tblClasses[Class],1)&amp;"","")</f>
        <v>A</v>
      </c>
      <c r="C47" s="39">
        <f>IF($B$47="","",INDEX(tblClasses[Cycle service level],1))</f>
        <v>0.98</v>
      </c>
      <c r="D47" s="40">
        <f>IF($B$47="","",COUNTIFS(tblRegister[Class],$B$47))</f>
        <v>7</v>
      </c>
      <c r="E47" s="40">
        <f>IF($B$47="","",SUMIFS(tblRegister[Safety stock value],tblRegister[Class],$B$47))</f>
        <v>224857.971352357</v>
      </c>
      <c r="F47" s="40">
        <f>IF($B$47="","",SUMPRODUCT((tblRegister[Class]=$B$47)*1,tblRegister[Current safety stock],tblRegister[Unit cost]))</f>
        <v>146676</v>
      </c>
      <c r="G47" s="43">
        <f>IF($B$47="","",SUMIFS(tblRegister[Gap value],tblRegister[Class],$B$47))</f>
        <v>-78181.97</v>
      </c>
      <c r="H47" s="40">
        <f>IF($B$47="","",SUMIFS(tblRegister[Annual holding cost],tblRegister[Class],$B$47))</f>
        <v>49468.7536975186</v>
      </c>
      <c r="I47" s="40">
        <f>IF($B$47="","",COUNTIFS(tblRegister[Class],$B$47,tblRegister[Current vs recommended],"Below target"))</f>
        <v>5</v>
      </c>
      <c r="J47" s="40">
        <f>IF($B$47="","",COUNTIFS(tblRegister[Class],$B$47,tblRegister[Current vs recommended],"Above target"))</f>
        <v>2</v>
      </c>
      <c r="K47" s="40">
        <f>IF($B$47="","",COUNTIFS(tblRegister[Class],$B$47,tblRegister[Lead-time share],"&gt;0.5"))</f>
        <v>7</v>
      </c>
    </row>
    <row r="48" spans="2:12">
      <c r="B48" s="53" t="str">
        <f>IFERROR(INDEX(tblClasses[Class],2)&amp;"","")</f>
        <v>B</v>
      </c>
      <c r="C48" s="39">
        <f>IF($B$48="","",INDEX(tblClasses[Cycle service level],2))</f>
        <v>0.95</v>
      </c>
      <c r="D48" s="40">
        <f>IF($B$48="","",COUNTIFS(tblRegister[Class],$B$48))</f>
        <v>8</v>
      </c>
      <c r="E48" s="40">
        <f>IF($B$48="","",SUMIFS(tblRegister[Safety stock value],tblRegister[Class],$B$48))</f>
        <v>33644.6317380884</v>
      </c>
      <c r="F48" s="40">
        <f>IF($B$48="","",SUMPRODUCT((tblRegister[Class]=$B$48)*1,tblRegister[Current safety stock],tblRegister[Unit cost]))</f>
        <v>36666</v>
      </c>
      <c r="G48" s="43">
        <f>IF($B$48="","",SUMIFS(tblRegister[Gap value],tblRegister[Class],$B$48))</f>
        <v>3021.37</v>
      </c>
      <c r="H48" s="40">
        <f>IF($B$48="","",SUMIFS(tblRegister[Annual holding cost],tblRegister[Class],$B$48))</f>
        <v>7401.81898237944</v>
      </c>
      <c r="I48" s="40">
        <f>IF($B$48="","",COUNTIFS(tblRegister[Class],$B$48,tblRegister[Current vs recommended],"Below target"))</f>
        <v>1</v>
      </c>
      <c r="J48" s="40">
        <f>IF($B$48="","",COUNTIFS(tblRegister[Class],$B$48,tblRegister[Current vs recommended],"Above target"))</f>
        <v>5</v>
      </c>
      <c r="K48" s="40">
        <f>IF($B$48="","",COUNTIFS(tblRegister[Class],$B$48,tblRegister[Lead-time share],"&gt;0.5"))</f>
        <v>4</v>
      </c>
    </row>
    <row r="49" spans="2:12">
      <c r="B49" s="53" t="str">
        <f>IFERROR(INDEX(tblClasses[Class],3)&amp;"","")</f>
        <v>C</v>
      </c>
      <c r="C49" s="39">
        <f>IF($B$49="","",INDEX(tblClasses[Cycle service level],3))</f>
        <v>0.9</v>
      </c>
      <c r="D49" s="40">
        <f>IF($B$49="","",COUNTIFS(tblRegister[Class],$B$49))</f>
        <v>9</v>
      </c>
      <c r="E49" s="40">
        <f>IF($B$49="","",SUMIFS(tblRegister[Safety stock value],tblRegister[Class],$B$49))</f>
        <v>2478.47626602937</v>
      </c>
      <c r="F49" s="40">
        <f>IF($B$49="","",SUMPRODUCT((tblRegister[Class]=$B$49)*1,tblRegister[Current safety stock],tblRegister[Unit cost]))</f>
        <v>11256</v>
      </c>
      <c r="G49" s="43">
        <f>IF($B$49="","",SUMIFS(tblRegister[Gap value],tblRegister[Class],$B$49))</f>
        <v>8777.52</v>
      </c>
      <c r="H49" s="40">
        <f>IF($B$49="","",SUMIFS(tblRegister[Annual holding cost],tblRegister[Class],$B$49))</f>
        <v>545.264778526462</v>
      </c>
      <c r="I49" s="40">
        <f>IF($B$49="","",COUNTIFS(tblRegister[Class],$B$49,tblRegister[Current vs recommended],"Below target"))</f>
        <v>0</v>
      </c>
      <c r="J49" s="40">
        <f>IF($B$49="","",COUNTIFS(tblRegister[Class],$B$49,tblRegister[Current vs recommended],"Above target"))</f>
        <v>9</v>
      </c>
      <c r="K49" s="40">
        <f>IF($B$49="","",COUNTIFS(tblRegister[Class],$B$49,tblRegister[Lead-time share],"&gt;0.5"))</f>
        <v>1</v>
      </c>
    </row>
    <row r="50" spans="2:12">
      <c r="B50" s="55" t="s">
        <v>189</v>
      </c>
      <c r="D50" s="56">
        <f>SUM($D$47:$D$49)</f>
        <v>24</v>
      </c>
      <c r="E50" s="56">
        <f>SUM($E$47:$E$49)</f>
        <v>260981.079356475</v>
      </c>
      <c r="F50" s="56">
        <f>SUM($F$47:$F$49)</f>
        <v>194598</v>
      </c>
      <c r="G50" s="57">
        <f>SUM($G$47:$G$49)</f>
        <v>-66383.08</v>
      </c>
      <c r="H50" s="56">
        <f>SUM($H$47:$H$49)</f>
        <v>57415.8374584245</v>
      </c>
      <c r="I50" s="56">
        <f>SUM($I$47:$I$49)</f>
        <v>6</v>
      </c>
      <c r="J50" s="56">
        <f>SUM($J$47:$J$49)</f>
        <v>16</v>
      </c>
      <c r="K50" s="56">
        <f>SUM($K$47:$K$49)</f>
        <v>12</v>
      </c>
    </row>
    <row r="52" spans="2:12">
      <c r="B52" s="30" t="s">
        <v>190</v>
      </c>
      <c r="C52" s="30"/>
      <c r="D52" s="30"/>
      <c r="E52" s="30"/>
      <c r="F52" s="30"/>
      <c r="G52" s="30"/>
    </row>
    <row r="53" spans="2:12" ht="45.5" customHeight="1">
      <c r="B53" s="52" t="s">
        <v>191</v>
      </c>
      <c r="C53" s="31" t="s">
        <v>62</v>
      </c>
      <c r="D53" s="31" t="s">
        <v>192</v>
      </c>
      <c r="E53" s="31" t="s">
        <v>193</v>
      </c>
      <c r="F53" s="31" t="s">
        <v>194</v>
      </c>
      <c r="G53" s="31" t="s">
        <v>195</v>
      </c>
    </row>
    <row r="54" spans="2:12" ht="14" customHeight="1">
      <c r="B54" s="35"/>
      <c r="C54" s="35"/>
      <c r="D54" s="35" t="str">
        <f>Currency</f>
        <v>GBP</v>
      </c>
      <c r="E54" s="35" t="str">
        <f>Currency&amp;"/year"</f>
        <v>GBP/year</v>
      </c>
      <c r="F54" s="35" t="str">
        <f>Currency</f>
        <v>GBP</v>
      </c>
      <c r="G54" s="35" t="str">
        <f>Currency</f>
        <v>GBP</v>
      </c>
    </row>
    <row r="55" spans="2:12">
      <c r="B55" s="58">
        <v>0.9</v>
      </c>
      <c r="C55" s="33">
        <f>_xlfn.NORM.S.INV($B$55)</f>
        <v>1.2815515655446</v>
      </c>
      <c r="D55" s="40">
        <f>_xlfn.NORM.S.INV($B$55)*SUMPRODUCT(tblRegister[Std dev of LT demand],tblRegister[Unit cost])</f>
        <v>169004.666723965</v>
      </c>
      <c r="E55" s="40">
        <f>$D$55*CarryRate</f>
        <v>37181.0266792724</v>
      </c>
      <c r="F55" s="59">
        <f>SUMPRODUCT(tblRegister[Current safety stock],tblRegister[Unit cost])</f>
        <v>194598</v>
      </c>
      <c r="G55" s="43">
        <f>$D$55-$F$55</f>
        <v>-25593.3332760346</v>
      </c>
    </row>
    <row r="56" spans="2:12">
      <c r="B56" s="58">
        <v>0.92</v>
      </c>
      <c r="C56" s="33">
        <f>_xlfn.NORM.S.INV($B$56)</f>
        <v>1.40507156030963</v>
      </c>
      <c r="D56" s="40">
        <f>_xlfn.NORM.S.INV($B$56)*SUMPRODUCT(tblRegister[Std dev of LT demand],tblRegister[Unit cost])</f>
        <v>185293.871240008</v>
      </c>
      <c r="E56" s="40">
        <f>$D$56*CarryRate</f>
        <v>40764.6516728017</v>
      </c>
      <c r="F56" s="59">
        <f>SUMPRODUCT(tblRegister[Current safety stock],tblRegister[Unit cost])</f>
        <v>194598</v>
      </c>
      <c r="G56" s="43">
        <f>$D$56-$F$56</f>
        <v>-9304.12875999228</v>
      </c>
    </row>
    <row r="57" spans="2:12">
      <c r="B57" s="58">
        <v>0.95</v>
      </c>
      <c r="C57" s="33">
        <f>_xlfn.NORM.S.INV($B$57)</f>
        <v>1.64485362695147</v>
      </c>
      <c r="D57" s="40">
        <f>_xlfn.NORM.S.INV($B$57)*SUMPRODUCT(tblRegister[Std dev of LT demand],tblRegister[Unit cost])</f>
        <v>216915.141385284</v>
      </c>
      <c r="E57" s="40">
        <f>$D$57*CarryRate</f>
        <v>47721.3311047625</v>
      </c>
      <c r="F57" s="59">
        <f>SUMPRODUCT(tblRegister[Current safety stock],tblRegister[Unit cost])</f>
        <v>194598</v>
      </c>
      <c r="G57" s="43">
        <f>$D$57-$F$57</f>
        <v>22317.1413852841</v>
      </c>
    </row>
    <row r="58" spans="2:12">
      <c r="B58" s="58">
        <v>0.97</v>
      </c>
      <c r="C58" s="33">
        <f>_xlfn.NORM.S.INV($B$58)</f>
        <v>1.88079360815125</v>
      </c>
      <c r="D58" s="40">
        <f>_xlfn.NORM.S.INV($B$58)*SUMPRODUCT(tblRegister[Std dev of LT demand],tblRegister[Unit cost])</f>
        <v>248029.736350944</v>
      </c>
      <c r="E58" s="40">
        <f>$D$58*CarryRate</f>
        <v>54566.5419972076</v>
      </c>
      <c r="F58" s="59">
        <f>SUMPRODUCT(tblRegister[Current safety stock],tblRegister[Unit cost])</f>
        <v>194598</v>
      </c>
      <c r="G58" s="43">
        <f>$D$58-$F$58</f>
        <v>53431.7363509437</v>
      </c>
    </row>
    <row r="59" spans="2:12">
      <c r="B59" s="58">
        <v>0.98</v>
      </c>
      <c r="C59" s="33">
        <f>_xlfn.NORM.S.INV($B$59)</f>
        <v>2.05374891063182</v>
      </c>
      <c r="D59" s="40">
        <f>_xlfn.NORM.S.INV($B$59)*SUMPRODUCT(tblRegister[Std dev of LT demand],tblRegister[Unit cost])</f>
        <v>270838.224155685</v>
      </c>
      <c r="E59" s="40">
        <f>$D$59*CarryRate</f>
        <v>59584.4093142508</v>
      </c>
      <c r="F59" s="59">
        <f>SUMPRODUCT(tblRegister[Current safety stock],tblRegister[Unit cost])</f>
        <v>194598</v>
      </c>
      <c r="G59" s="43">
        <f>$D$59-$F$59</f>
        <v>76240.2241556854</v>
      </c>
    </row>
    <row r="60" spans="2:12">
      <c r="B60" s="58">
        <v>0.99</v>
      </c>
      <c r="C60" s="33">
        <f>_xlfn.NORM.S.INV($B$60)</f>
        <v>2.32634787404084</v>
      </c>
      <c r="D60" s="40">
        <f>_xlfn.NORM.S.INV($B$60)*SUMPRODUCT(tblRegister[Std dev of LT demand],tblRegister[Unit cost])</f>
        <v>306787.223945375</v>
      </c>
      <c r="E60" s="40">
        <f>$D$60*CarryRate</f>
        <v>67493.1892679826</v>
      </c>
      <c r="F60" s="59">
        <f>SUMPRODUCT(tblRegister[Current safety stock],tblRegister[Unit cost])</f>
        <v>194598</v>
      </c>
      <c r="G60" s="43">
        <f>$D$60-$F$60</f>
        <v>112189.223945375</v>
      </c>
    </row>
    <row r="61" spans="2:12">
      <c r="B61" s="58">
        <v>0.995</v>
      </c>
      <c r="C61" s="33">
        <f>_xlfn.NORM.S.INV($B$61)</f>
        <v>2.5758293035489</v>
      </c>
      <c r="D61" s="40">
        <f>_xlfn.NORM.S.INV($B$61)*SUMPRODUCT(tblRegister[Std dev of LT demand],tblRegister[Unit cost])</f>
        <v>339687.597977465</v>
      </c>
      <c r="E61" s="40">
        <f>$D$61*CarryRate</f>
        <v>74731.2715550424</v>
      </c>
      <c r="F61" s="59">
        <f>SUMPRODUCT(tblRegister[Current safety stock],tblRegister[Unit cost])</f>
        <v>194598</v>
      </c>
      <c r="G61" s="43">
        <f>$D$61-$F$61</f>
        <v>145089.597977465</v>
      </c>
    </row>
    <row r="62" spans="2:12" ht="8" customHeight="1"/>
    <row r="63" spans="2:12">
      <c r="B63" s="21" t="s">
        <v>196</v>
      </c>
      <c r="C63" s="21"/>
      <c r="D63" s="21"/>
      <c r="E63" s="21"/>
      <c r="F63" s="21"/>
      <c r="G63" s="21"/>
      <c r="H63" s="21"/>
      <c r="I63" s="21"/>
      <c r="J63" s="21"/>
      <c r="K63" s="21"/>
      <c r="L63" s="21"/>
    </row>
    <row r="64" spans="2:12">
      <c r="B64" s="60">
        <f>IF(COUNTA(tblClasses[Class])&gt;3,"The class list is longer than the Dashboard block: some classes are not shown.","")</f>
        <v/>
      </c>
      <c r="C64" s="60"/>
      <c r="D64" s="60"/>
      <c r="E64" s="60"/>
      <c r="F64" s="60"/>
      <c r="G64" s="60"/>
      <c r="H64" s="60"/>
      <c r="I64" s="60"/>
      <c r="J64" s="60"/>
      <c r="K64" s="60"/>
      <c r="L64" s="60"/>
    </row>
  </sheetData>
  <sheetProtection sheet="1" formatColumns="0" formatRows="0"/>
  <mergeCells count="49">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L30"/>
    <mergeCell ref="D31:E31"/>
    <mergeCell ref="K31:L31"/>
    <mergeCell ref="D32:E32"/>
    <mergeCell ref="K32:L32"/>
    <mergeCell ref="D33:E33"/>
    <mergeCell ref="D34:E34"/>
    <mergeCell ref="D35:E35"/>
    <mergeCell ref="D36:E36"/>
    <mergeCell ref="D37:E37"/>
    <mergeCell ref="D38:E38"/>
    <mergeCell ref="D39:E39"/>
    <mergeCell ref="D40:E40"/>
    <mergeCell ref="D41:E41"/>
    <mergeCell ref="D42:E42"/>
    <mergeCell ref="K33:L33"/>
    <mergeCell ref="K34:L34"/>
    <mergeCell ref="K35:L35"/>
    <mergeCell ref="K36:L36"/>
    <mergeCell ref="K37:L37"/>
    <mergeCell ref="K38:L38"/>
    <mergeCell ref="K39:L39"/>
    <mergeCell ref="K40:L40"/>
    <mergeCell ref="K41:L41"/>
    <mergeCell ref="K42:L42"/>
    <mergeCell ref="B44:K44"/>
    <mergeCell ref="B52:G52"/>
    <mergeCell ref="B63:L63"/>
    <mergeCell ref="B64:L64"/>
  </mergeCells>
  <conditionalFormatting sqref="K33:K42">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dataValidations count="7">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55">
      <formula1>0.5</formula1>
      <formula2>0.9999</formula2>
    </dataValidation>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56">
      <formula1>0.5</formula1>
      <formula2>0.9999</formula2>
    </dataValidation>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57">
      <formula1>0.5</formula1>
      <formula2>0.9999</formula2>
    </dataValidation>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58">
      <formula1>0.5</formula1>
      <formula2>0.9999</formula2>
    </dataValidation>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59">
      <formula1>0.5</formula1>
      <formula2>0.9999</formula2>
    </dataValidation>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60">
      <formula1>0.5</formula1>
      <formula2>0.9999</formula2>
    </dataValidation>
    <dataValidation type="decimal" allowBlank="1" showInputMessage="1" showErrorMessage="1" errorTitle="Check this entry" error="Enter a percentage from 50% to 99.99% (type 85% or 0.85)." promptTitle="Service level" prompt="A service level to price: every item at this level. Enter a percentage from 50% to 99.99% (type 85% or 0.85)." sqref="B61">
      <formula1>0.5</formula1>
      <formula2>0.9999</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Safety Stock Planner&amp;R&amp;8&amp;A</oddHeader>
    <oddFooter>&amp;L&amp;8mfgcalcs.com - free manufacturing templates&amp;R&amp;8Page &amp;P of &amp;N</oddFooter>
  </headerFooter>
  <rowBreaks count="2" manualBreakCount="2">
    <brk id="29" max="16383" man="1"/>
    <brk id="51"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60"/>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197</v>
      </c>
      <c r="C4" s="8"/>
      <c r="D4" s="8"/>
    </row>
    <row r="5" spans="1:4" ht="5" customHeight="1"/>
    <row r="6" spans="1:4" ht="69" customHeight="1">
      <c r="B6" s="10" t="s">
        <v>198</v>
      </c>
      <c r="C6" s="10"/>
      <c r="D6" s="10"/>
    </row>
    <row r="8" spans="1:4" ht="21" customHeight="1">
      <c r="B8" s="8" t="s">
        <v>199</v>
      </c>
      <c r="C8" s="8"/>
      <c r="D8" s="8"/>
    </row>
    <row r="9" spans="1:4" ht="5" customHeight="1"/>
    <row r="10" spans="1:4" ht="20" customHeight="1">
      <c r="B10" s="52" t="s">
        <v>200</v>
      </c>
      <c r="C10" s="52" t="s">
        <v>201</v>
      </c>
      <c r="D10" s="31" t="s">
        <v>202</v>
      </c>
    </row>
    <row r="11" spans="1:4" ht="30.4" customHeight="1">
      <c r="B11" s="61" t="s">
        <v>62</v>
      </c>
      <c r="C11" s="62" t="s">
        <v>203</v>
      </c>
      <c r="D11" s="63" t="s">
        <v>204</v>
      </c>
    </row>
    <row r="12" spans="1:4" ht="17.2" customHeight="1">
      <c r="B12" s="61" t="s">
        <v>93</v>
      </c>
      <c r="C12" s="62" t="s">
        <v>205</v>
      </c>
      <c r="D12" s="63" t="s">
        <v>107</v>
      </c>
    </row>
    <row r="13" spans="1:4" ht="17.2" customHeight="1">
      <c r="B13" s="61" t="s">
        <v>94</v>
      </c>
      <c r="C13" s="62" t="s">
        <v>206</v>
      </c>
      <c r="D13" s="63" t="s">
        <v>107</v>
      </c>
    </row>
    <row r="14" spans="1:4" ht="17.2" customHeight="1">
      <c r="B14" s="61" t="s">
        <v>95</v>
      </c>
      <c r="C14" s="62" t="s">
        <v>207</v>
      </c>
      <c r="D14" s="63" t="s">
        <v>107</v>
      </c>
    </row>
    <row r="15" spans="1:4" ht="30.4" customHeight="1">
      <c r="B15" s="61" t="s">
        <v>96</v>
      </c>
      <c r="C15" s="62" t="s">
        <v>208</v>
      </c>
      <c r="D15" s="63" t="s">
        <v>107</v>
      </c>
    </row>
    <row r="16" spans="1:4" ht="30.4" customHeight="1">
      <c r="B16" s="61" t="s">
        <v>97</v>
      </c>
      <c r="C16" s="62" t="s">
        <v>209</v>
      </c>
      <c r="D16" s="63" t="s">
        <v>210</v>
      </c>
    </row>
    <row r="17" spans="2:4" ht="30.4" customHeight="1">
      <c r="B17" s="61" t="s">
        <v>211</v>
      </c>
      <c r="C17" s="62" t="s">
        <v>212</v>
      </c>
      <c r="D17" s="63" t="s">
        <v>213</v>
      </c>
    </row>
    <row r="18" spans="2:4" ht="17.2" customHeight="1">
      <c r="B18" s="61" t="s">
        <v>214</v>
      </c>
      <c r="C18" s="62" t="s">
        <v>215</v>
      </c>
      <c r="D18" s="63" t="s">
        <v>216</v>
      </c>
    </row>
    <row r="19" spans="2:4" ht="30.4" customHeight="1">
      <c r="B19" s="61" t="s">
        <v>102</v>
      </c>
      <c r="C19" s="62" t="s">
        <v>217</v>
      </c>
      <c r="D19" s="63" t="s">
        <v>204</v>
      </c>
    </row>
    <row r="20" spans="2:4" ht="17.2" customHeight="1">
      <c r="B20" s="61" t="s">
        <v>218</v>
      </c>
      <c r="C20" s="62" t="s">
        <v>219</v>
      </c>
      <c r="D20" s="63" t="s">
        <v>220</v>
      </c>
    </row>
    <row r="21" spans="2:4" ht="30.4" customHeight="1">
      <c r="B21" s="61" t="s">
        <v>221</v>
      </c>
      <c r="C21" s="62" t="s">
        <v>222</v>
      </c>
      <c r="D21" s="63" t="s">
        <v>223</v>
      </c>
    </row>
    <row r="22" spans="2:4" ht="30.4" customHeight="1">
      <c r="B22" s="61" t="s">
        <v>224</v>
      </c>
      <c r="C22" s="62" t="s">
        <v>225</v>
      </c>
      <c r="D22" s="63" t="s">
        <v>204</v>
      </c>
    </row>
    <row r="24" spans="2:4" ht="21" customHeight="1">
      <c r="B24" s="8" t="s">
        <v>226</v>
      </c>
      <c r="C24" s="8"/>
      <c r="D24" s="8"/>
    </row>
    <row r="25" spans="2:4" ht="5" customHeight="1"/>
    <row r="26" spans="2:4" ht="29.4" customHeight="1">
      <c r="B26" s="26" t="s">
        <v>53</v>
      </c>
      <c r="C26" s="10" t="s">
        <v>227</v>
      </c>
      <c r="D26" s="10"/>
    </row>
    <row r="27" spans="2:4" ht="29.4" customHeight="1">
      <c r="B27" s="26" t="s">
        <v>53</v>
      </c>
      <c r="C27" s="10" t="s">
        <v>228</v>
      </c>
      <c r="D27" s="10"/>
    </row>
    <row r="28" spans="2:4" ht="29.4" customHeight="1">
      <c r="B28" s="26" t="s">
        <v>53</v>
      </c>
      <c r="C28" s="10" t="s">
        <v>229</v>
      </c>
      <c r="D28" s="10"/>
    </row>
    <row r="29" spans="2:4" ht="29.4" customHeight="1">
      <c r="B29" s="26" t="s">
        <v>53</v>
      </c>
      <c r="C29" s="10" t="s">
        <v>230</v>
      </c>
      <c r="D29" s="10"/>
    </row>
    <row r="30" spans="2:4" ht="29.4" customHeight="1">
      <c r="B30" s="26" t="s">
        <v>53</v>
      </c>
      <c r="C30" s="10" t="s">
        <v>231</v>
      </c>
      <c r="D30" s="10"/>
    </row>
    <row r="32" spans="2:4" ht="21" customHeight="1">
      <c r="B32" s="8" t="s">
        <v>232</v>
      </c>
      <c r="C32" s="8"/>
      <c r="D32" s="8"/>
    </row>
    <row r="33" spans="2:4" ht="5" customHeight="1"/>
    <row r="34" spans="2:4" ht="29.4" customHeight="1">
      <c r="B34" s="26" t="s">
        <v>53</v>
      </c>
      <c r="C34" s="10" t="s">
        <v>233</v>
      </c>
      <c r="D34" s="10"/>
    </row>
    <row r="35" spans="2:4" ht="29.4" customHeight="1">
      <c r="B35" s="26" t="s">
        <v>53</v>
      </c>
      <c r="C35" s="10" t="s">
        <v>234</v>
      </c>
      <c r="D35" s="10"/>
    </row>
    <row r="36" spans="2:4" ht="29.4" customHeight="1">
      <c r="B36" s="26" t="s">
        <v>53</v>
      </c>
      <c r="C36" s="10" t="s">
        <v>235</v>
      </c>
      <c r="D36" s="10"/>
    </row>
    <row r="37" spans="2:4" ht="29.4" customHeight="1">
      <c r="B37" s="26" t="s">
        <v>53</v>
      </c>
      <c r="C37" s="10" t="s">
        <v>236</v>
      </c>
      <c r="D37" s="10"/>
    </row>
    <row r="39" spans="2:4" ht="21" customHeight="1">
      <c r="B39" s="8" t="s">
        <v>237</v>
      </c>
      <c r="C39" s="8"/>
      <c r="D39" s="8"/>
    </row>
    <row r="40" spans="2:4" ht="5" customHeight="1"/>
    <row r="41" spans="2:4" ht="69" customHeight="1">
      <c r="B41" s="10" t="s">
        <v>238</v>
      </c>
      <c r="C41" s="10"/>
      <c r="D41" s="10"/>
    </row>
    <row r="42" spans="2:4">
      <c r="B42" s="24" t="s">
        <v>239</v>
      </c>
      <c r="C42" s="24"/>
      <c r="D42" s="24"/>
    </row>
    <row r="44" spans="2:4" ht="21" customHeight="1">
      <c r="B44" s="8" t="s">
        <v>40</v>
      </c>
      <c r="C44" s="8"/>
      <c r="D44" s="8"/>
    </row>
    <row r="45" spans="2:4" ht="5" customHeight="1"/>
    <row r="46" spans="2:4" ht="42.6" customHeight="1">
      <c r="B46" s="10" t="s">
        <v>240</v>
      </c>
      <c r="C46" s="10"/>
      <c r="D46" s="10"/>
    </row>
    <row r="48" spans="2:4" ht="21" customHeight="1">
      <c r="B48" s="8" t="s">
        <v>241</v>
      </c>
      <c r="C48" s="8"/>
      <c r="D48" s="8"/>
    </row>
    <row r="49" spans="2:4" ht="5" customHeight="1"/>
    <row r="50" spans="2:4" ht="29.4" customHeight="1">
      <c r="B50" s="26" t="s">
        <v>53</v>
      </c>
      <c r="C50" s="10" t="s">
        <v>242</v>
      </c>
      <c r="D50" s="10"/>
    </row>
    <row r="51" spans="2:4" ht="16.2" customHeight="1">
      <c r="B51" s="26" t="s">
        <v>53</v>
      </c>
      <c r="C51" s="10" t="s">
        <v>243</v>
      </c>
      <c r="D51" s="10"/>
    </row>
    <row r="52" spans="2:4" ht="16.2" customHeight="1">
      <c r="B52" s="26" t="s">
        <v>53</v>
      </c>
      <c r="C52" s="10" t="s">
        <v>244</v>
      </c>
      <c r="D52" s="10"/>
    </row>
    <row r="53" spans="2:4">
      <c r="B53" s="21" t="s">
        <v>245</v>
      </c>
      <c r="C53" s="21"/>
      <c r="D53" s="21"/>
    </row>
    <row r="55" spans="2:4" ht="21" customHeight="1">
      <c r="B55" s="8" t="s">
        <v>246</v>
      </c>
      <c r="C55" s="8"/>
      <c r="D55" s="8"/>
    </row>
    <row r="56" spans="2:4" ht="5" customHeight="1"/>
    <row r="57" spans="2:4">
      <c r="B57" s="52" t="s">
        <v>48</v>
      </c>
      <c r="C57" s="52" t="s">
        <v>247</v>
      </c>
      <c r="D57" s="31" t="s">
        <v>248</v>
      </c>
    </row>
    <row r="58" spans="2:4" ht="16.2" customHeight="1">
      <c r="B58" s="64" t="s">
        <v>249</v>
      </c>
      <c r="C58" s="65" t="s">
        <v>250</v>
      </c>
      <c r="D58" s="66" t="s">
        <v>251</v>
      </c>
    </row>
    <row r="60" spans="2:4">
      <c r="B60" s="21" t="s">
        <v>59</v>
      </c>
      <c r="C60" s="21"/>
      <c r="D60" s="21"/>
    </row>
  </sheetData>
  <sheetProtection sheet="1" formatColumns="0" formatRows="0"/>
  <mergeCells count="28">
    <mergeCell ref="A1:D1"/>
    <mergeCell ref="B2:C2"/>
    <mergeCell ref="B4:D4"/>
    <mergeCell ref="B6:D6"/>
    <mergeCell ref="B8:D8"/>
    <mergeCell ref="B24:D24"/>
    <mergeCell ref="C26:D26"/>
    <mergeCell ref="C27:D27"/>
    <mergeCell ref="C28:D28"/>
    <mergeCell ref="C29:D29"/>
    <mergeCell ref="C30:D30"/>
    <mergeCell ref="B32:D32"/>
    <mergeCell ref="C34:D34"/>
    <mergeCell ref="C35:D35"/>
    <mergeCell ref="C36:D36"/>
    <mergeCell ref="C37:D37"/>
    <mergeCell ref="B39:D39"/>
    <mergeCell ref="B41:D41"/>
    <mergeCell ref="B42:D42"/>
    <mergeCell ref="B44:D44"/>
    <mergeCell ref="B46:D46"/>
    <mergeCell ref="B48:D48"/>
    <mergeCell ref="C50:D50"/>
    <mergeCell ref="C51:D51"/>
    <mergeCell ref="C52:D52"/>
    <mergeCell ref="B53:D53"/>
    <mergeCell ref="B55:D55"/>
    <mergeCell ref="B60:D60"/>
  </mergeCells>
  <hyperlinks>
    <hyperlink ref="D2" r:id="rId1" tooltip="Free manufacturing calculators and templates"/>
    <hyperlink ref="B42" r:id="rId2"/>
  </hyperlinks>
  <printOptions horizontalCentered="1"/>
  <pageMargins left="0.4" right="0.4" top="0.7" bottom="0.65" header="0.3" footer="0.3"/>
  <pageSetup fitToHeight="0" orientation="portrait"/>
  <headerFooter>
    <oddHeader>&amp;L&amp;8MFG Calcs - Safety Stock Planner&amp;R&amp;8&amp;A</oddHeader>
    <oddFooter>&amp;L&amp;8mfgcalcs.com - free manufacturing templates&amp;R&amp;8Page &amp;P of &amp;N</oddFooter>
  </headerFooter>
  <rowBreaks count="2" manualBreakCount="2">
    <brk id="23" max="16383" man="1"/>
    <brk id="52"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Y78"/>
  <sheetViews>
    <sheetView showGridLines="0" workbookViewId="0"/>
  </sheetViews>
  <sheetFormatPr defaultRowHeight="15"/>
  <cols>
    <col min="1" max="1" width="2.7109375" customWidth="1"/>
    <col min="2" max="19" width="12.7109375" customWidth="1"/>
    <col min="20" max="20" width="8.7109375" customWidth="1"/>
    <col min="21" max="21" width="10.28515625" customWidth="1"/>
    <col min="22" max="22" width="13.7109375" customWidth="1"/>
    <col min="23" max="23" width="7.7109375" customWidth="1"/>
    <col min="24" max="24" width="19.7109375" customWidth="1"/>
    <col min="25" max="25" width="26.7109375" customWidth="1"/>
  </cols>
  <sheetData>
    <row r="1" spans="1:25" ht="30" customHeight="1">
      <c r="A1" s="1" t="s">
        <v>0</v>
      </c>
      <c r="B1" s="1"/>
      <c r="C1" s="1"/>
      <c r="D1" s="1"/>
      <c r="E1" s="1"/>
      <c r="F1" s="1"/>
      <c r="G1" s="1"/>
      <c r="H1" s="1"/>
      <c r="I1" s="1"/>
      <c r="J1" s="1"/>
      <c r="K1" s="1"/>
      <c r="L1" s="1"/>
      <c r="M1" s="1"/>
      <c r="N1" s="1"/>
      <c r="O1" s="1"/>
      <c r="P1" s="1"/>
      <c r="Q1" s="1"/>
      <c r="R1" s="1"/>
      <c r="S1" s="1"/>
      <c r="T1" s="1"/>
      <c r="U1" s="1"/>
      <c r="V1" s="1"/>
      <c r="W1" s="1"/>
      <c r="X1" s="1"/>
      <c r="Y1" s="1"/>
    </row>
    <row r="2" spans="1:25" ht="21" customHeight="1">
      <c r="B2" s="2" t="s">
        <v>26</v>
      </c>
      <c r="C2" s="2"/>
      <c r="D2" s="2"/>
      <c r="E2" s="2"/>
      <c r="F2" s="2"/>
      <c r="G2" s="2"/>
      <c r="H2" s="2"/>
      <c r="I2" s="2"/>
      <c r="J2" s="2"/>
      <c r="K2" s="2"/>
      <c r="L2" s="2"/>
      <c r="M2" s="2"/>
      <c r="N2" s="2"/>
      <c r="O2" s="2"/>
      <c r="P2" s="2"/>
      <c r="Q2" s="2"/>
      <c r="R2" s="2"/>
      <c r="S2" s="2"/>
      <c r="T2" s="2"/>
      <c r="U2" s="2"/>
      <c r="V2" s="2"/>
      <c r="W2" s="2"/>
      <c r="X2" s="2"/>
      <c r="Y2" s="3" t="s">
        <v>2</v>
      </c>
    </row>
    <row r="3" spans="1:25" ht="6" customHeight="1"/>
    <row r="4" spans="1:25" ht="30" customHeight="1">
      <c r="B4" s="67" t="s">
        <v>252</v>
      </c>
      <c r="C4" s="67"/>
      <c r="D4" s="22" t="str">
        <f>IF(COUNTIF($K$11:$K$33,"PASS")=23,"PASS","FAIL")</f>
        <v>PASS</v>
      </c>
      <c r="E4" s="22"/>
      <c r="F4" s="23" t="str">
        <f>COUNTIF($K$11:$K$33,"PASS")&amp;" of 23 checks pass"</f>
        <v>23 of 23 checks pass</v>
      </c>
      <c r="G4" s="23"/>
      <c r="H4" s="23"/>
      <c r="I4" s="23"/>
      <c r="J4" s="23"/>
    </row>
    <row r="6" spans="1:25" ht="29.4" customHeight="1">
      <c r="B6" s="10" t="s">
        <v>253</v>
      </c>
      <c r="C6" s="10"/>
      <c r="D6" s="10"/>
      <c r="E6" s="10"/>
      <c r="F6" s="10"/>
      <c r="G6" s="10"/>
      <c r="H6" s="10"/>
      <c r="I6" s="10"/>
      <c r="J6" s="10"/>
      <c r="K6" s="10"/>
      <c r="L6" s="10"/>
    </row>
    <row r="8" spans="1:25" ht="21" customHeight="1">
      <c r="B8" s="8" t="s">
        <v>254</v>
      </c>
      <c r="C8" s="8"/>
      <c r="D8" s="8"/>
      <c r="E8" s="8"/>
      <c r="F8" s="8"/>
      <c r="G8" s="8"/>
      <c r="H8" s="8"/>
      <c r="I8" s="8"/>
      <c r="J8" s="8"/>
      <c r="K8" s="8"/>
      <c r="L8" s="8"/>
    </row>
    <row r="9" spans="1:25" ht="5" customHeight="1"/>
    <row r="10" spans="1:25" ht="30" customHeight="1">
      <c r="B10" s="31" t="s">
        <v>255</v>
      </c>
      <c r="C10" s="52" t="s">
        <v>104</v>
      </c>
      <c r="D10" s="52"/>
      <c r="E10" s="52"/>
      <c r="F10" s="52"/>
      <c r="G10" s="31" t="s">
        <v>256</v>
      </c>
      <c r="H10" s="31" t="s">
        <v>257</v>
      </c>
      <c r="I10" s="31" t="s">
        <v>258</v>
      </c>
      <c r="J10" s="31" t="s">
        <v>259</v>
      </c>
      <c r="K10" s="31" t="s">
        <v>260</v>
      </c>
    </row>
    <row r="11" spans="1:25" ht="16.2" customHeight="1">
      <c r="B11" s="68">
        <v>1</v>
      </c>
      <c r="C11" s="65" t="s">
        <v>261</v>
      </c>
      <c r="D11" s="65"/>
      <c r="E11" s="65"/>
      <c r="F11" s="65"/>
      <c r="G11" s="69">
        <v>2.053748910631822</v>
      </c>
      <c r="H11" s="70">
        <f>$D$44</f>
        <v>2.05374891063182</v>
      </c>
      <c r="I11" s="71">
        <f>IF(AND(ISNUMBER($G$11),ISNUMBER($H$11)),ABS($H$11-$G$11),"")</f>
        <v>0</v>
      </c>
      <c r="J11" s="72">
        <v>1E-07</v>
      </c>
      <c r="K11" s="44" t="str">
        <f>IF(AND(ISNUMBER($G$11),ISNUMBER($H$11)),IF(ABS($H$11-$G$11)&lt;=$J$11,"PASS","FAIL"),"FAIL")</f>
        <v>PASS</v>
      </c>
    </row>
    <row r="12" spans="1:25" ht="16.2" customHeight="1">
      <c r="B12" s="68">
        <v>2</v>
      </c>
      <c r="C12" s="65" t="s">
        <v>262</v>
      </c>
      <c r="D12" s="65"/>
      <c r="E12" s="65"/>
      <c r="F12" s="65"/>
      <c r="G12" s="73">
        <v>900</v>
      </c>
      <c r="H12" s="74">
        <f>$M$50</f>
        <v>900</v>
      </c>
      <c r="I12" s="71">
        <f>IF(AND(ISNUMBER($G$12),ISNUMBER($H$12)),ABS($H$12-$G$12),"")</f>
        <v>0</v>
      </c>
      <c r="J12" s="72">
        <v>1E-09</v>
      </c>
      <c r="K12" s="44" t="str">
        <f>IF(AND(ISNUMBER($G$12),ISNUMBER($H$12)),IF(ABS($H$12-$G$12)&lt;=$J$12,"PASS","FAIL"),"FAIL")</f>
        <v>PASS</v>
      </c>
    </row>
    <row r="13" spans="1:25" ht="16.2" customHeight="1">
      <c r="B13" s="68">
        <v>3</v>
      </c>
      <c r="C13" s="65" t="s">
        <v>263</v>
      </c>
      <c r="D13" s="65"/>
      <c r="E13" s="65"/>
      <c r="F13" s="65"/>
      <c r="G13" s="69">
        <v>156.2049935181331</v>
      </c>
      <c r="H13" s="70">
        <f>$N$50</f>
        <v>156.204993518133</v>
      </c>
      <c r="I13" s="71">
        <f>IF(AND(ISNUMBER($G$13),ISNUMBER($H$13)),ABS($H$13-$G$13),"")</f>
        <v>0</v>
      </c>
      <c r="J13" s="72">
        <v>1E-09</v>
      </c>
      <c r="K13" s="44" t="str">
        <f>IF(AND(ISNUMBER($G$13),ISNUMBER($H$13)),IF(ABS($H$13-$G$13)&lt;=$J$13,"PASS","FAIL"),"FAIL")</f>
        <v>PASS</v>
      </c>
    </row>
    <row r="14" spans="1:25" ht="16.2" customHeight="1">
      <c r="B14" s="68">
        <v>4</v>
      </c>
      <c r="C14" s="65" t="s">
        <v>264</v>
      </c>
      <c r="D14" s="65"/>
      <c r="E14" s="65"/>
      <c r="F14" s="65"/>
      <c r="G14" s="69">
        <v>1.649999999999999</v>
      </c>
      <c r="H14" s="70">
        <f>$L$50</f>
        <v>1.65</v>
      </c>
      <c r="I14" s="71">
        <f>IF(AND(ISNUMBER($G$14),ISNUMBER($H$14)),ABS($H$14-$G$14),"")</f>
        <v>0</v>
      </c>
      <c r="J14" s="72">
        <v>1E-07</v>
      </c>
      <c r="K14" s="44" t="str">
        <f>IF(AND(ISNUMBER($G$14),ISNUMBER($H$14)),IF(ABS($H$14-$G$14)&lt;=$J$14,"PASS","FAIL"),"FAIL")</f>
        <v>PASS</v>
      </c>
    </row>
    <row r="15" spans="1:25" ht="16.2" customHeight="1">
      <c r="B15" s="68">
        <v>5</v>
      </c>
      <c r="C15" s="65" t="s">
        <v>265</v>
      </c>
      <c r="D15" s="65"/>
      <c r="E15" s="65"/>
      <c r="F15" s="65"/>
      <c r="G15" s="73">
        <v>257.7382393049195</v>
      </c>
      <c r="H15" s="74">
        <f>$O$50</f>
        <v>257.73823930492</v>
      </c>
      <c r="I15" s="71">
        <f>IF(AND(ISNUMBER($G$15),ISNUMBER($H$15)),ABS($H$15-$G$15),"")</f>
        <v>0</v>
      </c>
      <c r="J15" s="72">
        <v>1E-05</v>
      </c>
      <c r="K15" s="44" t="str">
        <f>IF(AND(ISNUMBER($G$15),ISNUMBER($H$15)),IF(ABS($H$15-$G$15)&lt;=$J$15,"PASS","FAIL"),"FAIL")</f>
        <v>PASS</v>
      </c>
    </row>
    <row r="16" spans="1:25" ht="16.2" customHeight="1">
      <c r="B16" s="68">
        <v>6</v>
      </c>
      <c r="C16" s="65" t="s">
        <v>266</v>
      </c>
      <c r="D16" s="65"/>
      <c r="E16" s="65"/>
      <c r="F16" s="65"/>
      <c r="G16" s="73">
        <v>1157.738239304919</v>
      </c>
      <c r="H16" s="74">
        <f>$P$50</f>
        <v>1157.73823930492</v>
      </c>
      <c r="I16" s="71">
        <f>IF(AND(ISNUMBER($G$16),ISNUMBER($H$16)),ABS($H$16-$G$16),"")</f>
        <v>0</v>
      </c>
      <c r="J16" s="72">
        <v>1E-05</v>
      </c>
      <c r="K16" s="44" t="str">
        <f>IF(AND(ISNUMBER($G$16),ISNUMBER($H$16)),IF(ABS($H$16-$G$16)&lt;=$J$16,"PASS","FAIL"),"FAIL")</f>
        <v>PASS</v>
      </c>
    </row>
    <row r="17" spans="2:11" ht="16.2" customHeight="1">
      <c r="B17" s="68">
        <v>7</v>
      </c>
      <c r="C17" s="65" t="s">
        <v>267</v>
      </c>
      <c r="D17" s="65"/>
      <c r="E17" s="65"/>
      <c r="F17" s="65"/>
      <c r="G17" s="73">
        <v>-57.73823930491949</v>
      </c>
      <c r="H17" s="74">
        <f>$T$50</f>
        <v>-57.7382393049195</v>
      </c>
      <c r="I17" s="71">
        <f>IF(AND(ISNUMBER($G$17),ISNUMBER($H$17)),ABS($H$17-$G$17),"")</f>
        <v>0</v>
      </c>
      <c r="J17" s="72">
        <v>1E-05</v>
      </c>
      <c r="K17" s="44" t="str">
        <f>IF(AND(ISNUMBER($G$17),ISNUMBER($H$17)),IF(ABS($H$17-$G$17)&lt;=$J$17,"PASS","FAIL"),"FAIL")</f>
        <v>PASS</v>
      </c>
    </row>
    <row r="18" spans="2:11" ht="16.2" customHeight="1">
      <c r="B18" s="68">
        <v>8</v>
      </c>
      <c r="C18" s="65" t="s">
        <v>268</v>
      </c>
      <c r="D18" s="65"/>
      <c r="E18" s="65"/>
      <c r="F18" s="65"/>
      <c r="G18" s="64" t="s">
        <v>269</v>
      </c>
      <c r="H18" s="54" t="str">
        <f>$V$50</f>
        <v>Below target</v>
      </c>
      <c r="I18" s="54"/>
      <c r="J18" s="66" t="s">
        <v>270</v>
      </c>
      <c r="K18" s="44" t="str">
        <f>IF($H$18&amp;""=$G$18&amp;"","PASS","FAIL")</f>
        <v>PASS</v>
      </c>
    </row>
    <row r="19" spans="2:11" ht="16.2" customHeight="1">
      <c r="B19" s="68">
        <v>9</v>
      </c>
      <c r="C19" s="65" t="s">
        <v>271</v>
      </c>
      <c r="D19" s="65"/>
      <c r="E19" s="65"/>
      <c r="F19" s="65"/>
      <c r="G19" s="75">
        <v>0.9433962264150944</v>
      </c>
      <c r="H19" s="76">
        <f>$Q$51</f>
        <v>0.943396226415094</v>
      </c>
      <c r="I19" s="71">
        <f>IF(AND(ISNUMBER($G$19),ISNUMBER($H$19)),ABS($H$19-$G$19),"")</f>
        <v>0</v>
      </c>
      <c r="J19" s="72">
        <v>1E-09</v>
      </c>
      <c r="K19" s="44" t="str">
        <f>IF(AND(ISNUMBER($G$19),ISNUMBER($H$19)),IF(ABS($H$19-$G$19)&lt;=$J$19,"PASS","FAIL"),"FAIL")</f>
        <v>PASS</v>
      </c>
    </row>
    <row r="20" spans="2:11" ht="16.2" customHeight="1">
      <c r="B20" s="68">
        <v>10</v>
      </c>
      <c r="C20" s="65" t="s">
        <v>272</v>
      </c>
      <c r="D20" s="65"/>
      <c r="E20" s="65"/>
      <c r="F20" s="65"/>
      <c r="G20" s="73">
        <v>4228.927837264041</v>
      </c>
      <c r="H20" s="74">
        <f>$R$51</f>
        <v>4228.92783726404</v>
      </c>
      <c r="I20" s="71">
        <f>IF(AND(ISNUMBER($G$20),ISNUMBER($H$20)),ABS($H$20-$G$20),"")</f>
        <v>0</v>
      </c>
      <c r="J20" s="72">
        <v>1E-05</v>
      </c>
      <c r="K20" s="44" t="str">
        <f>IF(AND(ISNUMBER($G$20),ISNUMBER($H$20)),IF(ABS($H$20-$G$20)&lt;=$J$20,"PASS","FAIL"),"FAIL")</f>
        <v>PASS</v>
      </c>
    </row>
    <row r="21" spans="2:11" ht="16.2" customHeight="1">
      <c r="B21" s="68">
        <v>11</v>
      </c>
      <c r="C21" s="65" t="s">
        <v>273</v>
      </c>
      <c r="D21" s="65"/>
      <c r="E21" s="65"/>
      <c r="F21" s="65"/>
      <c r="G21" s="73">
        <v>1057.23195931601</v>
      </c>
      <c r="H21" s="74">
        <f>$S$51</f>
        <v>1057.23195931601</v>
      </c>
      <c r="I21" s="71">
        <f>IF(AND(ISNUMBER($G$21),ISNUMBER($H$21)),ABS($H$21-$G$21),"")</f>
        <v>0</v>
      </c>
      <c r="J21" s="72">
        <v>1E-05</v>
      </c>
      <c r="K21" s="44" t="str">
        <f>IF(AND(ISNUMBER($G$21),ISNUMBER($H$21)),IF(ABS($H$21-$G$21)&lt;=$J$21,"PASS","FAIL"),"FAIL")</f>
        <v>PASS</v>
      </c>
    </row>
    <row r="22" spans="2:11" ht="16.2" customHeight="1">
      <c r="B22" s="68">
        <v>12</v>
      </c>
      <c r="C22" s="65" t="s">
        <v>274</v>
      </c>
      <c r="D22" s="65"/>
      <c r="E22" s="65"/>
      <c r="F22" s="65"/>
      <c r="G22" s="73">
        <v>771.0700000000001</v>
      </c>
      <c r="H22" s="74">
        <f>$U$51</f>
        <v>771.07</v>
      </c>
      <c r="I22" s="71">
        <f>IF(AND(ISNUMBER($G$22),ISNUMBER($H$22)),ABS($H$22-$G$22),"")</f>
        <v>0</v>
      </c>
      <c r="J22" s="72">
        <v>1E-06</v>
      </c>
      <c r="K22" s="44" t="str">
        <f>IF(AND(ISNUMBER($G$22),ISNUMBER($H$22)),IF(ABS($H$22-$G$22)&lt;=$J$22,"PASS","FAIL"),"FAIL")</f>
        <v>PASS</v>
      </c>
    </row>
    <row r="23" spans="2:11" ht="16.2" customHeight="1">
      <c r="B23" s="68">
        <v>13</v>
      </c>
      <c r="C23" s="65" t="s">
        <v>275</v>
      </c>
      <c r="D23" s="65"/>
      <c r="E23" s="65"/>
      <c r="F23" s="65"/>
      <c r="G23" s="64" t="s">
        <v>276</v>
      </c>
      <c r="H23" s="54" t="str">
        <f>$V$51</f>
        <v>Above target</v>
      </c>
      <c r="I23" s="54"/>
      <c r="J23" s="66" t="s">
        <v>270</v>
      </c>
      <c r="K23" s="44" t="str">
        <f>IF($H$23&amp;""=$G$23&amp;"","PASS","FAIL")</f>
        <v>PASS</v>
      </c>
    </row>
    <row r="24" spans="2:11" ht="16.2" customHeight="1">
      <c r="B24" s="68">
        <v>14</v>
      </c>
      <c r="C24" s="65" t="s">
        <v>277</v>
      </c>
      <c r="D24" s="65"/>
      <c r="E24" s="65"/>
      <c r="F24" s="65"/>
      <c r="G24" s="73">
        <v>0</v>
      </c>
      <c r="H24" s="74">
        <f>$O$52</f>
        <v>0</v>
      </c>
      <c r="I24" s="71">
        <f>IF(AND(ISNUMBER($G$24),ISNUMBER($H$24)),ABS($H$24-$G$24),"")</f>
        <v>0</v>
      </c>
      <c r="J24" s="72">
        <v>1E-09</v>
      </c>
      <c r="K24" s="44" t="str">
        <f>IF(AND(ISNUMBER($G$24),ISNUMBER($H$24)),IF(ABS($H$24-$G$24)&lt;=$J$24,"PASS","FAIL"),"FAIL")</f>
        <v>PASS</v>
      </c>
    </row>
    <row r="25" spans="2:11" ht="16.2" customHeight="1">
      <c r="B25" s="68">
        <v>15</v>
      </c>
      <c r="C25" s="65" t="s">
        <v>278</v>
      </c>
      <c r="D25" s="65"/>
      <c r="E25" s="65"/>
      <c r="F25" s="65"/>
      <c r="G25" s="64" t="s">
        <v>118</v>
      </c>
      <c r="H25" s="54">
        <f>$Q$52</f>
        <v/>
      </c>
      <c r="I25" s="54"/>
      <c r="J25" s="66" t="s">
        <v>270</v>
      </c>
      <c r="K25" s="44" t="str">
        <f>IF($H$25&amp;""=$G$25&amp;"","PASS","FAIL")</f>
        <v>PASS</v>
      </c>
    </row>
    <row r="26" spans="2:11" ht="16.2" customHeight="1">
      <c r="B26" s="68">
        <v>16</v>
      </c>
      <c r="C26" s="65" t="s">
        <v>279</v>
      </c>
      <c r="D26" s="65"/>
      <c r="E26" s="65"/>
      <c r="F26" s="65"/>
      <c r="G26" s="64" t="s">
        <v>280</v>
      </c>
      <c r="H26" s="54" t="str">
        <f>$V$52</f>
        <v>On target</v>
      </c>
      <c r="I26" s="54"/>
      <c r="J26" s="66" t="s">
        <v>270</v>
      </c>
      <c r="K26" s="44" t="str">
        <f>IF($H$26&amp;""=$G$26&amp;"","PASS","FAIL")</f>
        <v>PASS</v>
      </c>
    </row>
    <row r="27" spans="2:11" ht="16.2" customHeight="1">
      <c r="B27" s="68">
        <v>17</v>
      </c>
      <c r="C27" s="65" t="s">
        <v>281</v>
      </c>
      <c r="D27" s="65"/>
      <c r="E27" s="65"/>
      <c r="F27" s="65"/>
      <c r="G27" s="64" t="s">
        <v>118</v>
      </c>
      <c r="H27" s="54">
        <f>$O$53</f>
        <v/>
      </c>
      <c r="I27" s="54"/>
      <c r="J27" s="66" t="s">
        <v>270</v>
      </c>
      <c r="K27" s="44" t="str">
        <f>IF($H$27&amp;""=$G$27&amp;"","PASS","FAIL")</f>
        <v>PASS</v>
      </c>
    </row>
    <row r="28" spans="2:11" ht="16.2" customHeight="1">
      <c r="B28" s="68">
        <v>18</v>
      </c>
      <c r="C28" s="65" t="s">
        <v>282</v>
      </c>
      <c r="D28" s="65"/>
      <c r="E28" s="65"/>
      <c r="F28" s="65"/>
      <c r="G28" s="64" t="s">
        <v>283</v>
      </c>
      <c r="H28" s="54" t="str">
        <f>$X$53</f>
        <v>Class not on Setup list</v>
      </c>
      <c r="I28" s="54"/>
      <c r="J28" s="66" t="s">
        <v>270</v>
      </c>
      <c r="K28" s="44" t="str">
        <f>IF($H$28&amp;""=$G$28&amp;"","PASS","FAIL")</f>
        <v>PASS</v>
      </c>
    </row>
    <row r="29" spans="2:11" ht="16.2" customHeight="1">
      <c r="B29" s="68">
        <v>19</v>
      </c>
      <c r="C29" s="65" t="s">
        <v>284</v>
      </c>
      <c r="D29" s="65"/>
      <c r="E29" s="65"/>
      <c r="F29" s="65"/>
      <c r="G29" s="59">
        <v>2</v>
      </c>
      <c r="H29" s="40">
        <f>$W$50</f>
        <v>2</v>
      </c>
      <c r="I29" s="71">
        <f>IF(AND(ISNUMBER($G$29),ISNUMBER($H$29)),ABS($H$29-$G$29),"")</f>
        <v>0</v>
      </c>
      <c r="J29" s="72">
        <v>1E-09</v>
      </c>
      <c r="K29" s="44" t="str">
        <f>IF(AND(ISNUMBER($G$29),ISNUMBER($H$29)),IF(ABS($H$29-$G$29)&lt;=$J$29,"PASS","FAIL"),"FAIL")</f>
        <v>PASS</v>
      </c>
    </row>
    <row r="30" spans="2:11" ht="16.2" customHeight="1">
      <c r="B30" s="68">
        <v>20</v>
      </c>
      <c r="C30" s="65" t="s">
        <v>285</v>
      </c>
      <c r="D30" s="65"/>
      <c r="E30" s="65"/>
      <c r="F30" s="65"/>
      <c r="G30" s="73">
        <v>6806.310230313236</v>
      </c>
      <c r="H30" s="74">
        <f>SUM(tblVerifyRegister[Safety stock value])</f>
        <v>6806.31023031324</v>
      </c>
      <c r="I30" s="71">
        <f>IF(AND(ISNUMBER($G$30),ISNUMBER($H$30)),ABS($H$30-$G$30),"")</f>
        <v>0</v>
      </c>
      <c r="J30" s="72">
        <v>1E-05</v>
      </c>
      <c r="K30" s="44" t="str">
        <f>IF(AND(ISNUMBER($G$30),ISNUMBER($H$30)),IF(ABS($H$30-$G$30)&lt;=$J$30,"PASS","FAIL"),"FAIL")</f>
        <v>PASS</v>
      </c>
    </row>
    <row r="31" spans="2:11" ht="16.2" customHeight="1">
      <c r="B31" s="68">
        <v>21</v>
      </c>
      <c r="C31" s="65" t="s">
        <v>286</v>
      </c>
      <c r="D31" s="65"/>
      <c r="E31" s="65"/>
      <c r="F31" s="65"/>
      <c r="G31" s="73">
        <v>-73.4224424216909</v>
      </c>
      <c r="H31" s="74">
        <f>(SUM(tblVerifyRegister[Safety stock value])-SUMPRODUCT(tblVerifyRegister[Current safety stock],tblVerifyRegister[Unit cost]))*$E$39</f>
        <v>-73.4224424216909</v>
      </c>
      <c r="I31" s="71">
        <f>IF(AND(ISNUMBER($G$31),ISNUMBER($H$31)),ABS($H$31-$G$31),"")</f>
        <v>0</v>
      </c>
      <c r="J31" s="72">
        <v>1E-05</v>
      </c>
      <c r="K31" s="44" t="str">
        <f>IF(AND(ISNUMBER($G$31),ISNUMBER($H$31)),IF(ABS($H$31-$G$31)&lt;=$J$31,"PASS","FAIL"),"FAIL")</f>
        <v>PASS</v>
      </c>
    </row>
    <row r="32" spans="2:11" ht="16.2" customHeight="1">
      <c r="B32" s="68">
        <v>22</v>
      </c>
      <c r="C32" s="65" t="s">
        <v>287</v>
      </c>
      <c r="D32" s="65"/>
      <c r="E32" s="65"/>
      <c r="F32" s="65"/>
      <c r="G32" s="64" t="s">
        <v>288</v>
      </c>
      <c r="H32" s="54" t="str">
        <f>$C$58</f>
        <v>T-2</v>
      </c>
      <c r="I32" s="54"/>
      <c r="J32" s="66" t="s">
        <v>270</v>
      </c>
      <c r="K32" s="44" t="str">
        <f>IF($H$32&amp;""=$G$32&amp;"","PASS","FAIL")</f>
        <v>PASS</v>
      </c>
    </row>
    <row r="33" spans="2:25" ht="16.2" customHeight="1">
      <c r="B33" s="68">
        <v>23</v>
      </c>
      <c r="C33" s="65" t="s">
        <v>289</v>
      </c>
      <c r="D33" s="65"/>
      <c r="E33" s="65"/>
      <c r="F33" s="65"/>
      <c r="G33" s="73">
        <v>8500.38941978472</v>
      </c>
      <c r="H33" s="74">
        <f>$D$73</f>
        <v>8500.38941978472</v>
      </c>
      <c r="I33" s="71">
        <f>IF(AND(ISNUMBER($G$33),ISNUMBER($H$33)),ABS($H$33-$G$33),"")</f>
        <v>0</v>
      </c>
      <c r="J33" s="72">
        <v>1E-05</v>
      </c>
      <c r="K33" s="44" t="str">
        <f>IF(AND(ISNUMBER($G$33),ISNUMBER($H$33)),IF(ABS($H$33-$G$33)&lt;=$J$33,"PASS","FAIL"),"FAIL")</f>
        <v>PASS</v>
      </c>
    </row>
    <row r="35" spans="2:25" ht="21" customHeight="1">
      <c r="B35" s="8" t="s">
        <v>290</v>
      </c>
      <c r="C35" s="8"/>
      <c r="D35" s="8"/>
      <c r="E35" s="8"/>
      <c r="F35" s="8"/>
      <c r="G35" s="8"/>
      <c r="H35" s="8"/>
      <c r="I35" s="8"/>
      <c r="J35" s="8"/>
      <c r="K35" s="8"/>
      <c r="L35" s="8"/>
    </row>
    <row r="36" spans="2:25" ht="5" customHeight="1"/>
    <row r="37" spans="2:25">
      <c r="B37" s="21" t="s">
        <v>291</v>
      </c>
      <c r="C37" s="21"/>
      <c r="D37" s="21"/>
      <c r="E37" s="21"/>
      <c r="F37" s="21"/>
      <c r="G37" s="21"/>
      <c r="H37" s="21"/>
      <c r="I37" s="21"/>
      <c r="J37" s="21"/>
      <c r="K37" s="21"/>
      <c r="L37" s="21"/>
    </row>
    <row r="38" spans="2:25">
      <c r="B38" s="30" t="s">
        <v>292</v>
      </c>
      <c r="C38" s="30"/>
      <c r="D38" s="30"/>
      <c r="E38" s="30"/>
      <c r="F38" s="30"/>
    </row>
    <row r="39" spans="2:25">
      <c r="B39" s="27" t="s">
        <v>71</v>
      </c>
      <c r="C39" s="27"/>
      <c r="D39" s="27"/>
      <c r="E39" s="77">
        <v>0.25</v>
      </c>
      <c r="F39" s="7"/>
    </row>
    <row r="40" spans="2:25">
      <c r="B40" s="27" t="s">
        <v>73</v>
      </c>
      <c r="C40" s="27"/>
      <c r="D40" s="27"/>
      <c r="E40" s="77">
        <v>0.1</v>
      </c>
      <c r="F40" s="7"/>
    </row>
    <row r="42" spans="2:25">
      <c r="B42" s="30" t="s">
        <v>293</v>
      </c>
      <c r="C42" s="30"/>
      <c r="D42" s="30"/>
      <c r="E42" s="30"/>
      <c r="F42" s="30"/>
      <c r="G42" s="30"/>
      <c r="H42" s="30"/>
      <c r="I42" s="30"/>
      <c r="J42" s="30"/>
      <c r="K42" s="30"/>
      <c r="L42" s="30"/>
    </row>
    <row r="43" spans="2:25" ht="32" customHeight="1">
      <c r="B43" s="31" t="s">
        <v>60</v>
      </c>
      <c r="C43" s="31" t="s">
        <v>61</v>
      </c>
      <c r="D43" s="31" t="s">
        <v>62</v>
      </c>
      <c r="E43" s="31" t="s">
        <v>63</v>
      </c>
    </row>
    <row r="44" spans="2:25">
      <c r="B44" s="64" t="s">
        <v>78</v>
      </c>
      <c r="C44" s="77">
        <v>0.98</v>
      </c>
      <c r="D44" s="33">
        <f>_xlfn.NORM.S.INV(tblVerifyClasses[[#This Row],[Cycle service level]])</f>
        <v>2.05374891063182</v>
      </c>
      <c r="E44" s="64" t="s">
        <v>294</v>
      </c>
    </row>
    <row r="45" spans="2:25">
      <c r="B45" s="64" t="s">
        <v>80</v>
      </c>
      <c r="C45" s="77">
        <v>0.9505285319663519</v>
      </c>
      <c r="D45" s="33">
        <f>_xlfn.NORM.S.INV(tblVerifyClasses[[#This Row],[Cycle service level]])</f>
        <v>1.65</v>
      </c>
      <c r="E45" s="64" t="s">
        <v>295</v>
      </c>
    </row>
    <row r="47" spans="2:25">
      <c r="B47" s="30" t="s">
        <v>296</v>
      </c>
      <c r="C47" s="30"/>
      <c r="D47" s="30"/>
      <c r="E47" s="30"/>
      <c r="F47" s="30"/>
      <c r="G47" s="30"/>
      <c r="H47" s="30"/>
      <c r="I47" s="30"/>
      <c r="J47" s="30"/>
      <c r="K47" s="30"/>
      <c r="L47" s="30"/>
    </row>
    <row r="48" spans="2:25" ht="14" customHeight="1">
      <c r="B48" s="35"/>
      <c r="C48" s="35"/>
      <c r="D48" s="35"/>
      <c r="E48" s="35" t="str">
        <f>Currency</f>
        <v>GBP</v>
      </c>
      <c r="F48" s="35" t="str">
        <f>"units/"&amp;Period</f>
        <v>units/week</v>
      </c>
      <c r="G48" s="35" t="str">
        <f>"units/"&amp;Period</f>
        <v>units/week</v>
      </c>
      <c r="H48" s="35" t="str">
        <f>Period&amp;"s"</f>
        <v>weeks</v>
      </c>
      <c r="I48" s="35" t="str">
        <f>Period&amp;"s"</f>
        <v>weeks</v>
      </c>
      <c r="J48" s="35" t="s">
        <v>107</v>
      </c>
      <c r="K48" s="35"/>
      <c r="L48" s="35"/>
      <c r="M48" s="35" t="s">
        <v>107</v>
      </c>
      <c r="N48" s="35" t="s">
        <v>107</v>
      </c>
      <c r="O48" s="35" t="s">
        <v>107</v>
      </c>
      <c r="P48" s="35" t="s">
        <v>107</v>
      </c>
      <c r="Q48" s="35"/>
      <c r="R48" s="35" t="str">
        <f>Currency</f>
        <v>GBP</v>
      </c>
      <c r="S48" s="35" t="str">
        <f>Currency&amp;"/year"</f>
        <v>GBP/year</v>
      </c>
      <c r="T48" s="35" t="s">
        <v>107</v>
      </c>
      <c r="U48" s="35" t="str">
        <f>Currency</f>
        <v>GBP</v>
      </c>
      <c r="V48" s="35"/>
      <c r="W48" s="35"/>
      <c r="X48" s="35"/>
      <c r="Y48" s="35"/>
    </row>
    <row r="49" spans="2:25" ht="45.5" customHeight="1">
      <c r="B49" s="31" t="s">
        <v>84</v>
      </c>
      <c r="C49" s="31" t="s">
        <v>85</v>
      </c>
      <c r="D49" s="31" t="s">
        <v>60</v>
      </c>
      <c r="E49" s="31" t="s">
        <v>86</v>
      </c>
      <c r="F49" s="31" t="s">
        <v>87</v>
      </c>
      <c r="G49" s="31" t="s">
        <v>88</v>
      </c>
      <c r="H49" s="31" t="s">
        <v>89</v>
      </c>
      <c r="I49" s="31" t="s">
        <v>90</v>
      </c>
      <c r="J49" s="31" t="s">
        <v>91</v>
      </c>
      <c r="K49" s="31" t="s">
        <v>92</v>
      </c>
      <c r="L49" s="31" t="s">
        <v>62</v>
      </c>
      <c r="M49" s="31" t="s">
        <v>93</v>
      </c>
      <c r="N49" s="31" t="s">
        <v>94</v>
      </c>
      <c r="O49" s="31" t="s">
        <v>95</v>
      </c>
      <c r="P49" s="31" t="s">
        <v>96</v>
      </c>
      <c r="Q49" s="31" t="s">
        <v>97</v>
      </c>
      <c r="R49" s="31" t="s">
        <v>98</v>
      </c>
      <c r="S49" s="31" t="s">
        <v>99</v>
      </c>
      <c r="T49" s="31" t="s">
        <v>100</v>
      </c>
      <c r="U49" s="31" t="s">
        <v>101</v>
      </c>
      <c r="V49" s="31" t="s">
        <v>102</v>
      </c>
      <c r="W49" s="31" t="s">
        <v>103</v>
      </c>
      <c r="X49" s="31" t="s">
        <v>104</v>
      </c>
      <c r="Y49" s="31" t="s">
        <v>105</v>
      </c>
    </row>
    <row r="50" spans="2:25">
      <c r="B50" s="64" t="s">
        <v>297</v>
      </c>
      <c r="C50" s="64" t="s">
        <v>298</v>
      </c>
      <c r="D50" s="64" t="s">
        <v>80</v>
      </c>
      <c r="E50" s="73">
        <v>10</v>
      </c>
      <c r="F50" s="78">
        <v>100</v>
      </c>
      <c r="G50" s="78">
        <v>40</v>
      </c>
      <c r="H50" s="78">
        <v>9</v>
      </c>
      <c r="I50" s="78">
        <v>1</v>
      </c>
      <c r="J50" s="59">
        <v>200</v>
      </c>
      <c r="K50" s="77">
        <v>0.9505285319663519</v>
      </c>
      <c r="L50" s="33">
        <f>IF(tblVerifyRegister[[#This Row],[Item]]="","",IF(tblVerifyRegister[[#This Row],[Service level]]="","",_xlfn.NORM.S.INV(tblVerifyRegister[[#This Row],[Service level]])))</f>
        <v>1.65</v>
      </c>
      <c r="M50" s="40">
        <f>IF(tblVerifyRegister[[#This Row],[Item]]="","",tblVerifyRegister[[#This Row],[Avg demand]]*tblVerifyRegister[[#This Row],[Lead time]])</f>
        <v>900</v>
      </c>
      <c r="N50" s="41">
        <f>IF(tblVerifyRegister[[#This Row],[Item]]="","",SQRT(tblVerifyRegister[[#This Row],[Lead time]]*tblVerifyRegister[[#This Row],[Demand std dev]]^2+tblVerifyRegister[[#This Row],[Avg demand]]^2*tblVerifyRegister[[#This Row],[Lead time std dev]]^2))</f>
        <v>156.204993518133</v>
      </c>
      <c r="O50" s="40">
        <f>IF(tblVerifyRegister[[#This Row],[Item]]="","",IF(tblVerifyRegister[[#This Row],[Z factor]]="","",tblVerifyRegister[[#This Row],[Z factor]]*tblVerifyRegister[[#This Row],[Std dev of LT demand]]))</f>
        <v>257.73823930492</v>
      </c>
      <c r="P50" s="40">
        <f>IF(tblVerifyRegister[[#This Row],[Item]]="","",IF(tblVerifyRegister[[#This Row],[Safety stock]]="","",tblVerifyRegister[[#This Row],[Lead-time demand]]+tblVerifyRegister[[#This Row],[Safety stock]]))</f>
        <v>1157.73823930492</v>
      </c>
      <c r="Q50" s="42">
        <f>IF(tblVerifyRegister[[#This Row],[Item]]="","",IF(tblVerifyRegister[[#This Row],[Std dev of LT demand]]&gt;0,(tblVerifyRegister[[#This Row],[Avg demand]]*tblVerifyRegister[[#This Row],[Lead time std dev]])^2/tblVerifyRegister[[#This Row],[Std dev of LT demand]]^2,""))</f>
        <v>0.409836065573771</v>
      </c>
      <c r="R50" s="40">
        <f>IF(tblVerifyRegister[[#This Row],[Item]]="","",IF(tblVerifyRegister[[#This Row],[Safety stock]]="","",tblVerifyRegister[[#This Row],[Safety stock]]*tblVerifyRegister[[#This Row],[Unit cost]]))</f>
        <v>2577.3823930492</v>
      </c>
      <c r="S50" s="40">
        <f>IF(tblVerifyRegister[[#This Row],[Item]]="","",IF(tblVerifyRegister[[#This Row],[Safety stock]]="","",tblVerifyRegister[[#This Row],[Safety stock value]]*$E$39))</f>
        <v>644.345598262299</v>
      </c>
      <c r="T50" s="43">
        <f>IF(tblVerifyRegister[[#This Row],[Item]]="","",IF(tblVerifyRegister[[#This Row],[Safety stock]]="","",tblVerifyRegister[[#This Row],[Current safety stock]]-tblVerifyRegister[[#This Row],[Safety stock]]))</f>
        <v>-57.7382393049195</v>
      </c>
      <c r="U50" s="43">
        <f>IF(tblVerifyRegister[[#This Row],[Item]]="","",IF(tblVerifyRegister[[#This Row],[Safety stock]]="","",ROUND((tblVerifyRegister[[#This Row],[Current safety stock]]-tblVerifyRegister[[#This Row],[Safety stock]])*tblVerifyRegister[[#This Row],[Unit cost]],2)))</f>
        <v>-577.38</v>
      </c>
      <c r="V50" s="44" t="str">
        <f>IF(tblVerifyRegister[[#This Row],[Item]]="","",IF(tblVerifyRegister[[#This Row],[Safety stock]]="","",IF(tblVerifyRegister[[#This Row],[Current safety stock]]&lt;tblVerifyRegister[[#This Row],[Safety stock]]*(1-$E$40),"Below target",IF(tblVerifyRegister[[#This Row],[Current safety stock]]&gt;tblVerifyRegister[[#This Row],[Safety stock]]*(1+$E$40),"Above target","On target"))))</f>
        <v>Below target</v>
      </c>
      <c r="W50" s="40">
        <f>IF(tblVerifyRegister[[#This Row],[Item]]="","",IF(tblVerifyRegister[[#This Row],[Gap value]]="","",COUNTIF(tblVerifyRegister[Gap value],"&gt;"&amp;ABS(tblVerifyRegister[[#This Row],[Gap value]]))+COUNTIF(tblVerifyRegister[Gap value],"&lt;"&amp;-ABS(tblVerifyRegister[[#This Row],[Gap value]]))+SUMPRODUCT(((tblVerifyRegister[Gap value]=ABS(tblVerifyRegister[[#This Row],[Gap value]]))+(tblVerifyRegister[Gap value]=-ABS(tblVerifyRegister[[#This Row],[Gap value]]))*(tblVerifyRegister[[#This Row],[Gap value]]&lt;&gt;0))*(ROW(tblVerifyRegister[Gap value])&lt;ROW(tblVerifyRegister[[#This Row],[Gap value]])))+1))</f>
        <v>2</v>
      </c>
      <c r="X50" s="45" t="str">
        <f>IF(tblVerifyRegister[[#This Row],[Item]]="","",IF(tblVerifyRegister[[#This Row],[Class]]="","Missing class",IF(tblVerifyRegister[[#This Row],[Unit cost]]="","Missing unit cost",IF(tblVerifyRegister[[#This Row],[Avg demand]]="","Missing avg demand",IF(tblVerifyRegister[[#This Row],[Demand std dev]]="","Missing demand std dev",IF(tblVerifyRegister[[#This Row],[Lead time]]="","Missing lead time",IF(tblVerifyRegister[[#This Row],[Current safety stock]]="","Missing current safety stock",IF(COUNTIF(tblVerifyClasses[Class],tblVerifyRegister[[#This Row],[Class]])=0,"Class not on Setup list",IF(COUNTIF(tblVerifyRegister[Item],tblVerifyRegister[[#This Row],[Item]])&gt;1,"Item listed twice",IF(tblVerifyRegister[[#This Row],[Lead time]]=0,"Lead time is 0",IF(tblVerifyRegister[[#This Row],[Avg demand]]=0,"Average demand is 0","OK")))))))))))</f>
        <v>OK</v>
      </c>
      <c r="Y50" s="64" t="s">
        <v>118</v>
      </c>
    </row>
    <row r="51" spans="2:25">
      <c r="B51" s="64" t="s">
        <v>288</v>
      </c>
      <c r="C51" s="64" t="s">
        <v>299</v>
      </c>
      <c r="D51" s="64" t="s">
        <v>78</v>
      </c>
      <c r="E51" s="73">
        <v>50</v>
      </c>
      <c r="F51" s="78">
        <v>20</v>
      </c>
      <c r="G51" s="78">
        <v>4</v>
      </c>
      <c r="H51" s="78">
        <v>6</v>
      </c>
      <c r="I51" s="78">
        <v>2</v>
      </c>
      <c r="J51" s="59">
        <v>100</v>
      </c>
      <c r="K51" s="77">
        <v>0.98</v>
      </c>
      <c r="L51" s="33">
        <f>IF(tblVerifyRegister[[#This Row],[Item]]="","",IF(tblVerifyRegister[[#This Row],[Service level]]="","",_xlfn.NORM.S.INV(tblVerifyRegister[[#This Row],[Service level]])))</f>
        <v>2.05374891063182</v>
      </c>
      <c r="M51" s="40">
        <f>IF(tblVerifyRegister[[#This Row],[Item]]="","",tblVerifyRegister[[#This Row],[Avg demand]]*tblVerifyRegister[[#This Row],[Lead time]])</f>
        <v>120</v>
      </c>
      <c r="N51" s="41">
        <f>IF(tblVerifyRegister[[#This Row],[Item]]="","",SQRT(tblVerifyRegister[[#This Row],[Lead time]]*tblVerifyRegister[[#This Row],[Demand std dev]]^2+tblVerifyRegister[[#This Row],[Avg demand]]^2*tblVerifyRegister[[#This Row],[Lead time std dev]]^2))</f>
        <v>41.182520563948</v>
      </c>
      <c r="O51" s="40">
        <f>IF(tblVerifyRegister[[#This Row],[Item]]="","",IF(tblVerifyRegister[[#This Row],[Z factor]]="","",tblVerifyRegister[[#This Row],[Z factor]]*tblVerifyRegister[[#This Row],[Std dev of LT demand]]))</f>
        <v>84.5785567452808</v>
      </c>
      <c r="P51" s="40">
        <f>IF(tblVerifyRegister[[#This Row],[Item]]="","",IF(tblVerifyRegister[[#This Row],[Safety stock]]="","",tblVerifyRegister[[#This Row],[Lead-time demand]]+tblVerifyRegister[[#This Row],[Safety stock]]))</f>
        <v>204.578556745281</v>
      </c>
      <c r="Q51" s="42">
        <f>IF(tblVerifyRegister[[#This Row],[Item]]="","",IF(tblVerifyRegister[[#This Row],[Std dev of LT demand]]&gt;0,(tblVerifyRegister[[#This Row],[Avg demand]]*tblVerifyRegister[[#This Row],[Lead time std dev]])^2/tblVerifyRegister[[#This Row],[Std dev of LT demand]]^2,""))</f>
        <v>0.943396226415094</v>
      </c>
      <c r="R51" s="40">
        <f>IF(tblVerifyRegister[[#This Row],[Item]]="","",IF(tblVerifyRegister[[#This Row],[Safety stock]]="","",tblVerifyRegister[[#This Row],[Safety stock]]*tblVerifyRegister[[#This Row],[Unit cost]]))</f>
        <v>4228.92783726404</v>
      </c>
      <c r="S51" s="40">
        <f>IF(tblVerifyRegister[[#This Row],[Item]]="","",IF(tblVerifyRegister[[#This Row],[Safety stock]]="","",tblVerifyRegister[[#This Row],[Safety stock value]]*$E$39))</f>
        <v>1057.23195931601</v>
      </c>
      <c r="T51" s="43">
        <f>IF(tblVerifyRegister[[#This Row],[Item]]="","",IF(tblVerifyRegister[[#This Row],[Safety stock]]="","",tblVerifyRegister[[#This Row],[Current safety stock]]-tblVerifyRegister[[#This Row],[Safety stock]]))</f>
        <v>15.4214432547192</v>
      </c>
      <c r="U51" s="43">
        <f>IF(tblVerifyRegister[[#This Row],[Item]]="","",IF(tblVerifyRegister[[#This Row],[Safety stock]]="","",ROUND((tblVerifyRegister[[#This Row],[Current safety stock]]-tblVerifyRegister[[#This Row],[Safety stock]])*tblVerifyRegister[[#This Row],[Unit cost]],2)))</f>
        <v>771.07</v>
      </c>
      <c r="V51" s="44" t="str">
        <f>IF(tblVerifyRegister[[#This Row],[Item]]="","",IF(tblVerifyRegister[[#This Row],[Safety stock]]="","",IF(tblVerifyRegister[[#This Row],[Current safety stock]]&lt;tblVerifyRegister[[#This Row],[Safety stock]]*(1-$E$40),"Below target",IF(tblVerifyRegister[[#This Row],[Current safety stock]]&gt;tblVerifyRegister[[#This Row],[Safety stock]]*(1+$E$40),"Above target","On target"))))</f>
        <v>Above target</v>
      </c>
      <c r="W51" s="40">
        <f>IF(tblVerifyRegister[[#This Row],[Item]]="","",IF(tblVerifyRegister[[#This Row],[Gap value]]="","",COUNTIF(tblVerifyRegister[Gap value],"&gt;"&amp;ABS(tblVerifyRegister[[#This Row],[Gap value]]))+COUNTIF(tblVerifyRegister[Gap value],"&lt;"&amp;-ABS(tblVerifyRegister[[#This Row],[Gap value]]))+SUMPRODUCT(((tblVerifyRegister[Gap value]=ABS(tblVerifyRegister[[#This Row],[Gap value]]))+(tblVerifyRegister[Gap value]=-ABS(tblVerifyRegister[[#This Row],[Gap value]]))*(tblVerifyRegister[[#This Row],[Gap value]]&lt;&gt;0))*(ROW(tblVerifyRegister[Gap value])&lt;ROW(tblVerifyRegister[[#This Row],[Gap value]])))+1))</f>
        <v>1</v>
      </c>
      <c r="X51" s="45" t="str">
        <f>IF(tblVerifyRegister[[#This Row],[Item]]="","",IF(tblVerifyRegister[[#This Row],[Class]]="","Missing class",IF(tblVerifyRegister[[#This Row],[Unit cost]]="","Missing unit cost",IF(tblVerifyRegister[[#This Row],[Avg demand]]="","Missing avg demand",IF(tblVerifyRegister[[#This Row],[Demand std dev]]="","Missing demand std dev",IF(tblVerifyRegister[[#This Row],[Lead time]]="","Missing lead time",IF(tblVerifyRegister[[#This Row],[Current safety stock]]="","Missing current safety stock",IF(COUNTIF(tblVerifyClasses[Class],tblVerifyRegister[[#This Row],[Class]])=0,"Class not on Setup list",IF(COUNTIF(tblVerifyRegister[Item],tblVerifyRegister[[#This Row],[Item]])&gt;1,"Item listed twice",IF(tblVerifyRegister[[#This Row],[Lead time]]=0,"Lead time is 0",IF(tblVerifyRegister[[#This Row],[Avg demand]]=0,"Average demand is 0","OK")))))))))))</f>
        <v>OK</v>
      </c>
      <c r="Y51" s="64" t="s">
        <v>118</v>
      </c>
    </row>
    <row r="52" spans="2:25">
      <c r="B52" s="64" t="s">
        <v>300</v>
      </c>
      <c r="C52" s="64" t="s">
        <v>301</v>
      </c>
      <c r="D52" s="64" t="s">
        <v>78</v>
      </c>
      <c r="E52" s="73">
        <v>5</v>
      </c>
      <c r="F52" s="78">
        <v>30</v>
      </c>
      <c r="G52" s="78">
        <v>0</v>
      </c>
      <c r="H52" s="78">
        <v>2</v>
      </c>
      <c r="I52" s="78">
        <v>0</v>
      </c>
      <c r="J52" s="59">
        <v>0</v>
      </c>
      <c r="K52" s="77">
        <v>0.98</v>
      </c>
      <c r="L52" s="33">
        <f>IF(tblVerifyRegister[[#This Row],[Item]]="","",IF(tblVerifyRegister[[#This Row],[Service level]]="","",_xlfn.NORM.S.INV(tblVerifyRegister[[#This Row],[Service level]])))</f>
        <v>2.05374891063182</v>
      </c>
      <c r="M52" s="40">
        <f>IF(tblVerifyRegister[[#This Row],[Item]]="","",tblVerifyRegister[[#This Row],[Avg demand]]*tblVerifyRegister[[#This Row],[Lead time]])</f>
        <v>60</v>
      </c>
      <c r="N52" s="41">
        <f>IF(tblVerifyRegister[[#This Row],[Item]]="","",SQRT(tblVerifyRegister[[#This Row],[Lead time]]*tblVerifyRegister[[#This Row],[Demand std dev]]^2+tblVerifyRegister[[#This Row],[Avg demand]]^2*tblVerifyRegister[[#This Row],[Lead time std dev]]^2))</f>
        <v>0</v>
      </c>
      <c r="O52" s="40">
        <f>IF(tblVerifyRegister[[#This Row],[Item]]="","",IF(tblVerifyRegister[[#This Row],[Z factor]]="","",tblVerifyRegister[[#This Row],[Z factor]]*tblVerifyRegister[[#This Row],[Std dev of LT demand]]))</f>
        <v>0</v>
      </c>
      <c r="P52" s="40">
        <f>IF(tblVerifyRegister[[#This Row],[Item]]="","",IF(tblVerifyRegister[[#This Row],[Safety stock]]="","",tblVerifyRegister[[#This Row],[Lead-time demand]]+tblVerifyRegister[[#This Row],[Safety stock]]))</f>
        <v>60</v>
      </c>
      <c r="Q52" s="42">
        <f>IF(tblVerifyRegister[[#This Row],[Item]]="","",IF(tblVerifyRegister[[#This Row],[Std dev of LT demand]]&gt;0,(tblVerifyRegister[[#This Row],[Avg demand]]*tblVerifyRegister[[#This Row],[Lead time std dev]])^2/tblVerifyRegister[[#This Row],[Std dev of LT demand]]^2,""))</f>
        <v/>
      </c>
      <c r="R52" s="40">
        <f>IF(tblVerifyRegister[[#This Row],[Item]]="","",IF(tblVerifyRegister[[#This Row],[Safety stock]]="","",tblVerifyRegister[[#This Row],[Safety stock]]*tblVerifyRegister[[#This Row],[Unit cost]]))</f>
        <v>0</v>
      </c>
      <c r="S52" s="40">
        <f>IF(tblVerifyRegister[[#This Row],[Item]]="","",IF(tblVerifyRegister[[#This Row],[Safety stock]]="","",tblVerifyRegister[[#This Row],[Safety stock value]]*$E$39))</f>
        <v>0</v>
      </c>
      <c r="T52" s="43">
        <f>IF(tblVerifyRegister[[#This Row],[Item]]="","",IF(tblVerifyRegister[[#This Row],[Safety stock]]="","",tblVerifyRegister[[#This Row],[Current safety stock]]-tblVerifyRegister[[#This Row],[Safety stock]]))</f>
        <v>0</v>
      </c>
      <c r="U52" s="43">
        <f>IF(tblVerifyRegister[[#This Row],[Item]]="","",IF(tblVerifyRegister[[#This Row],[Safety stock]]="","",ROUND((tblVerifyRegister[[#This Row],[Current safety stock]]-tblVerifyRegister[[#This Row],[Safety stock]])*tblVerifyRegister[[#This Row],[Unit cost]],2)))</f>
        <v>0</v>
      </c>
      <c r="V52" s="44" t="str">
        <f>IF(tblVerifyRegister[[#This Row],[Item]]="","",IF(tblVerifyRegister[[#This Row],[Safety stock]]="","",IF(tblVerifyRegister[[#This Row],[Current safety stock]]&lt;tblVerifyRegister[[#This Row],[Safety stock]]*(1-$E$40),"Below target",IF(tblVerifyRegister[[#This Row],[Current safety stock]]&gt;tblVerifyRegister[[#This Row],[Safety stock]]*(1+$E$40),"Above target","On target"))))</f>
        <v>On target</v>
      </c>
      <c r="W52" s="40">
        <f>IF(tblVerifyRegister[[#This Row],[Item]]="","",IF(tblVerifyRegister[[#This Row],[Gap value]]="","",COUNTIF(tblVerifyRegister[Gap value],"&gt;"&amp;ABS(tblVerifyRegister[[#This Row],[Gap value]]))+COUNTIF(tblVerifyRegister[Gap value],"&lt;"&amp;-ABS(tblVerifyRegister[[#This Row],[Gap value]]))+SUMPRODUCT(((tblVerifyRegister[Gap value]=ABS(tblVerifyRegister[[#This Row],[Gap value]]))+(tblVerifyRegister[Gap value]=-ABS(tblVerifyRegister[[#This Row],[Gap value]]))*(tblVerifyRegister[[#This Row],[Gap value]]&lt;&gt;0))*(ROW(tblVerifyRegister[Gap value])&lt;ROW(tblVerifyRegister[[#This Row],[Gap value]])))+1))</f>
        <v>3</v>
      </c>
      <c r="X52" s="45" t="str">
        <f>IF(tblVerifyRegister[[#This Row],[Item]]="","",IF(tblVerifyRegister[[#This Row],[Class]]="","Missing class",IF(tblVerifyRegister[[#This Row],[Unit cost]]="","Missing unit cost",IF(tblVerifyRegister[[#This Row],[Avg demand]]="","Missing avg demand",IF(tblVerifyRegister[[#This Row],[Demand std dev]]="","Missing demand std dev",IF(tblVerifyRegister[[#This Row],[Lead time]]="","Missing lead time",IF(tblVerifyRegister[[#This Row],[Current safety stock]]="","Missing current safety stock",IF(COUNTIF(tblVerifyClasses[Class],tblVerifyRegister[[#This Row],[Class]])=0,"Class not on Setup list",IF(COUNTIF(tblVerifyRegister[Item],tblVerifyRegister[[#This Row],[Item]])&gt;1,"Item listed twice",IF(tblVerifyRegister[[#This Row],[Lead time]]=0,"Lead time is 0",IF(tblVerifyRegister[[#This Row],[Avg demand]]=0,"Average demand is 0","OK")))))))))))</f>
        <v>OK</v>
      </c>
      <c r="Y52" s="64" t="s">
        <v>118</v>
      </c>
    </row>
    <row r="53" spans="2:25">
      <c r="B53" s="64" t="s">
        <v>302</v>
      </c>
      <c r="C53" s="64" t="s">
        <v>303</v>
      </c>
      <c r="D53" s="64" t="s">
        <v>304</v>
      </c>
      <c r="E53" s="73">
        <v>5</v>
      </c>
      <c r="F53" s="78">
        <v>10</v>
      </c>
      <c r="G53" s="78">
        <v>3</v>
      </c>
      <c r="H53" s="78">
        <v>2</v>
      </c>
      <c r="I53" s="78">
        <v>0.5</v>
      </c>
      <c r="J53" s="59">
        <v>20</v>
      </c>
      <c r="K53" s="77" t="s">
        <v>118</v>
      </c>
      <c r="L53" s="33">
        <f>IF(tblVerifyRegister[[#This Row],[Item]]="","",IF(tblVerifyRegister[[#This Row],[Service level]]="","",_xlfn.NORM.S.INV(tblVerifyRegister[[#This Row],[Service level]])))</f>
        <v/>
      </c>
      <c r="M53" s="40">
        <f>IF(tblVerifyRegister[[#This Row],[Item]]="","",tblVerifyRegister[[#This Row],[Avg demand]]*tblVerifyRegister[[#This Row],[Lead time]])</f>
        <v>20</v>
      </c>
      <c r="N53" s="41">
        <f>IF(tblVerifyRegister[[#This Row],[Item]]="","",SQRT(tblVerifyRegister[[#This Row],[Lead time]]*tblVerifyRegister[[#This Row],[Demand std dev]]^2+tblVerifyRegister[[#This Row],[Avg demand]]^2*tblVerifyRegister[[#This Row],[Lead time std dev]]^2))</f>
        <v>6.557438524302</v>
      </c>
      <c r="O53" s="40">
        <f>IF(tblVerifyRegister[[#This Row],[Item]]="","",IF(tblVerifyRegister[[#This Row],[Z factor]]="","",tblVerifyRegister[[#This Row],[Z factor]]*tblVerifyRegister[[#This Row],[Std dev of LT demand]]))</f>
        <v/>
      </c>
      <c r="P53" s="40">
        <f>IF(tblVerifyRegister[[#This Row],[Item]]="","",IF(tblVerifyRegister[[#This Row],[Safety stock]]="","",tblVerifyRegister[[#This Row],[Lead-time demand]]+tblVerifyRegister[[#This Row],[Safety stock]]))</f>
        <v/>
      </c>
      <c r="Q53" s="42">
        <f>IF(tblVerifyRegister[[#This Row],[Item]]="","",IF(tblVerifyRegister[[#This Row],[Std dev of LT demand]]&gt;0,(tblVerifyRegister[[#This Row],[Avg demand]]*tblVerifyRegister[[#This Row],[Lead time std dev]])^2/tblVerifyRegister[[#This Row],[Std dev of LT demand]]^2,""))</f>
        <v>0.581395348837209</v>
      </c>
      <c r="R53" s="40">
        <f>IF(tblVerifyRegister[[#This Row],[Item]]="","",IF(tblVerifyRegister[[#This Row],[Safety stock]]="","",tblVerifyRegister[[#This Row],[Safety stock]]*tblVerifyRegister[[#This Row],[Unit cost]]))</f>
        <v/>
      </c>
      <c r="S53" s="40">
        <f>IF(tblVerifyRegister[[#This Row],[Item]]="","",IF(tblVerifyRegister[[#This Row],[Safety stock]]="","",tblVerifyRegister[[#This Row],[Safety stock value]]*$E$39))</f>
        <v/>
      </c>
      <c r="T53" s="43">
        <f>IF(tblVerifyRegister[[#This Row],[Item]]="","",IF(tblVerifyRegister[[#This Row],[Safety stock]]="","",tblVerifyRegister[[#This Row],[Current safety stock]]-tblVerifyRegister[[#This Row],[Safety stock]]))</f>
        <v/>
      </c>
      <c r="U53" s="43">
        <f>IF(tblVerifyRegister[[#This Row],[Item]]="","",IF(tblVerifyRegister[[#This Row],[Safety stock]]="","",ROUND((tblVerifyRegister[[#This Row],[Current safety stock]]-tblVerifyRegister[[#This Row],[Safety stock]])*tblVerifyRegister[[#This Row],[Unit cost]],2)))</f>
        <v/>
      </c>
      <c r="V53" s="44">
        <f>IF(tblVerifyRegister[[#This Row],[Item]]="","",IF(tblVerifyRegister[[#This Row],[Safety stock]]="","",IF(tblVerifyRegister[[#This Row],[Current safety stock]]&lt;tblVerifyRegister[[#This Row],[Safety stock]]*(1-$E$40),"Below target",IF(tblVerifyRegister[[#This Row],[Current safety stock]]&gt;tblVerifyRegister[[#This Row],[Safety stock]]*(1+$E$40),"Above target","On target"))))</f>
        <v/>
      </c>
      <c r="W53" s="40">
        <f>IF(tblVerifyRegister[[#This Row],[Item]]="","",IF(tblVerifyRegister[[#This Row],[Gap value]]="","",COUNTIF(tblVerifyRegister[Gap value],"&gt;"&amp;ABS(tblVerifyRegister[[#This Row],[Gap value]]))+COUNTIF(tblVerifyRegister[Gap value],"&lt;"&amp;-ABS(tblVerifyRegister[[#This Row],[Gap value]]))+SUMPRODUCT(((tblVerifyRegister[Gap value]=ABS(tblVerifyRegister[[#This Row],[Gap value]]))+(tblVerifyRegister[Gap value]=-ABS(tblVerifyRegister[[#This Row],[Gap value]]))*(tblVerifyRegister[[#This Row],[Gap value]]&lt;&gt;0))*(ROW(tblVerifyRegister[Gap value])&lt;ROW(tblVerifyRegister[[#This Row],[Gap value]])))+1))</f>
        <v/>
      </c>
      <c r="X53" s="45" t="str">
        <f>IF(tblVerifyRegister[[#This Row],[Item]]="","",IF(tblVerifyRegister[[#This Row],[Class]]="","Missing class",IF(tblVerifyRegister[[#This Row],[Unit cost]]="","Missing unit cost",IF(tblVerifyRegister[[#This Row],[Avg demand]]="","Missing avg demand",IF(tblVerifyRegister[[#This Row],[Demand std dev]]="","Missing demand std dev",IF(tblVerifyRegister[[#This Row],[Lead time]]="","Missing lead time",IF(tblVerifyRegister[[#This Row],[Current safety stock]]="","Missing current safety stock",IF(COUNTIF(tblVerifyClasses[Class],tblVerifyRegister[[#This Row],[Class]])=0,"Class not on Setup list",IF(COUNTIF(tblVerifyRegister[Item],tblVerifyRegister[[#This Row],[Item]])&gt;1,"Item listed twice",IF(tblVerifyRegister[[#This Row],[Lead time]]=0,"Lead time is 0",IF(tblVerifyRegister[[#This Row],[Avg demand]]=0,"Average demand is 0","OK")))))))))))</f>
        <v>Class not on Setup list</v>
      </c>
      <c r="Y53" s="64" t="s">
        <v>118</v>
      </c>
    </row>
    <row r="55" spans="2:25">
      <c r="B55" s="30" t="s">
        <v>305</v>
      </c>
      <c r="C55" s="30"/>
      <c r="D55" s="30"/>
      <c r="E55" s="30"/>
      <c r="F55" s="30"/>
      <c r="G55" s="30"/>
      <c r="H55" s="30"/>
      <c r="I55" s="30"/>
      <c r="J55" s="30"/>
      <c r="K55" s="30"/>
      <c r="L55" s="30"/>
    </row>
    <row r="56" spans="2:25" ht="32" customHeight="1">
      <c r="B56" s="52" t="s">
        <v>168</v>
      </c>
      <c r="C56" s="31" t="s">
        <v>84</v>
      </c>
      <c r="D56" s="31" t="s">
        <v>85</v>
      </c>
      <c r="E56" s="31"/>
      <c r="F56" s="31" t="s">
        <v>60</v>
      </c>
      <c r="G56" s="31" t="s">
        <v>169</v>
      </c>
      <c r="H56" s="31" t="s">
        <v>170</v>
      </c>
      <c r="I56" s="31" t="s">
        <v>96</v>
      </c>
      <c r="J56" s="31" t="s">
        <v>101</v>
      </c>
      <c r="K56" s="31" t="s">
        <v>102</v>
      </c>
      <c r="L56" s="31"/>
    </row>
    <row r="57" spans="2:25" ht="14" customHeight="1">
      <c r="B57" s="35"/>
      <c r="C57" s="35"/>
      <c r="D57" s="35"/>
      <c r="E57" s="35"/>
      <c r="F57" s="35"/>
      <c r="G57" s="35" t="s">
        <v>107</v>
      </c>
      <c r="H57" s="35" t="s">
        <v>107</v>
      </c>
      <c r="I57" s="35" t="s">
        <v>107</v>
      </c>
      <c r="J57" s="35" t="str">
        <f>Currency</f>
        <v>GBP</v>
      </c>
      <c r="K57" s="35"/>
      <c r="L57" s="35"/>
    </row>
    <row r="58" spans="2:25">
      <c r="B58" s="53" t="s">
        <v>171</v>
      </c>
      <c r="C58" s="54" t="str">
        <f>IFERROR(INDEX(tblVerifyRegister[Item],MATCH(1,tblVerifyRegister[Action rank],0)),"")</f>
        <v>T-2</v>
      </c>
      <c r="D58" s="54" t="str">
        <f>IFERROR(INDEX(tblVerifyRegister[Description],MATCH(1,tblVerifyRegister[Action rank],0)),"")</f>
        <v>Unreliable supplier</v>
      </c>
      <c r="E58" s="54"/>
      <c r="F58" s="44" t="str">
        <f>IFERROR(INDEX(tblVerifyRegister[Class],MATCH(1,tblVerifyRegister[Action rank],0)),"")</f>
        <v>A</v>
      </c>
      <c r="G58" s="40">
        <f>IFERROR(INDEX(tblVerifyRegister[Current safety stock],MATCH(1,tblVerifyRegister[Action rank],0)),"")</f>
        <v>100</v>
      </c>
      <c r="H58" s="40">
        <f>IFERROR(INDEX(tblVerifyRegister[Safety stock],MATCH(1,tblVerifyRegister[Action rank],0)),"")</f>
        <v>84.5785567452808</v>
      </c>
      <c r="I58" s="40">
        <f>IFERROR(INDEX(tblVerifyRegister[Reorder point],MATCH(1,tblVerifyRegister[Action rank],0)),"")</f>
        <v>204.578556745281</v>
      </c>
      <c r="J58" s="43">
        <f>IFERROR(INDEX(tblVerifyRegister[Gap value],MATCH(1,tblVerifyRegister[Action rank],0)),"")</f>
        <v>771.07</v>
      </c>
      <c r="K58" s="44" t="str">
        <f>IFERROR(INDEX(tblVerifyRegister[Current vs recommended],MATCH(1,tblVerifyRegister[Action rank],0)),"")</f>
        <v>Above target</v>
      </c>
      <c r="L58" s="44"/>
    </row>
    <row r="59" spans="2:25">
      <c r="B59" s="53" t="s">
        <v>172</v>
      </c>
      <c r="C59" s="54" t="str">
        <f>IFERROR(INDEX(tblVerifyRegister[Item],MATCH(2,tblVerifyRegister[Action rank],0)),"")</f>
        <v>T-1</v>
      </c>
      <c r="D59" s="54" t="str">
        <f>IFERROR(INDEX(tblVerifyRegister[Description],MATCH(2,tblVerifyRegister[Action rank],0)),"")</f>
        <v>Calculator example</v>
      </c>
      <c r="E59" s="54"/>
      <c r="F59" s="44" t="str">
        <f>IFERROR(INDEX(tblVerifyRegister[Class],MATCH(2,tblVerifyRegister[Action rank],0)),"")</f>
        <v>B</v>
      </c>
      <c r="G59" s="40">
        <f>IFERROR(INDEX(tblVerifyRegister[Current safety stock],MATCH(2,tblVerifyRegister[Action rank],0)),"")</f>
        <v>200</v>
      </c>
      <c r="H59" s="40">
        <f>IFERROR(INDEX(tblVerifyRegister[Safety stock],MATCH(2,tblVerifyRegister[Action rank],0)),"")</f>
        <v>257.73823930492</v>
      </c>
      <c r="I59" s="40">
        <f>IFERROR(INDEX(tblVerifyRegister[Reorder point],MATCH(2,tblVerifyRegister[Action rank],0)),"")</f>
        <v>1157.73823930492</v>
      </c>
      <c r="J59" s="43">
        <f>IFERROR(INDEX(tblVerifyRegister[Gap value],MATCH(2,tblVerifyRegister[Action rank],0)),"")</f>
        <v>-577.38</v>
      </c>
      <c r="K59" s="44" t="str">
        <f>IFERROR(INDEX(tblVerifyRegister[Current vs recommended],MATCH(2,tblVerifyRegister[Action rank],0)),"")</f>
        <v>Below target</v>
      </c>
      <c r="L59" s="44"/>
    </row>
    <row r="60" spans="2:25">
      <c r="B60" s="53" t="s">
        <v>173</v>
      </c>
      <c r="C60" s="54" t="str">
        <f>IFERROR(INDEX(tblVerifyRegister[Item],MATCH(3,tblVerifyRegister[Action rank],0)),"")</f>
        <v>T-3</v>
      </c>
      <c r="D60" s="54" t="str">
        <f>IFERROR(INDEX(tblVerifyRegister[Description],MATCH(3,tblVerifyRegister[Action rank],0)),"")</f>
        <v>No variability</v>
      </c>
      <c r="E60" s="54"/>
      <c r="F60" s="44" t="str">
        <f>IFERROR(INDEX(tblVerifyRegister[Class],MATCH(3,tblVerifyRegister[Action rank],0)),"")</f>
        <v>A</v>
      </c>
      <c r="G60" s="40">
        <f>IFERROR(INDEX(tblVerifyRegister[Current safety stock],MATCH(3,tblVerifyRegister[Action rank],0)),"")</f>
        <v>0</v>
      </c>
      <c r="H60" s="40">
        <f>IFERROR(INDEX(tblVerifyRegister[Safety stock],MATCH(3,tblVerifyRegister[Action rank],0)),"")</f>
        <v>0</v>
      </c>
      <c r="I60" s="40">
        <f>IFERROR(INDEX(tblVerifyRegister[Reorder point],MATCH(3,tblVerifyRegister[Action rank],0)),"")</f>
        <v>60</v>
      </c>
      <c r="J60" s="43">
        <f>IFERROR(INDEX(tblVerifyRegister[Gap value],MATCH(3,tblVerifyRegister[Action rank],0)),"")</f>
        <v>0</v>
      </c>
      <c r="K60" s="44" t="str">
        <f>IFERROR(INDEX(tblVerifyRegister[Current vs recommended],MATCH(3,tblVerifyRegister[Action rank],0)),"")</f>
        <v>On target</v>
      </c>
      <c r="L60" s="44"/>
    </row>
    <row r="61" spans="2:25">
      <c r="B61" s="53" t="s">
        <v>174</v>
      </c>
      <c r="C61" s="54">
        <f>IFERROR(INDEX(tblVerifyRegister[Item],MATCH(4,tblVerifyRegister[Action rank],0)),"")</f>
        <v/>
      </c>
      <c r="D61" s="54">
        <f>IFERROR(INDEX(tblVerifyRegister[Description],MATCH(4,tblVerifyRegister[Action rank],0)),"")</f>
        <v/>
      </c>
      <c r="E61" s="54"/>
      <c r="F61" s="44">
        <f>IFERROR(INDEX(tblVerifyRegister[Class],MATCH(4,tblVerifyRegister[Action rank],0)),"")</f>
        <v/>
      </c>
      <c r="G61" s="40">
        <f>IFERROR(INDEX(tblVerifyRegister[Current safety stock],MATCH(4,tblVerifyRegister[Action rank],0)),"")</f>
        <v/>
      </c>
      <c r="H61" s="40">
        <f>IFERROR(INDEX(tblVerifyRegister[Safety stock],MATCH(4,tblVerifyRegister[Action rank],0)),"")</f>
        <v/>
      </c>
      <c r="I61" s="40">
        <f>IFERROR(INDEX(tblVerifyRegister[Reorder point],MATCH(4,tblVerifyRegister[Action rank],0)),"")</f>
        <v/>
      </c>
      <c r="J61" s="43">
        <f>IFERROR(INDEX(tblVerifyRegister[Gap value],MATCH(4,tblVerifyRegister[Action rank],0)),"")</f>
        <v/>
      </c>
      <c r="K61" s="44">
        <f>IFERROR(INDEX(tblVerifyRegister[Current vs recommended],MATCH(4,tblVerifyRegister[Action rank],0)),"")</f>
        <v/>
      </c>
      <c r="L61" s="44"/>
    </row>
    <row r="62" spans="2:25">
      <c r="B62" s="53" t="s">
        <v>175</v>
      </c>
      <c r="C62" s="54">
        <f>IFERROR(INDEX(tblVerifyRegister[Item],MATCH(5,tblVerifyRegister[Action rank],0)),"")</f>
        <v/>
      </c>
      <c r="D62" s="54">
        <f>IFERROR(INDEX(tblVerifyRegister[Description],MATCH(5,tblVerifyRegister[Action rank],0)),"")</f>
        <v/>
      </c>
      <c r="E62" s="54"/>
      <c r="F62" s="44">
        <f>IFERROR(INDEX(tblVerifyRegister[Class],MATCH(5,tblVerifyRegister[Action rank],0)),"")</f>
        <v/>
      </c>
      <c r="G62" s="40">
        <f>IFERROR(INDEX(tblVerifyRegister[Current safety stock],MATCH(5,tblVerifyRegister[Action rank],0)),"")</f>
        <v/>
      </c>
      <c r="H62" s="40">
        <f>IFERROR(INDEX(tblVerifyRegister[Safety stock],MATCH(5,tblVerifyRegister[Action rank],0)),"")</f>
        <v/>
      </c>
      <c r="I62" s="40">
        <f>IFERROR(INDEX(tblVerifyRegister[Reorder point],MATCH(5,tblVerifyRegister[Action rank],0)),"")</f>
        <v/>
      </c>
      <c r="J62" s="43">
        <f>IFERROR(INDEX(tblVerifyRegister[Gap value],MATCH(5,tblVerifyRegister[Action rank],0)),"")</f>
        <v/>
      </c>
      <c r="K62" s="44">
        <f>IFERROR(INDEX(tblVerifyRegister[Current vs recommended],MATCH(5,tblVerifyRegister[Action rank],0)),"")</f>
        <v/>
      </c>
      <c r="L62" s="44"/>
    </row>
    <row r="63" spans="2:25">
      <c r="B63" s="53" t="s">
        <v>176</v>
      </c>
      <c r="C63" s="54">
        <f>IFERROR(INDEX(tblVerifyRegister[Item],MATCH(6,tblVerifyRegister[Action rank],0)),"")</f>
        <v/>
      </c>
      <c r="D63" s="54">
        <f>IFERROR(INDEX(tblVerifyRegister[Description],MATCH(6,tblVerifyRegister[Action rank],0)),"")</f>
        <v/>
      </c>
      <c r="E63" s="54"/>
      <c r="F63" s="44">
        <f>IFERROR(INDEX(tblVerifyRegister[Class],MATCH(6,tblVerifyRegister[Action rank],0)),"")</f>
        <v/>
      </c>
      <c r="G63" s="40">
        <f>IFERROR(INDEX(tblVerifyRegister[Current safety stock],MATCH(6,tblVerifyRegister[Action rank],0)),"")</f>
        <v/>
      </c>
      <c r="H63" s="40">
        <f>IFERROR(INDEX(tblVerifyRegister[Safety stock],MATCH(6,tblVerifyRegister[Action rank],0)),"")</f>
        <v/>
      </c>
      <c r="I63" s="40">
        <f>IFERROR(INDEX(tblVerifyRegister[Reorder point],MATCH(6,tblVerifyRegister[Action rank],0)),"")</f>
        <v/>
      </c>
      <c r="J63" s="43">
        <f>IFERROR(INDEX(tblVerifyRegister[Gap value],MATCH(6,tblVerifyRegister[Action rank],0)),"")</f>
        <v/>
      </c>
      <c r="K63" s="44">
        <f>IFERROR(INDEX(tblVerifyRegister[Current vs recommended],MATCH(6,tblVerifyRegister[Action rank],0)),"")</f>
        <v/>
      </c>
      <c r="L63" s="44"/>
    </row>
    <row r="64" spans="2:25">
      <c r="B64" s="53" t="s">
        <v>177</v>
      </c>
      <c r="C64" s="54">
        <f>IFERROR(INDEX(tblVerifyRegister[Item],MATCH(7,tblVerifyRegister[Action rank],0)),"")</f>
        <v/>
      </c>
      <c r="D64" s="54">
        <f>IFERROR(INDEX(tblVerifyRegister[Description],MATCH(7,tblVerifyRegister[Action rank],0)),"")</f>
        <v/>
      </c>
      <c r="E64" s="54"/>
      <c r="F64" s="44">
        <f>IFERROR(INDEX(tblVerifyRegister[Class],MATCH(7,tblVerifyRegister[Action rank],0)),"")</f>
        <v/>
      </c>
      <c r="G64" s="40">
        <f>IFERROR(INDEX(tblVerifyRegister[Current safety stock],MATCH(7,tblVerifyRegister[Action rank],0)),"")</f>
        <v/>
      </c>
      <c r="H64" s="40">
        <f>IFERROR(INDEX(tblVerifyRegister[Safety stock],MATCH(7,tblVerifyRegister[Action rank],0)),"")</f>
        <v/>
      </c>
      <c r="I64" s="40">
        <f>IFERROR(INDEX(tblVerifyRegister[Reorder point],MATCH(7,tblVerifyRegister[Action rank],0)),"")</f>
        <v/>
      </c>
      <c r="J64" s="43">
        <f>IFERROR(INDEX(tblVerifyRegister[Gap value],MATCH(7,tblVerifyRegister[Action rank],0)),"")</f>
        <v/>
      </c>
      <c r="K64" s="44">
        <f>IFERROR(INDEX(tblVerifyRegister[Current vs recommended],MATCH(7,tblVerifyRegister[Action rank],0)),"")</f>
        <v/>
      </c>
      <c r="L64" s="44"/>
    </row>
    <row r="65" spans="2:12">
      <c r="B65" s="53" t="s">
        <v>178</v>
      </c>
      <c r="C65" s="54">
        <f>IFERROR(INDEX(tblVerifyRegister[Item],MATCH(8,tblVerifyRegister[Action rank],0)),"")</f>
        <v/>
      </c>
      <c r="D65" s="54">
        <f>IFERROR(INDEX(tblVerifyRegister[Description],MATCH(8,tblVerifyRegister[Action rank],0)),"")</f>
        <v/>
      </c>
      <c r="E65" s="54"/>
      <c r="F65" s="44">
        <f>IFERROR(INDEX(tblVerifyRegister[Class],MATCH(8,tblVerifyRegister[Action rank],0)),"")</f>
        <v/>
      </c>
      <c r="G65" s="40">
        <f>IFERROR(INDEX(tblVerifyRegister[Current safety stock],MATCH(8,tblVerifyRegister[Action rank],0)),"")</f>
        <v/>
      </c>
      <c r="H65" s="40">
        <f>IFERROR(INDEX(tblVerifyRegister[Safety stock],MATCH(8,tblVerifyRegister[Action rank],0)),"")</f>
        <v/>
      </c>
      <c r="I65" s="40">
        <f>IFERROR(INDEX(tblVerifyRegister[Reorder point],MATCH(8,tblVerifyRegister[Action rank],0)),"")</f>
        <v/>
      </c>
      <c r="J65" s="43">
        <f>IFERROR(INDEX(tblVerifyRegister[Gap value],MATCH(8,tblVerifyRegister[Action rank],0)),"")</f>
        <v/>
      </c>
      <c r="K65" s="44">
        <f>IFERROR(INDEX(tblVerifyRegister[Current vs recommended],MATCH(8,tblVerifyRegister[Action rank],0)),"")</f>
        <v/>
      </c>
      <c r="L65" s="44"/>
    </row>
    <row r="66" spans="2:12">
      <c r="B66" s="53" t="s">
        <v>179</v>
      </c>
      <c r="C66" s="54">
        <f>IFERROR(INDEX(tblVerifyRegister[Item],MATCH(9,tblVerifyRegister[Action rank],0)),"")</f>
        <v/>
      </c>
      <c r="D66" s="54">
        <f>IFERROR(INDEX(tblVerifyRegister[Description],MATCH(9,tblVerifyRegister[Action rank],0)),"")</f>
        <v/>
      </c>
      <c r="E66" s="54"/>
      <c r="F66" s="44">
        <f>IFERROR(INDEX(tblVerifyRegister[Class],MATCH(9,tblVerifyRegister[Action rank],0)),"")</f>
        <v/>
      </c>
      <c r="G66" s="40">
        <f>IFERROR(INDEX(tblVerifyRegister[Current safety stock],MATCH(9,tblVerifyRegister[Action rank],0)),"")</f>
        <v/>
      </c>
      <c r="H66" s="40">
        <f>IFERROR(INDEX(tblVerifyRegister[Safety stock],MATCH(9,tblVerifyRegister[Action rank],0)),"")</f>
        <v/>
      </c>
      <c r="I66" s="40">
        <f>IFERROR(INDEX(tblVerifyRegister[Reorder point],MATCH(9,tblVerifyRegister[Action rank],0)),"")</f>
        <v/>
      </c>
      <c r="J66" s="43">
        <f>IFERROR(INDEX(tblVerifyRegister[Gap value],MATCH(9,tblVerifyRegister[Action rank],0)),"")</f>
        <v/>
      </c>
      <c r="K66" s="44">
        <f>IFERROR(INDEX(tblVerifyRegister[Current vs recommended],MATCH(9,tblVerifyRegister[Action rank],0)),"")</f>
        <v/>
      </c>
      <c r="L66" s="44"/>
    </row>
    <row r="67" spans="2:12">
      <c r="B67" s="53" t="s">
        <v>180</v>
      </c>
      <c r="C67" s="54">
        <f>IFERROR(INDEX(tblVerifyRegister[Item],MATCH(10,tblVerifyRegister[Action rank],0)),"")</f>
        <v/>
      </c>
      <c r="D67" s="54">
        <f>IFERROR(INDEX(tblVerifyRegister[Description],MATCH(10,tblVerifyRegister[Action rank],0)),"")</f>
        <v/>
      </c>
      <c r="E67" s="54"/>
      <c r="F67" s="44">
        <f>IFERROR(INDEX(tblVerifyRegister[Class],MATCH(10,tblVerifyRegister[Action rank],0)),"")</f>
        <v/>
      </c>
      <c r="G67" s="40">
        <f>IFERROR(INDEX(tblVerifyRegister[Current safety stock],MATCH(10,tblVerifyRegister[Action rank],0)),"")</f>
        <v/>
      </c>
      <c r="H67" s="40">
        <f>IFERROR(INDEX(tblVerifyRegister[Safety stock],MATCH(10,tblVerifyRegister[Action rank],0)),"")</f>
        <v/>
      </c>
      <c r="I67" s="40">
        <f>IFERROR(INDEX(tblVerifyRegister[Reorder point],MATCH(10,tblVerifyRegister[Action rank],0)),"")</f>
        <v/>
      </c>
      <c r="J67" s="43">
        <f>IFERROR(INDEX(tblVerifyRegister[Gap value],MATCH(10,tblVerifyRegister[Action rank],0)),"")</f>
        <v/>
      </c>
      <c r="K67" s="44">
        <f>IFERROR(INDEX(tblVerifyRegister[Current vs recommended],MATCH(10,tblVerifyRegister[Action rank],0)),"")</f>
        <v/>
      </c>
      <c r="L67" s="44"/>
    </row>
    <row r="69" spans="2:12">
      <c r="B69" s="30" t="s">
        <v>306</v>
      </c>
      <c r="C69" s="30"/>
      <c r="D69" s="30"/>
      <c r="E69" s="30"/>
      <c r="F69" s="30"/>
      <c r="G69" s="30"/>
      <c r="H69" s="30"/>
      <c r="I69" s="30"/>
      <c r="J69" s="30"/>
      <c r="K69" s="30"/>
      <c r="L69" s="30"/>
    </row>
    <row r="70" spans="2:12" ht="32" customHeight="1">
      <c r="B70" s="52" t="s">
        <v>191</v>
      </c>
      <c r="C70" s="31" t="s">
        <v>62</v>
      </c>
      <c r="D70" s="31" t="s">
        <v>192</v>
      </c>
      <c r="E70" s="31" t="s">
        <v>193</v>
      </c>
      <c r="F70" s="31" t="s">
        <v>194</v>
      </c>
      <c r="G70" s="31" t="s">
        <v>195</v>
      </c>
    </row>
    <row r="71" spans="2:12" ht="14" customHeight="1">
      <c r="B71" s="35"/>
      <c r="C71" s="35"/>
      <c r="D71" s="35" t="str">
        <f>Currency</f>
        <v>GBP</v>
      </c>
      <c r="E71" s="35" t="str">
        <f>Currency&amp;"/year"</f>
        <v>GBP/year</v>
      </c>
      <c r="F71" s="35" t="str">
        <f>Currency</f>
        <v>GBP</v>
      </c>
      <c r="G71" s="35" t="str">
        <f>Currency</f>
        <v>GBP</v>
      </c>
    </row>
    <row r="72" spans="2:12">
      <c r="B72" s="77">
        <v>0.95</v>
      </c>
      <c r="C72" s="33">
        <f>_xlfn.NORM.S.INV($B$72)</f>
        <v>1.64485362695147</v>
      </c>
      <c r="D72" s="40">
        <f>_xlfn.NORM.S.INV($B$72)*SUMPRODUCT(tblVerifyRegister[Std dev of LT demand],tblVerifyRegister[Unit cost])</f>
        <v>6010.23454989404</v>
      </c>
      <c r="E72" s="40">
        <f>$D$72*$E$39</f>
        <v>1502.55863747351</v>
      </c>
      <c r="F72" s="59">
        <f>SUMPRODUCT(tblVerifyRegister[Current safety stock],tblVerifyRegister[Unit cost])</f>
        <v>7100</v>
      </c>
      <c r="G72" s="43">
        <f>$D$72-$F$72</f>
        <v>-1089.76545010596</v>
      </c>
    </row>
    <row r="73" spans="2:12">
      <c r="B73" s="77">
        <v>0.99</v>
      </c>
      <c r="C73" s="33">
        <f>_xlfn.NORM.S.INV($B$73)</f>
        <v>2.32634787404084</v>
      </c>
      <c r="D73" s="40">
        <f>_xlfn.NORM.S.INV($B$73)*SUMPRODUCT(tblVerifyRegister[Std dev of LT demand],tblVerifyRegister[Unit cost])</f>
        <v>8500.38941978472</v>
      </c>
      <c r="E73" s="40">
        <f>$D$73*$E$39</f>
        <v>2125.09735494618</v>
      </c>
      <c r="F73" s="59">
        <f>SUMPRODUCT(tblVerifyRegister[Current safety stock],tblVerifyRegister[Unit cost])</f>
        <v>7100</v>
      </c>
      <c r="G73" s="43">
        <f>$D$73-$F$73</f>
        <v>1400.38941978472</v>
      </c>
    </row>
    <row r="74" spans="2:12">
      <c r="B74" s="77">
        <v>0.9</v>
      </c>
      <c r="C74" s="33">
        <f>_xlfn.NORM.S.INV($B$74)</f>
        <v>1.2815515655446</v>
      </c>
      <c r="D74" s="40">
        <f>_xlfn.NORM.S.INV($B$74)*SUMPRODUCT(tblVerifyRegister[Std dev of LT demand],tblVerifyRegister[Unit cost])</f>
        <v>4682.7422030144</v>
      </c>
      <c r="E74" s="40">
        <f>$D$74*$E$39</f>
        <v>1170.6855507536</v>
      </c>
      <c r="F74" s="59">
        <f>SUMPRODUCT(tblVerifyRegister[Current safety stock],tblVerifyRegister[Unit cost])</f>
        <v>7100</v>
      </c>
      <c r="G74" s="43">
        <f>$D$74-$F$74</f>
        <v>-2417.2577969856</v>
      </c>
    </row>
    <row r="75" spans="2:12">
      <c r="B75" s="77">
        <v>0.9</v>
      </c>
      <c r="C75" s="33">
        <f>_xlfn.NORM.S.INV($B$75)</f>
        <v>1.2815515655446</v>
      </c>
      <c r="D75" s="40">
        <f>_xlfn.NORM.S.INV($B$75)*SUMPRODUCT(tblVerifyRegister[Std dev of LT demand],tblVerifyRegister[Unit cost])</f>
        <v>4682.7422030144</v>
      </c>
      <c r="E75" s="40">
        <f>$D$75*$E$39</f>
        <v>1170.6855507536</v>
      </c>
      <c r="F75" s="59">
        <f>SUMPRODUCT(tblVerifyRegister[Current safety stock],tblVerifyRegister[Unit cost])</f>
        <v>7100</v>
      </c>
      <c r="G75" s="43">
        <f>$D$75-$F$75</f>
        <v>-2417.2577969856</v>
      </c>
    </row>
    <row r="76" spans="2:12">
      <c r="B76" s="77">
        <v>0.9</v>
      </c>
      <c r="C76" s="33">
        <f>_xlfn.NORM.S.INV($B$76)</f>
        <v>1.2815515655446</v>
      </c>
      <c r="D76" s="40">
        <f>_xlfn.NORM.S.INV($B$76)*SUMPRODUCT(tblVerifyRegister[Std dev of LT demand],tblVerifyRegister[Unit cost])</f>
        <v>4682.7422030144</v>
      </c>
      <c r="E76" s="40">
        <f>$D$76*$E$39</f>
        <v>1170.6855507536</v>
      </c>
      <c r="F76" s="59">
        <f>SUMPRODUCT(tblVerifyRegister[Current safety stock],tblVerifyRegister[Unit cost])</f>
        <v>7100</v>
      </c>
      <c r="G76" s="43">
        <f>$D$76-$F$76</f>
        <v>-2417.2577969856</v>
      </c>
    </row>
    <row r="77" spans="2:12">
      <c r="B77" s="77">
        <v>0.9</v>
      </c>
      <c r="C77" s="33">
        <f>_xlfn.NORM.S.INV($B$77)</f>
        <v>1.2815515655446</v>
      </c>
      <c r="D77" s="40">
        <f>_xlfn.NORM.S.INV($B$77)*SUMPRODUCT(tblVerifyRegister[Std dev of LT demand],tblVerifyRegister[Unit cost])</f>
        <v>4682.7422030144</v>
      </c>
      <c r="E77" s="40">
        <f>$D$77*$E$39</f>
        <v>1170.6855507536</v>
      </c>
      <c r="F77" s="59">
        <f>SUMPRODUCT(tblVerifyRegister[Current safety stock],tblVerifyRegister[Unit cost])</f>
        <v>7100</v>
      </c>
      <c r="G77" s="43">
        <f>$D$77-$F$77</f>
        <v>-2417.2577969856</v>
      </c>
    </row>
    <row r="78" spans="2:12">
      <c r="B78" s="77">
        <v>0.9</v>
      </c>
      <c r="C78" s="33">
        <f>_xlfn.NORM.S.INV($B$78)</f>
        <v>1.2815515655446</v>
      </c>
      <c r="D78" s="40">
        <f>_xlfn.NORM.S.INV($B$78)*SUMPRODUCT(tblVerifyRegister[Std dev of LT demand],tblVerifyRegister[Unit cost])</f>
        <v>4682.7422030144</v>
      </c>
      <c r="E78" s="40">
        <f>$D$78*$E$39</f>
        <v>1170.6855507536</v>
      </c>
      <c r="F78" s="59">
        <f>SUMPRODUCT(tblVerifyRegister[Current safety stock],tblVerifyRegister[Unit cost])</f>
        <v>7100</v>
      </c>
      <c r="G78" s="43">
        <f>$D$78-$F$78</f>
        <v>-2417.2577969856</v>
      </c>
    </row>
  </sheetData>
  <sheetProtection sheet="1" formatColumns="0" formatRows="0"/>
  <mergeCells count="64">
    <mergeCell ref="A1:Y1"/>
    <mergeCell ref="B2:X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B35:L35"/>
    <mergeCell ref="B37:L37"/>
    <mergeCell ref="B38:F38"/>
    <mergeCell ref="B39:D39"/>
    <mergeCell ref="B40:D40"/>
    <mergeCell ref="B42:L42"/>
    <mergeCell ref="B47:L47"/>
    <mergeCell ref="B55:L55"/>
    <mergeCell ref="D56:E56"/>
    <mergeCell ref="K56:L56"/>
    <mergeCell ref="D57:E57"/>
    <mergeCell ref="K57:L57"/>
    <mergeCell ref="D58:E58"/>
    <mergeCell ref="D59:E59"/>
    <mergeCell ref="D60:E60"/>
    <mergeCell ref="D61:E61"/>
    <mergeCell ref="D62:E62"/>
    <mergeCell ref="D63:E63"/>
    <mergeCell ref="D64:E64"/>
    <mergeCell ref="D65:E65"/>
    <mergeCell ref="D66:E66"/>
    <mergeCell ref="D67:E67"/>
    <mergeCell ref="K58:L58"/>
    <mergeCell ref="K59:L59"/>
    <mergeCell ref="K60:L60"/>
    <mergeCell ref="K61:L61"/>
    <mergeCell ref="K62:L62"/>
    <mergeCell ref="K63:L63"/>
    <mergeCell ref="K64:L64"/>
    <mergeCell ref="K65:L65"/>
    <mergeCell ref="K66:L66"/>
    <mergeCell ref="K67:L67"/>
    <mergeCell ref="B69:L6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3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K58:K67">
    <cfRule type="cellIs" dxfId="0" priority="43" operator="equal">
      <formula>"On target"</formula>
    </cfRule>
    <cfRule type="cellIs" dxfId="0" priority="44" operator="equal">
      <formula>"PASS"</formula>
    </cfRule>
    <cfRule type="cellIs" dxfId="0" priority="45" operator="equal">
      <formula>"OK"</formula>
    </cfRule>
    <cfRule type="cellIs" dxfId="0" priority="46" operator="equal">
      <formula>"Within limits"</formula>
    </cfRule>
    <cfRule type="cellIs" dxfId="0" priority="47" operator="equal">
      <formula>"Under capacity"</formula>
    </cfRule>
    <cfRule type="cellIs" dxfId="0" priority="48" operator="equal">
      <formula>"Complete"</formula>
    </cfRule>
    <cfRule type="cellIs" dxfId="0" priority="49" operator="equal">
      <formula>"Yes"</formula>
    </cfRule>
    <cfRule type="cellIs" dxfId="1" priority="50" operator="equal">
      <formula>"Near target"</formula>
    </cfRule>
    <cfRule type="cellIs" dxfId="1" priority="51" operator="equal">
      <formula>"Check"</formula>
    </cfRule>
    <cfRule type="cellIs" dxfId="1" priority="52" operator="equal">
      <formula>"Due soon"</formula>
    </cfRule>
    <cfRule type="cellIs" dxfId="1" priority="53" operator="equal">
      <formula>"Near capacity"</formula>
    </cfRule>
    <cfRule type="cellIs" dxfId="1" priority="54" operator="equal">
      <formula>"In progress"</formula>
    </cfRule>
    <cfRule type="cellIs" dxfId="1" priority="55" operator="equal">
      <formula>"Partial"</formula>
    </cfRule>
    <cfRule type="cellIs" dxfId="2" priority="56" operator="equal">
      <formula>"Below target"</formula>
    </cfRule>
    <cfRule type="cellIs" dxfId="2" priority="57" operator="equal">
      <formula>"Above target"</formula>
    </cfRule>
    <cfRule type="cellIs" dxfId="2" priority="58" operator="equal">
      <formula>"FAIL"</formula>
    </cfRule>
    <cfRule type="cellIs" dxfId="2" priority="59" operator="equal">
      <formula>"Over capacity"</formula>
    </cfRule>
    <cfRule type="cellIs" dxfId="2" priority="60" operator="equal">
      <formula>"Overdue"</formula>
    </cfRule>
    <cfRule type="cellIs" dxfId="2" priority="61" operator="equal">
      <formula>"Out of limits"</formula>
    </cfRule>
    <cfRule type="cellIs" dxfId="2" priority="62" operator="equal">
      <formula>"No"</formula>
    </cfRule>
  </conditionalFormatting>
  <conditionalFormatting sqref="X50:X53">
    <cfRule type="expression" dxfId="3" priority="41">
      <formula>$X50="OK"</formula>
    </cfRule>
    <cfRule type="expression" dxfId="1" priority="42">
      <formula>AND($X50&lt;&gt;"",$X50&lt;&gt;"OK")</formula>
    </cfRule>
  </conditionalFormatting>
  <hyperlinks>
    <hyperlink ref="Y2" r:id="rId1" tooltip="Free manufacturing calculators and templates"/>
  </hyperlinks>
  <printOptions horizontalCentered="1"/>
  <pageMargins left="0.4" right="0.4" top="0.7" bottom="0.65" header="0.3" footer="0.3"/>
  <pageSetup fitToHeight="0" orientation="landscape"/>
  <headerFooter>
    <oddHeader>&amp;L&amp;8MFG Calcs - Safety Stock Planner&amp;R&amp;8&amp;A</oddHeader>
    <oddFooter>&amp;L&amp;8mfgcalcs.com - free manufacturing templates&amp;R&amp;8Page &amp;P of &amp;N</oddFooter>
  </headerFooter>
  <rowBreaks count="1" manualBreakCount="1">
    <brk id="54"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19</vt:i4>
      </vt:variant>
    </vt:vector>
  </HeadingPairs>
  <TitlesOfParts>
    <vt:vector size="25" baseType="lpstr">
      <vt:lpstr>Start Here</vt:lpstr>
      <vt:lpstr>Setup</vt:lpstr>
      <vt:lpstr>Item Register</vt:lpstr>
      <vt:lpstr>Dashboard</vt:lpstr>
      <vt:lpstr>Method</vt:lpstr>
      <vt:lpstr>Verify</vt:lpstr>
      <vt:lpstr>CarryRate</vt:lpstr>
      <vt:lpstr>CompanyName</vt:lpstr>
      <vt:lpstr>Currency</vt:lpstr>
      <vt:lpstr>KpiBelow</vt:lpstr>
      <vt:lpstr>KpiCur</vt:lpstr>
      <vt:lpstr>KpiHold</vt:lpstr>
      <vt:lpstr>KpiRec</vt:lpstr>
      <vt:lpstr>Period</vt:lpstr>
      <vt:lpstr>Dashboard!Print_Area</vt:lpstr>
      <vt:lpstr>'Item Register'!Print_Area</vt:lpstr>
      <vt:lpstr>Method!Print_Area</vt:lpstr>
      <vt:lpstr>Setup!Print_Area</vt:lpstr>
      <vt:lpstr>'Start Here'!Print_Area</vt:lpstr>
      <vt:lpstr>Verify!Print_Area</vt:lpstr>
      <vt:lpstr>'Item Register'!Print_Titles</vt:lpstr>
      <vt:lpstr>Method!Print_Titles</vt:lpstr>
      <vt:lpstr>SelfCheck</vt:lpstr>
      <vt:lpstr>SelfCheckSummary</vt:lpstr>
      <vt:lpstr>Tolerance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Safety Stock Planner - free Excel template from MFG Calcs</dc:title>
  <dc:subject>Size each item's safety stock and reorder point from demand and lead-time variability, and find the buffers set today that are short or excessive.</dc:subject>
  <dc:creator>MFG Calcs</dc:creator>
  <cp:keywords>safety stock, reorder point, service level, z factor, lead time variability, demand variability, inventory planning</cp:keywords>
  <dc:description>https://www.mfgcalcs.com/templates/safety-stock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safety-stock</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https://www.mfgcalcs.com/templates/safety-stock</vt:lpwstr>
  </property>
  <property fmtid="{D5CDD505-2E9C-101B-9397-08002B2CF9AE}" pid="7" name="Template sheet roles">
    <vt:lpwstr>Start Here=start;Setup=setup;Item Register=work;Dashboard=dashboard;Method=method;Verify=verify</vt:lpwstr>
  </property>
</Properties>
</file>