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chedule Log" sheetId="3" r:id="rId3"/>
    <sheet name="Dashboard" sheetId="4" r:id="rId4"/>
    <sheet name="Method" sheetId="5" r:id="rId5"/>
    <sheet name="Verify" sheetId="6" r:id="rId6"/>
  </sheets>
  <definedNames>
    <definedName name="DashFrom">Dashboard!$G$4</definedName>
    <definedName name="DashLine">Dashboard!$C$4</definedName>
    <definedName name="DashTo">Dashboard!$K$4</definedName>
    <definedName name="FFrom">IF(DashFrom="",0,DashFrom)</definedName>
    <definedName name="FTo">IF(DashTo="",2958465,DashTo)</definedName>
    <definedName name="Items">tblItems[Item]</definedName>
    <definedName name="KpiAttain">Dashboard!$B$8</definedName>
    <definedName name="KpiHits">Dashboard!$G$8</definedName>
    <definedName name="KpiLines">Dashboard!$J$30</definedName>
    <definedName name="KpiOver">Dashboard!$B$30</definedName>
    <definedName name="KpiShort">Dashboard!$J$8</definedName>
    <definedName name="KpiTop">Dashboard!$G$30</definedName>
    <definedName name="KpiVolume">Dashboard!$D$8</definedName>
    <definedName name="KpiWeak">Dashboard!$D$30</definedName>
    <definedName name="Lines">tblLines[Line]</definedName>
    <definedName name="PlantName">Setup!$C$6</definedName>
    <definedName name="_xlnm.Print_Area" localSheetId="3">Dashboard!$A$1:$L$89</definedName>
    <definedName name="_xlnm.Print_Area" localSheetId="4">Method!$A$1:$D$55</definedName>
    <definedName name="_xlnm.Print_Area" localSheetId="2">'Schedule Log'!$A$1:$P$85</definedName>
    <definedName name="_xlnm.Print_Area" localSheetId="1">Setup!$A$1:$E$40</definedName>
    <definedName name="_xlnm.Print_Area" localSheetId="0">'Start Here'!$A$1:$F$55</definedName>
    <definedName name="_xlnm.Print_Area" localSheetId="5">Verify!$A$1:$P$44</definedName>
    <definedName name="_xlnm.Print_Titles" localSheetId="4">Method!$1:$2</definedName>
    <definedName name="_xlnm.Print_Titles" localSheetId="2">'Schedule Log'!$1:$5</definedName>
    <definedName name="Reasons">tblReasons[Reason]</definedName>
    <definedName name="SelfCheck">Verify!$D$4</definedName>
    <definedName name="SelfCheckSummary">Verify!$F$4</definedName>
    <definedName name="TargetAttain">Setup!$C$7</definedName>
  </definedNames>
  <calcPr calcId="124519" fullCalcOnLoad="1"/>
</workbook>
</file>

<file path=xl/sharedStrings.xml><?xml version="1.0" encoding="utf-8"?>
<sst xmlns="http://schemas.openxmlformats.org/spreadsheetml/2006/main" count="676" uniqueCount="243">
  <si>
    <t>Schedule Attainment Tracker</t>
  </si>
  <si>
    <t>Read this first: what the workbook does and how to use it.</t>
  </si>
  <si>
    <t>mfgcalcs.com</t>
  </si>
  <si>
    <t>Log what each line was scheduled to build and what it built, item by item, and see schedule attainment with each item capped at its plan, the misses and their reasons, by day, line and item.</t>
  </si>
  <si>
    <t>For: Production planners, schedulers, supervisors and plant managers who review whether the plan was met in the daily production meeting.</t>
  </si>
  <si>
    <t>Version 1.0.0  ·  updated 24 October 2026</t>
  </si>
  <si>
    <t>Quick start</t>
  </si>
  <si>
    <t>1.</t>
  </si>
  <si>
    <t>On Setup, type your plant name and attainment target, then replace the example lines, items and miss reasons.</t>
  </si>
  <si>
    <t>2.</t>
  </si>
  <si>
    <t>Each day, add one row per line and item: the planned units and the good units actually completed.</t>
  </si>
  <si>
    <t>3.</t>
  </si>
  <si>
    <t>When an item falls short, pick the miss reason; the Check column asks for it.</t>
  </si>
  <si>
    <t>4.</t>
  </si>
  <si>
    <t>Open the Dashboard: filter by line or dates, compare schedule attainment with volume attainment, and read which reasons cost the most units.</t>
  </si>
  <si>
    <t>What is in this workbook</t>
  </si>
  <si>
    <t>Start Here</t>
  </si>
  <si>
    <t>Setup</t>
  </si>
  <si>
    <t>Plant name, the attainment target, and the line, item and miss-reason lists.</t>
  </si>
  <si>
    <t>Schedule Log</t>
  </si>
  <si>
    <t>One row per line, day and item: the planned units, the good units completed, and why an item fell short.</t>
  </si>
  <si>
    <t>Dashboard</t>
  </si>
  <si>
    <t>Schedule attainment against your target, where the plan was missed and why, for the line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</si>
  <si>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</si>
  <si>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</si>
  <si>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</si>
  <si>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</si>
  <si>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</si>
  <si>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</si>
  <si>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</si>
  <si>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</si>
  <si>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</si>
  <si>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</si>
  <si>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</si>
  <si>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</si>
  <si>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</si>
  <si>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</si>
  <si>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</si>
  <si>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</si>
  <si>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</si>
  <si>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</si>
  <si>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</si>
  <si>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</si>
  <si>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Schedule Attainment Rate Calculator on mfgcalcs.com</t>
  </si>
  <si>
    <t>Latest version</t>
  </si>
  <si>
    <t>mfgcalcs.com/templates/schedule-attainment-tracker</t>
  </si>
  <si>
    <t>More free templates</t>
  </si>
  <si>
    <t>mfgcalcs.com/templates</t>
  </si>
  <si>
    <t>Version</t>
  </si>
  <si>
    <t>1.0.0 (updated 24 October 2026)</t>
  </si>
  <si>
    <t>About the example data</t>
  </si>
  <si>
    <t>Every number already in this workbook is example data for Halden Valve Components, a fictional business invented for this template, so the dashboard and charts show something meaningful on day one. It covers three lines and eight items over ten working days (5 to 16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</si>
  <si>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</si>
  <si>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</si>
  <si>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</si>
  <si>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</si>
  <si>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</si>
  <si>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</si>
  <si>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</si>
  <si>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</si>
  <si>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Line</t>
  </si>
  <si>
    <t>Description</t>
  </si>
  <si>
    <t>Item</t>
  </si>
  <si>
    <t>Reason</t>
  </si>
  <si>
    <t>Definition</t>
  </si>
  <si>
    <t>Plant and target</t>
  </si>
  <si>
    <t>Plant name</t>
  </si>
  <si>
    <t>Halden Valve Components (example)</t>
  </si>
  <si>
    <t>Schedule attainment target</t>
  </si>
  <si>
    <t>Schedule attainment caps each line-day-item at its plan, so building ahead on one item cannot hide a miss on another. Volume attainment, shown beside it, does not cap. 'Near target' means within 5% below the target.</t>
  </si>
  <si>
    <t>Lists that feed the dropdowns</t>
  </si>
  <si>
    <t>Edit, add or remove rows; every dropdown on the Schedule Log reads these lists.</t>
  </si>
  <si>
    <t>Lines or work centres</t>
  </si>
  <si>
    <t>M1</t>
  </si>
  <si>
    <t>Machining cell, valve bodies and bonnets</t>
  </si>
  <si>
    <t>M2</t>
  </si>
  <si>
    <t>Machining cell, stems and seats</t>
  </si>
  <si>
    <t>C2</t>
  </si>
  <si>
    <t>Assembly and test, finished valves</t>
  </si>
  <si>
    <t>Items</t>
  </si>
  <si>
    <t>VB-200 body</t>
  </si>
  <si>
    <t>BN-200 bonnet</t>
  </si>
  <si>
    <t>VB-300 body</t>
  </si>
  <si>
    <t>ST-20 stem</t>
  </si>
  <si>
    <t>SE-20 seat</t>
  </si>
  <si>
    <t>GV-200 gate valve</t>
  </si>
  <si>
    <t>GV-300 gate valve</t>
  </si>
  <si>
    <t>BV-50 ball valve</t>
  </si>
  <si>
    <t>Miss reasons</t>
  </si>
  <si>
    <t>Material shortage</t>
  </si>
  <si>
    <t>Castings, bar or bought-in parts not available</t>
  </si>
  <si>
    <t>Machine breakdown</t>
  </si>
  <si>
    <t>Unplanned stop for repair</t>
  </si>
  <si>
    <t>Changeover overrun</t>
  </si>
  <si>
    <t>Setup took longer than planned</t>
  </si>
  <si>
    <t>Quality hold</t>
  </si>
  <si>
    <t>Parts held for a quality decision or rework</t>
  </si>
  <si>
    <t>Labour shortage</t>
  </si>
  <si>
    <t>Absence or operators moved to another line</t>
  </si>
  <si>
    <t>Schedule change</t>
  </si>
  <si>
    <t>Priority changed after the plan was frozen</t>
  </si>
  <si>
    <t>Upstream delay</t>
  </si>
  <si>
    <t>Waiting for parts from an earlier operation</t>
  </si>
  <si>
    <t>Other</t>
  </si>
  <si>
    <t>Anything else; say what in the note</t>
  </si>
  <si>
    <t>Date</t>
  </si>
  <si>
    <t>Planned (units)</t>
  </si>
  <si>
    <t>Actual (units)</t>
  </si>
  <si>
    <t>Miss reason</t>
  </si>
  <si>
    <t>Credited (units)</t>
  </si>
  <si>
    <t>Short (units)</t>
  </si>
  <si>
    <t>Over plan (units)</t>
  </si>
  <si>
    <t>Attainment</t>
  </si>
  <si>
    <t>Hit</t>
  </si>
  <si>
    <t>Status</t>
  </si>
  <si>
    <t>View date</t>
  </si>
  <si>
    <t>Check</t>
  </si>
  <si>
    <t>Example data for Halden Valve Components (fictional). Replace it with your own: select the example rows, right-click, Delete &gt; Table Rows. Yellow = you type; blue = calculated; Check names any problem.</t>
  </si>
  <si>
    <t/>
  </si>
  <si>
    <t>GV castings late from foundry</t>
  </si>
  <si>
    <t>From</t>
  </si>
  <si>
    <t>To</t>
  </si>
  <si>
    <t>SCHEDULE ATTAINMENT</t>
  </si>
  <si>
    <t>VOLUME ATTAINMENT</t>
  </si>
  <si>
    <t>ITEMS ON PLAN</t>
  </si>
  <si>
    <t>UNITS SHORT</t>
  </si>
  <si>
    <t>All units built over all planned, not capped</t>
  </si>
  <si>
    <t>Share of schedule lines that made their plan</t>
  </si>
  <si>
    <t>Planned units not built</t>
  </si>
  <si>
    <t>UNITS BUILT OVER PLAN</t>
  </si>
  <si>
    <t>WEAKEST LINE</t>
  </si>
  <si>
    <t>BIGGEST MISS REASON</t>
  </si>
  <si>
    <t>SCHEDULE LINES</t>
  </si>
  <si>
    <t>Not counted toward schedule attainment</t>
  </si>
  <si>
    <t>Lowest schedule attainment, see the line chart</t>
  </si>
  <si>
    <t>Ranked by units short, see the Pareto</t>
  </si>
  <si>
    <t>Line-day-item rows in view</t>
  </si>
  <si>
    <t>Daily summary (last 10 production days in view)</t>
  </si>
  <si>
    <t>Schedule attainment</t>
  </si>
  <si>
    <t>Volume attainment</t>
  </si>
  <si>
    <t>Target</t>
  </si>
  <si>
    <t>By item</t>
  </si>
  <si>
    <t>By line</t>
  </si>
  <si>
    <t>Units short by miss reason (Pareto)</t>
  </si>
  <si>
    <t>Planned</t>
  </si>
  <si>
    <t>Schedule</t>
  </si>
  <si>
    <t>Volume</t>
  </si>
  <si>
    <t>Rank</t>
  </si>
  <si>
    <t>Units short</t>
  </si>
  <si>
    <t>Share</t>
  </si>
  <si>
    <t>Cumulative</t>
  </si>
  <si>
    <t>Helper: Miss reason (list order)</t>
  </si>
  <si>
    <t>Helper: value (-1 = unused slot)</t>
  </si>
  <si>
    <t>Helper: rank, ties by list order</t>
  </si>
  <si>
    <t>units</t>
  </si>
  <si>
    <t>%</t>
  </si>
  <si>
    <t>Total</t>
  </si>
  <si>
    <t>The Dashboard shows the 3 lines, 8 items and 8 miss reasons of the Setup lists. If you add more, extend the 'By line', 'By item' and Pareto blocks (see Method) or they will not appear here.</t>
  </si>
  <si>
    <t>What this workbook calculates</t>
  </si>
  <si>
    <t>One row per line, day and item holds the units the frozen schedule asked for and the good units completed. Schedule attainment credits each row with at most its planned quantity, so building ahead on one item cannot cover a miss on another; volume attainment, shown beside it, adds every unit built. The miss reason on every short row feeds the Pareto. Every roll-up adds the units first and divides last.</t>
  </si>
  <si>
    <t>Calculations</t>
  </si>
  <si>
    <t>Quantity</t>
  </si>
  <si>
    <t>How it is calculated</t>
  </si>
  <si>
    <t>Units</t>
  </si>
  <si>
    <t>Credited</t>
  </si>
  <si>
    <t>MIN(actual, planned): the units that count toward the plan.</t>
  </si>
  <si>
    <t>Short</t>
  </si>
  <si>
    <t>MAX(0, planned - actual).</t>
  </si>
  <si>
    <t>Over plan</t>
  </si>
  <si>
    <t>MAX(0, actual - planned): built beyond the plan, not credited.</t>
  </si>
  <si>
    <t>Credited / planned. Over several rows: sum of credited / sum of planned.</t>
  </si>
  <si>
    <t>Sum of actual / sum of planned, not capped. The Schedule Attainment Rate calculator's ratio on one total.</t>
  </si>
  <si>
    <t>Hit and items on plan</t>
  </si>
  <si>
    <t>Hit = 1 when actual &gt;= planned. Items on plan = sum of hits / schedule lines with a plan.</t>
  </si>
  <si>
    <t>-</t>
  </si>
  <si>
    <t>On target at or above the target on Setup, Near target within 5% below it, Below target otherwise.</t>
  </si>
  <si>
    <t>Pareto</t>
  </si>
  <si>
    <t>Units short summed by miss reason, ranked by COUNTIF ranks with share and cumulative share. Hidden helper columns AO:AQ hold the unsorted values and ranks.</t>
  </si>
  <si>
    <t>units, %</t>
  </si>
  <si>
    <t>Dashboard roll-ups</t>
  </si>
  <si>
    <t>SUMIFS over the Schedule Log restricted to rows whose View date is filled in (inside the line and date filters).</t>
  </si>
  <si>
    <t>Assumptions</t>
  </si>
  <si>
    <t>The plan on each row is the frozen schedule for that day; record late changes as a new plan only when the change is approved, and use the Schedule change reason for misses they cause.</t>
  </si>
  <si>
    <t>Actual counts good units completed against that schedule line; scrap and rework are not counted.</t>
  </si>
  <si>
    <t>One row per line, day and item. If the same item runs twice on a line in a day, add the quantities into one row.</t>
  </si>
  <si>
    <t>Limitations</t>
  </si>
  <si>
    <t>Attainment is judged per line, day and item; building tomorrow's quantity today is credited to neither day's plan.</t>
  </si>
  <si>
    <t>Only one miss reason per row, so the Pareto attributes the row's whole shortfall to one reason.</t>
  </si>
  <si>
    <t>Schedule adherence (sequence and timing within the day) is not measured, only quantities.</t>
  </si>
  <si>
    <t>The Dashboard has fixed blocks for the number of lines, items and reasons in the example lists; longer lists need the blocks extended (a warning appears on the Dashboard).</t>
  </si>
  <si>
    <t>Agreement with the live calculator</t>
  </si>
  <si>
    <t>The live Schedule Attainment Rate calculator divides the units completed by the units planned for one total and shows the gap to target and the units below it: 185 of 200 against a 95% target is 92.5%, 2.5 points and 5 units short. For a single row this workbook gives the same figures, checked against the calculator's engine on every build. On a mix of items it also caps each item at its plan, which the single-total calculator cannot.</t>
  </si>
  <si>
    <t>Open the Schedule Attainment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</si>
  <si>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</si>
  <si>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</si>
  <si>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Lean Enterprise Institute, Lean Lexicon, 5th edition, 2014 (plan attainment and the daily production meeting).</t>
  </si>
  <si>
    <t>APICS Dictionary, 16th edition, 2019 (schedule attainment and schedule adherence).</t>
  </si>
  <si>
    <t>MFG Calcs Schedule Attainment Rate calculator: actual / planned x 100, gap to target, units below target.</t>
  </si>
  <si>
    <t>Standards are cited by name so you can look them up; no copyrighted standard text or tables are reproduced. Statistical constants used are public.</t>
  </si>
  <si>
    <t>Version history</t>
  </si>
  <si>
    <t>Change</t>
  </si>
  <si>
    <t>1.0.0</t>
  </si>
  <si>
    <t>First release.</t>
  </si>
  <si>
    <t>24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</si>
  <si>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</si>
  <si>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</si>
  <si>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</si>
  <si>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</si>
  <si>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</si>
  <si>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</si>
  <si>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</si>
  <si>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</si>
  <si>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</si>
  <si>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attainment</t>
  </si>
  <si>
    <t>Row 1: units short</t>
  </si>
  <si>
    <t>Row 1: status (92.5% against 95%)</t>
  </si>
  <si>
    <t>Near target</t>
  </si>
  <si>
    <t>exact</t>
  </si>
  <si>
    <t>Row 2 (overbuild): credited is capped at the plan</t>
  </si>
  <si>
    <t>Row 2: units over plan</t>
  </si>
  <si>
    <t>Row 3: Check asks for the miss reason</t>
  </si>
  <si>
    <t>Give the miss reason</t>
  </si>
  <si>
    <t>Row 4: status (on plan)</t>
  </si>
  <si>
    <t>On target</t>
  </si>
  <si>
    <t>All rows: schedule attainment, capped (Dashboard formula)</t>
  </si>
  <si>
    <t>All rows: volume attainment (Dashboard formula)</t>
  </si>
  <si>
    <t>All rows: items on plan (Dashboard formula)</t>
  </si>
  <si>
    <t>All rows: units short (Dashboard formula)</t>
  </si>
  <si>
    <t>All rows: units built over plan (Dashboard formula)</t>
  </si>
  <si>
    <t>Fixed test inputs</t>
  </si>
  <si>
    <t>White cells are fixed test inputs; blue cells are the workbook's formulas evaluated on them.</t>
  </si>
  <si>
    <t>Parameters</t>
  </si>
  <si>
    <t>Filter: from (0 = no limit)</t>
  </si>
  <si>
    <t>Filter: to (2958465 = no limit)</t>
  </si>
  <si>
    <t>Filter: line (blank = all)</t>
  </si>
  <si>
    <t>Test table: Items</t>
  </si>
  <si>
    <t>P1</t>
  </si>
  <si>
    <t>A</t>
  </si>
  <si>
    <t>P2</t>
  </si>
  <si>
    <t>P3</t>
  </si>
  <si>
    <t>B</t>
  </si>
  <si>
    <t>Test table: Log</t>
  </si>
  <si>
    <t>R1</t>
  </si>
</sst>
</file>

<file path=xl/styles.xml><?xml version="1.0" encoding="utf-8"?>
<styleSheet xmlns="http://schemas.openxmlformats.org/spreadsheetml/2006/main">
  <numFmts count="6">
    <numFmt numFmtId="164" formatCode="0.0%"/>
    <numFmt numFmtId="165" formatCode="d mmm yyyy"/>
    <numFmt numFmtId="166" formatCode="#,##0"/>
    <numFmt numFmtId="167" formatCode="&quot;Target &quot;0.0%"/>
    <numFmt numFmtId="168" formatCode="ddd d mmm"/>
    <numFmt numFmtId="169"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5"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7"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168" fontId="9" fillId="0" borderId="9" xfId="0" applyNumberFormat="1" applyFont="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0" fontId="21" fillId="0" borderId="0" xfId="0" applyFont="1" applyAlignment="1">
      <alignment horizontal="center" vertical="center"/>
    </xf>
    <xf numFmtId="166" fontId="9" fillId="0" borderId="9" xfId="0" applyNumberFormat="1" applyFont="1" applyBorder="1" applyAlignment="1">
      <alignment horizontal="center" vertical="center"/>
    </xf>
    <xf numFmtId="0" fontId="10" fillId="4" borderId="3" xfId="0" applyFont="1" applyFill="1" applyBorder="1" applyAlignment="1">
      <alignment vertical="center"/>
    </xf>
    <xf numFmtId="166" fontId="10" fillId="0" borderId="0" xfId="0" applyNumberFormat="1" applyFont="1" applyAlignment="1">
      <alignment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9" fontId="10" fillId="4" borderId="3" xfId="0" applyNumberFormat="1" applyFont="1" applyFill="1" applyBorder="1" applyAlignment="1">
      <alignment vertical="center"/>
    </xf>
    <xf numFmtId="169"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Schedule attainment by day</a:t>
            </a:r>
          </a:p>
        </c:rich>
      </c:tx>
      <c:layout/>
    </c:title>
    <c:plotArea>
      <c:layout/>
      <c:barChart>
        <c:barDir val="col"/>
        <c:grouping val="clustered"/>
        <c:ser>
          <c:idx val="0"/>
          <c:order val="0"/>
          <c:tx>
            <c:v>Schedule attainment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Dashboard!$B$53:$B$62</c:f>
              <c:numCache>
                <c:formatCode>General</c:formatCode>
                <c:ptCount val="10"/>
                <c:pt idx="0">
                  <c:v>46300</c:v>
                </c:pt>
                <c:pt idx="1">
                  <c:v>46301</c:v>
                </c:pt>
                <c:pt idx="2">
                  <c:v>46302</c:v>
                </c:pt>
                <c:pt idx="3">
                  <c:v>46303</c:v>
                </c:pt>
                <c:pt idx="4">
                  <c:v>46304</c:v>
                </c:pt>
                <c:pt idx="5">
                  <c:v>46307</c:v>
                </c:pt>
                <c:pt idx="6">
                  <c:v>46308</c:v>
                </c:pt>
                <c:pt idx="7">
                  <c:v>46309</c:v>
                </c:pt>
                <c:pt idx="8">
                  <c:v>46310</c:v>
                </c:pt>
                <c:pt idx="9">
                  <c:v>46311</c:v>
                </c:pt>
              </c:numCache>
            </c:numRef>
          </c:cat>
          <c:val>
            <c:numRef>
              <c:f>Dashboard!$F$53:$F$62</c:f>
              <c:numCache>
                <c:formatCode>General</c:formatCode>
                <c:ptCount val="10"/>
                <c:pt idx="0">
                  <c:v>0.96551724137931</c:v>
                </c:pt>
                <c:pt idx="1">
                  <c:v>0.955172413793104</c:v>
                </c:pt>
                <c:pt idx="2">
                  <c:v>0.939655172413793</c:v>
                </c:pt>
                <c:pt idx="3">
                  <c:v>0.917241379310345</c:v>
                </c:pt>
                <c:pt idx="4">
                  <c:v>0.893103448275862</c:v>
                </c:pt>
                <c:pt idx="5">
                  <c:v>0.960344827586207</c:v>
                </c:pt>
                <c:pt idx="6">
                  <c:v>0.951724137931035</c:v>
                </c:pt>
                <c:pt idx="7">
                  <c:v>0.970689655172414</c:v>
                </c:pt>
                <c:pt idx="8">
                  <c:v>0.960344827586207</c:v>
                </c:pt>
                <c:pt idx="9">
                  <c:v>0.946551724137931</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Dashboard!$B$53:$B$62</c:f>
              <c:numCache>
                <c:formatCode>General</c:formatCode>
                <c:ptCount val="10"/>
                <c:pt idx="0">
                  <c:v>46300</c:v>
                </c:pt>
                <c:pt idx="1">
                  <c:v>46301</c:v>
                </c:pt>
                <c:pt idx="2">
                  <c:v>46302</c:v>
                </c:pt>
                <c:pt idx="3">
                  <c:v>46303</c:v>
                </c:pt>
                <c:pt idx="4">
                  <c:v>46304</c:v>
                </c:pt>
                <c:pt idx="5">
                  <c:v>46307</c:v>
                </c:pt>
                <c:pt idx="6">
                  <c:v>46308</c:v>
                </c:pt>
                <c:pt idx="7">
                  <c:v>46309</c:v>
                </c:pt>
                <c:pt idx="8">
                  <c:v>46310</c:v>
                </c:pt>
                <c:pt idx="9">
                  <c:v>46311</c:v>
                </c:pt>
              </c:numCache>
            </c:numRef>
          </c:cat>
          <c:val>
            <c:numRef>
              <c:f>Dashboard!$H$53:$H$62</c:f>
              <c:numCache>
                <c:formatCode>General</c:formatCode>
                <c:ptCount val="10"/>
                <c:pt idx="0">
                  <c:v>0.95</c:v>
                </c:pt>
                <c:pt idx="1">
                  <c:v>0.95</c:v>
                </c:pt>
                <c:pt idx="2">
                  <c:v>0.95</c:v>
                </c:pt>
                <c:pt idx="3">
                  <c:v>0.95</c:v>
                </c:pt>
                <c:pt idx="4">
                  <c:v>0.95</c:v>
                </c:pt>
                <c:pt idx="5">
                  <c:v>0.95</c:v>
                </c:pt>
                <c:pt idx="6">
                  <c:v>0.95</c:v>
                </c:pt>
                <c:pt idx="7">
                  <c:v>0.95</c:v>
                </c:pt>
                <c:pt idx="8">
                  <c:v>0.95</c:v>
                </c:pt>
                <c:pt idx="9">
                  <c:v>0.95</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Schedule vs volume attainment by line</a:t>
            </a:r>
          </a:p>
        </c:rich>
      </c:tx>
      <c:layout/>
    </c:title>
    <c:plotArea>
      <c:layout/>
      <c:barChart>
        <c:barDir val="col"/>
        <c:grouping val="clustered"/>
        <c:ser>
          <c:idx val="0"/>
          <c:order val="0"/>
          <c:tx>
            <c:v>Schedule (capped)</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Dashboard!$B$77:$B$79</c:f>
              <c:strCache>
                <c:ptCount val="3"/>
                <c:pt idx="0">
                  <c:v>M1</c:v>
                </c:pt>
                <c:pt idx="1">
                  <c:v>M2</c:v>
                </c:pt>
                <c:pt idx="2">
                  <c:v>C2</c:v>
                </c:pt>
              </c:strCache>
            </c:strRef>
          </c:cat>
          <c:val>
            <c:numRef>
              <c:f>Dashboard!$D$77:$D$79</c:f>
              <c:numCache>
                <c:formatCode>General</c:formatCode>
                <c:ptCount val="3"/>
                <c:pt idx="0">
                  <c:v>0.946666666666667</c:v>
                </c:pt>
                <c:pt idx="1">
                  <c:v>0.961428571428571</c:v>
                </c:pt>
                <c:pt idx="2">
                  <c:v>0.916666666666667</c:v>
                </c:pt>
              </c:numCache>
            </c:numRef>
          </c:val>
        </c:ser>
        <c:ser>
          <c:idx val="1"/>
          <c:order val="1"/>
          <c:tx>
            <c:v>Volume (not capped)</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Dashboard!$B$77:$B$79</c:f>
              <c:strCache>
                <c:ptCount val="3"/>
                <c:pt idx="0">
                  <c:v>M1</c:v>
                </c:pt>
                <c:pt idx="1">
                  <c:v>M2</c:v>
                </c:pt>
                <c:pt idx="2">
                  <c:v>C2</c:v>
                </c:pt>
              </c:strCache>
            </c:strRef>
          </c:cat>
          <c:val>
            <c:numRef>
              <c:f>Dashboard!$E$77:$E$79</c:f>
              <c:numCache>
                <c:formatCode>General</c:formatCode>
                <c:ptCount val="3"/>
                <c:pt idx="0">
                  <c:v>1</c:v>
                </c:pt>
                <c:pt idx="1">
                  <c:v>0.971071428571429</c:v>
                </c:pt>
                <c:pt idx="2">
                  <c:v>0.92</c:v>
                </c:pt>
              </c:numCache>
            </c:numRef>
          </c:val>
        </c:ser>
        <c:gapWidth val="8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Units short Pareto</a:t>
            </a:r>
          </a:p>
        </c:rich>
      </c:tx>
      <c:layout/>
    </c:title>
    <c:plotArea>
      <c:layout/>
      <c:barChart>
        <c:barDir val="col"/>
        <c:grouping val="clustered"/>
        <c:ser>
          <c:idx val="0"/>
          <c:order val="0"/>
          <c:tx>
            <c:v>Units short</c:v>
          </c:tx>
          <c:spPr>
            <a:solidFill>
              <a:srgbClr val="3B64D8"/>
            </a:solidFill>
            <a:ln w="9525">
              <a:solidFill>
                <a:srgbClr val="FFFFFF"/>
              </a:solidFill>
            </a:ln>
          </c:spPr>
          <c:cat>
            <c:strRef>
              <c:f>Dashboard!$H$78:$H$85</c:f>
              <c:strCache>
                <c:ptCount val="8"/>
                <c:pt idx="0">
                  <c:v>Changeover overrun</c:v>
                </c:pt>
                <c:pt idx="1">
                  <c:v>Material shortage</c:v>
                </c:pt>
                <c:pt idx="2">
                  <c:v>Machine breakdown</c:v>
                </c:pt>
                <c:pt idx="3">
                  <c:v>Labour shortage</c:v>
                </c:pt>
                <c:pt idx="4">
                  <c:v>Quality hold</c:v>
                </c:pt>
                <c:pt idx="5">
                  <c:v>Other</c:v>
                </c:pt>
                <c:pt idx="6">
                  <c:v>Upstream delay</c:v>
                </c:pt>
                <c:pt idx="7">
                  <c:v>Schedule change</c:v>
                </c:pt>
              </c:strCache>
            </c:strRef>
          </c:cat>
          <c:val>
            <c:numRef>
              <c:f>Dashboard!$J$78:$J$85</c:f>
              <c:numCache>
                <c:formatCode>General</c:formatCode>
                <c:ptCount val="8"/>
                <c:pt idx="0">
                  <c:v>115</c:v>
                </c:pt>
                <c:pt idx="1">
                  <c:v>71</c:v>
                </c:pt>
                <c:pt idx="2">
                  <c:v>43</c:v>
                </c:pt>
                <c:pt idx="3">
                  <c:v>31</c:v>
                </c:pt>
                <c:pt idx="4">
                  <c:v>23</c:v>
                </c:pt>
                <c:pt idx="5">
                  <c:v>16</c:v>
                </c:pt>
                <c:pt idx="6">
                  <c:v>14</c:v>
                </c:pt>
                <c:pt idx="7">
                  <c:v>0</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Dashboard!$H$78:$H$85</c:f>
              <c:strCache>
                <c:ptCount val="8"/>
                <c:pt idx="0">
                  <c:v>Changeover overrun</c:v>
                </c:pt>
                <c:pt idx="1">
                  <c:v>Material shortage</c:v>
                </c:pt>
                <c:pt idx="2">
                  <c:v>Machine breakdown</c:v>
                </c:pt>
                <c:pt idx="3">
                  <c:v>Labour shortage</c:v>
                </c:pt>
                <c:pt idx="4">
                  <c:v>Quality hold</c:v>
                </c:pt>
                <c:pt idx="5">
                  <c:v>Other</c:v>
                </c:pt>
                <c:pt idx="6">
                  <c:v>Upstream delay</c:v>
                </c:pt>
                <c:pt idx="7">
                  <c:v>Schedule change</c:v>
                </c:pt>
              </c:strCache>
            </c:strRef>
          </c:cat>
          <c:val>
            <c:numRef>
              <c:f>Dashboard!$L$78:$L$85</c:f>
              <c:numCache>
                <c:formatCode>General</c:formatCode>
                <c:ptCount val="8"/>
                <c:pt idx="0">
                  <c:v>0.36741214057508</c:v>
                </c:pt>
                <c:pt idx="1">
                  <c:v>0.594249201277955</c:v>
                </c:pt>
                <c:pt idx="2">
                  <c:v>0.731629392971246</c:v>
                </c:pt>
                <c:pt idx="3">
                  <c:v>0.830670926517572</c:v>
                </c:pt>
                <c:pt idx="4">
                  <c:v>0.904153354632588</c:v>
                </c:pt>
                <c:pt idx="5">
                  <c:v>0.955271565495208</c:v>
                </c:pt>
                <c:pt idx="6">
                  <c:v>1</c:v>
                </c:pt>
                <c:pt idx="7">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Planned vs credited by item</a:t>
            </a:r>
          </a:p>
        </c:rich>
      </c:tx>
      <c:layout/>
    </c:title>
    <c:plotArea>
      <c:layout/>
      <c:barChart>
        <c:barDir val="col"/>
        <c:grouping val="clustered"/>
        <c:ser>
          <c:idx val="0"/>
          <c:order val="0"/>
          <c:tx>
            <c:v>Planned</c:v>
          </c:tx>
          <c:spPr>
            <a:solidFill>
              <a:srgbClr val="3B64D8"/>
            </a:solidFill>
            <a:ln w="9525">
              <a:solidFill>
                <a:srgbClr val="FFFFFF"/>
              </a:solidFill>
            </a:ln>
          </c:spPr>
          <c:cat>
            <c:strRef>
              <c:f>Dashboard!$B$66:$B$73</c:f>
              <c:strCache>
                <c:ptCount val="8"/>
                <c:pt idx="0">
                  <c:v>VB-200 body</c:v>
                </c:pt>
                <c:pt idx="1">
                  <c:v>BN-200 bonnet</c:v>
                </c:pt>
                <c:pt idx="2">
                  <c:v>VB-300 body</c:v>
                </c:pt>
                <c:pt idx="3">
                  <c:v>ST-20 stem</c:v>
                </c:pt>
                <c:pt idx="4">
                  <c:v>SE-20 seat</c:v>
                </c:pt>
                <c:pt idx="5">
                  <c:v>GV-200 gate valve</c:v>
                </c:pt>
                <c:pt idx="6">
                  <c:v>GV-300 gate valve</c:v>
                </c:pt>
                <c:pt idx="7">
                  <c:v>BV-50 ball valve</c:v>
                </c:pt>
              </c:strCache>
            </c:strRef>
          </c:cat>
          <c:val>
            <c:numRef>
              <c:f>Dashboard!$C$66:$C$73</c:f>
              <c:numCache>
                <c:formatCode>General</c:formatCode>
                <c:ptCount val="8"/>
                <c:pt idx="0">
                  <c:v>600</c:v>
                </c:pt>
                <c:pt idx="1">
                  <c:v>600</c:v>
                </c:pt>
                <c:pt idx="2">
                  <c:v>300</c:v>
                </c:pt>
                <c:pt idx="3">
                  <c:v>1400</c:v>
                </c:pt>
                <c:pt idx="4">
                  <c:v>1400</c:v>
                </c:pt>
                <c:pt idx="5">
                  <c:v>450</c:v>
                </c:pt>
                <c:pt idx="6">
                  <c:v>250</c:v>
                </c:pt>
                <c:pt idx="7">
                  <c:v>800</c:v>
                </c:pt>
              </c:numCache>
            </c:numRef>
          </c:val>
        </c:ser>
        <c:ser>
          <c:idx val="1"/>
          <c:order val="1"/>
          <c:tx>
            <c:v>Credited to plan</c:v>
          </c:tx>
          <c:spPr>
            <a:solidFill>
              <a:srgbClr val="E8702A"/>
            </a:solidFill>
            <a:ln w="9525">
              <a:solidFill>
                <a:srgbClr val="FFFFFF"/>
              </a:solidFill>
            </a:ln>
          </c:spPr>
          <c:cat>
            <c:strRef>
              <c:f>Dashboard!$B$66:$B$73</c:f>
              <c:strCache>
                <c:ptCount val="8"/>
                <c:pt idx="0">
                  <c:v>VB-200 body</c:v>
                </c:pt>
                <c:pt idx="1">
                  <c:v>BN-200 bonnet</c:v>
                </c:pt>
                <c:pt idx="2">
                  <c:v>VB-300 body</c:v>
                </c:pt>
                <c:pt idx="3">
                  <c:v>ST-20 stem</c:v>
                </c:pt>
                <c:pt idx="4">
                  <c:v>SE-20 seat</c:v>
                </c:pt>
                <c:pt idx="5">
                  <c:v>GV-200 gate valve</c:v>
                </c:pt>
                <c:pt idx="6">
                  <c:v>GV-300 gate valve</c:v>
                </c:pt>
                <c:pt idx="7">
                  <c:v>BV-50 ball valve</c:v>
                </c:pt>
              </c:strCache>
            </c:strRef>
          </c:cat>
          <c:val>
            <c:numRef>
              <c:f>Dashboard!$D$66:$D$73</c:f>
              <c:numCache>
                <c:formatCode>General</c:formatCode>
                <c:ptCount val="8"/>
                <c:pt idx="0">
                  <c:v>600</c:v>
                </c:pt>
                <c:pt idx="1">
                  <c:v>571</c:v>
                </c:pt>
                <c:pt idx="2">
                  <c:v>249</c:v>
                </c:pt>
                <c:pt idx="3">
                  <c:v>1318</c:v>
                </c:pt>
                <c:pt idx="4">
                  <c:v>1374</c:v>
                </c:pt>
                <c:pt idx="5">
                  <c:v>386</c:v>
                </c:pt>
                <c:pt idx="6">
                  <c:v>220</c:v>
                </c:pt>
                <c:pt idx="7">
                  <c:v>769</c:v>
                </c:pt>
              </c:numCache>
            </c:numRef>
          </c:val>
        </c:ser>
        <c:gapWidth val="80"/>
        <c:overlap val="-10"/>
        <c:axId val="50040001"/>
        <c:axId val="50040002"/>
      </c:bar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daily schedule attainment, each item capped at its plan, for the last ten production days in view, with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lustered column chart of schedule attainment, capped at each item's plan, and volume attainment for each line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Pareto chart of units short by miss reason, largest first, with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Clustered column chart of planned units and units credited to the plan for each item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Lines" displayName="tblLines" ref="B15:C18" totalsRowShown="0">
  <autoFilter ref="B15:C18"/>
  <tableColumns count="2">
    <tableColumn id="1" name="Line"/>
    <tableColumn id="2" name="Description"/>
  </tableColumns>
  <tableStyleInfo name="TableStyleLight1" showFirstColumn="0" showLastColumn="0" showRowStripes="0" showColumnStripes="0"/>
</table>
</file>

<file path=xl/tables/table2.xml><?xml version="1.0" encoding="utf-8"?>
<table xmlns="http://schemas.openxmlformats.org/spreadsheetml/2006/main" id="2" name="tblItems" displayName="tblItems" ref="B21:C29" totalsRowShown="0">
  <autoFilter ref="B21:C29"/>
  <tableColumns count="2">
    <tableColumn id="1" name="Item"/>
    <tableColumn id="2" name="Line"/>
  </tableColumns>
  <tableStyleInfo name="TableStyleLight1" showFirstColumn="0" showLastColumn="0" showRowStripes="0" showColumnStripes="0"/>
</table>
</file>

<file path=xl/tables/table3.xml><?xml version="1.0" encoding="utf-8"?>
<table xmlns="http://schemas.openxmlformats.org/spreadsheetml/2006/main" id="3" name="tblReasons" displayName="tblReasons" ref="B32:C40" totalsRowShown="0">
  <autoFilter ref="B32:C40"/>
  <tableColumns count="2">
    <tableColumn id="1" name="Reason"/>
    <tableColumn id="2" name="Definition"/>
  </tableColumns>
  <tableStyleInfo name="TableStyleLight1" showFirstColumn="0" showLastColumn="0" showRowStripes="0" showColumnStripes="0"/>
</table>
</file>

<file path=xl/tables/table4.xml><?xml version="1.0" encoding="utf-8"?>
<table xmlns="http://schemas.openxmlformats.org/spreadsheetml/2006/main" id="4" name="tblLog" displayName="tblLog" ref="B5:P85" totalsRowShown="0">
  <autoFilter ref="B5:P85"/>
  <tableColumns count="15">
    <tableColumn id="1" name="Date"/>
    <tableColumn id="2" name="Line"/>
    <tableColumn id="3" name="Item"/>
    <tableColumn id="4" name="Planned (units)"/>
    <tableColumn id="5" name="Actual (units)"/>
    <tableColumn id="6" name="Miss reason"/>
    <tableColumn id="7" name="Credited (units)">
      <calculatedColumnFormula>IF(tblLog[[#This Row],[Date]]="","",IF(tblLog[[#This Row],[Planned (units)]]="","",MIN(tblLog[[#This Row],[Actual (units)]],tblLog[[#This Row],[Planned (units)]])))</calculatedColumnFormula>
    </tableColumn>
    <tableColumn id="8" name="Short (units)">
      <calculatedColumnFormula>IF(tblLog[[#This Row],[Date]]="","",IF(tblLog[[#This Row],[Planned (units)]]="","",MAX(0,tblLog[[#This Row],[Planned (units)]]-tblLog[[#This Row],[Actual (units)]])))</calculatedColumnFormula>
    </tableColumn>
    <tableColumn id="9" name="Over plan (units)">
      <calculatedColumnFormula>IF(tblLog[[#This Row],[Date]]="","",IF(tblLog[[#This Row],[Planned (units)]]="","",MAX(0,tblLog[[#This Row],[Actual (units)]]-tblLog[[#This Row],[Planned (units)]])))</calculatedColumnFormula>
    </tableColumn>
    <tableColumn id="10" name="Attainment">
      <calculatedColumnFormula>IF(tblLog[[#This Row],[Date]]="","",IF(N(tblLog[[#This Row],[Planned (units)]])&gt;0,tblLog[[#This Row],[Credited (units)]]/tblLog[[#This Row],[Planned (units)]],""))</calculatedColumnFormula>
    </tableColumn>
    <tableColumn id="11" name="Hit">
      <calculatedColumnFormula>IF(tblLog[[#This Row],[Date]]="","",IF(N(tblLog[[#This Row],[Planned (units)]])&gt;0,IF(tblLog[[#This Row],[Actual (units)]]&gt;=tblLog[[#This Row],[Planned (units)]],1,0),""))</calculatedColumnFormula>
    </tableColumn>
    <tableColumn id="12" name="Status">
      <calculatedColumnFormula>IF(NOT(ISNUMBER(tblLog[[#This Row],[Attainment]])),"",IF(tblLog[[#This Row],[Attainment]]&gt;=TargetAttain,"On target",IF(tblLog[[#This Row],[Attainment]]&gt;=TargetAttain*(1-0.05),"Near target","Below target")))</calculatedColumnFormula>
    </tableColumn>
    <tableColumn id="13" name="View date">
      <calculatedColumnFormula>IF(tblLog[[#This Row],[Date]]="","",IF(AND(tblLog[[#This Row],[Date]]&gt;=FFrom,tblLog[[#This Row],[Date]]&lt;=FTo,OR(DashLine="",tblLog[[#This Row],[Line]]=DashLine)),tblLog[[#This Row],[Date]],""))</calculatedColumnFormula>
    </tableColumn>
    <tableColumn id="14" name="Check">
      <calculatedColumnFormula>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calculatedColumnFormula>
    </tableColumn>
    <tableColumn id="15" name="Note"/>
  </tableColumns>
  <tableStyleInfo name="TableStyleLight1" showFirstColumn="0" showLastColumn="0" showRowStripes="0" showColumnStripes="0"/>
</table>
</file>

<file path=xl/tables/table5.xml><?xml version="1.0" encoding="utf-8"?>
<table xmlns="http://schemas.openxmlformats.org/spreadsheetml/2006/main" id="5" name="tblVerifyItems" displayName="tblVerifyItems" ref="B34:C37" totalsRowShown="0">
  <tableColumns count="2">
    <tableColumn id="1" name="Item"/>
    <tableColumn id="2" name="Line"/>
  </tableColumns>
  <tableStyleInfo name="TableStyleLight1" showFirstColumn="0" showLastColumn="0" showRowStripes="0" showColumnStripes="0"/>
</table>
</file>

<file path=xl/tables/table6.xml><?xml version="1.0" encoding="utf-8"?>
<table xmlns="http://schemas.openxmlformats.org/spreadsheetml/2006/main" id="6" name="tblVerifyLog" displayName="tblVerifyLog" ref="B40:P44" totalsRowShown="0">
  <tableColumns count="15">
    <tableColumn id="1" name="Date"/>
    <tableColumn id="2" name="Line"/>
    <tableColumn id="3" name="Item"/>
    <tableColumn id="4" name="Planned (units)"/>
    <tableColumn id="5" name="Actual (units)"/>
    <tableColumn id="6" name="Miss reason"/>
    <tableColumn id="7" name="Credited (units)">
      <calculatedColumnFormula>IF(tblVerifyLog[[#This Row],[Date]]="","",IF(tblVerifyLog[[#This Row],[Planned (units)]]="","",MIN(tblVerifyLog[[#This Row],[Actual (units)]],tblVerifyLog[[#This Row],[Planned (units)]])))</calculatedColumnFormula>
    </tableColumn>
    <tableColumn id="8" name="Short (units)">
      <calculatedColumnFormula>IF(tblVerifyLog[[#This Row],[Date]]="","",IF(tblVerifyLog[[#This Row],[Planned (units)]]="","",MAX(0,tblVerifyLog[[#This Row],[Planned (units)]]-tblVerifyLog[[#This Row],[Actual (units)]])))</calculatedColumnFormula>
    </tableColumn>
    <tableColumn id="9" name="Over plan (units)">
      <calculatedColumnFormula>IF(tblVerifyLog[[#This Row],[Date]]="","",IF(tblVerifyLog[[#This Row],[Planned (units)]]="","",MAX(0,tblVerifyLog[[#This Row],[Actual (units)]]-tblVerifyLog[[#This Row],[Planned (units)]])))</calculatedColumnFormula>
    </tableColumn>
    <tableColumn id="10" name="Attainment">
      <calculatedColumnFormula>IF(tblVerifyLog[[#This Row],[Date]]="","",IF(N(tblVerifyLog[[#This Row],[Planned (units)]])&gt;0,tblVerifyLog[[#This Row],[Credited (units)]]/tblVerifyLog[[#This Row],[Planned (units)]],""))</calculatedColumnFormula>
    </tableColumn>
    <tableColumn id="11" name="Hit">
      <calculatedColumnFormula>IF(tblVerifyLog[[#This Row],[Date]]="","",IF(N(tblVerifyLog[[#This Row],[Planned (units)]])&gt;0,IF(tblVerifyLog[[#This Row],[Actual (units)]]&gt;=tblVerifyLog[[#This Row],[Planned (units)]],1,0),""))</calculatedColumnFormula>
    </tableColumn>
    <tableColumn id="12" name="Status">
      <calculatedColumnFormula>IF(NOT(ISNUMBER(tblVerifyLog[[#This Row],[Attainment]])),"",IF(tblVerifyLog[[#This Row],[Attainment]]&gt;=$E$31,"On target",IF(tblVerifyLog[[#This Row],[Attainment]]&gt;=$E$31*(1-0.05),"Near target","Below target")))</calculatedColumnFormula>
    </tableColumn>
    <tableColumn id="13" name="View date">
      <calculatedColumnFormula>IF(tblVerifyLog[[#This Row],[Date]]="","",IF(AND(tblVerifyLog[[#This Row],[Date]]&gt;=$E$28,tblVerifyLog[[#This Row],[Date]]&lt;=$E$29,OR($E$30="",tblVerifyLog[[#This Row],[Line]]=$E$30)),tblVerifyLog[[#This Row],[Date]],""))</calculatedColumnFormula>
    </tableColumn>
    <tableColumn id="14" name="Check">
      <calculatedColumnFormula>IF(tblVerifyLog[[#This Row],[Date]]="","",IF(tblVerifyLog[[#This Row],[Line]]="","Missing line",IF(tblVerifyLog[[#This Row],[Item]]="","Missing item",IF(tblVerifyLog[[#This Row],[Planned (units)]]="","Missing planned",IF(tblVerifyLog[[#This Row],[Actual (units)]]="","Missing actual",IF(ISNA(MATCH(tblVerifyLog[[#This Row],[Item]],tblVerifyItems[Item],0)),"Item not on Setup list",IF(AND(N(tblVerifyLog[[#This Row],[Short (units)]])&gt;0,tblVerifyLog[[#This Row],[Miss reason]]=""),"Give the miss reason",IF(COUNTIFS(tblVerifyLog[Date],tblVerifyLog[[#This Row],[Date]],tblVerifyLog[Line],tblVerifyLog[[#This Row],[Line]],tblVerifyLog[Item],tblVerifyLog[[#This Row],[Item]])&gt;1,"Duplicate line, day and item",IF(tblVerifyLog[[#This Row],[Actual (units)]]&gt;tblVerifyLog[[#This Row],[Planned (units)]]*1.5,"Far above plan: check the plan or count","OK")))))))))</calculatedColumnFormula>
    </tableColumn>
    <tableColumn id="15" name="Not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hedule-attainment-tracker" TargetMode="External"/><Relationship Id="rId2" Type="http://schemas.openxmlformats.org/officeDocument/2006/relationships/hyperlink" Target="https://www.mfgcalcs.com/calculators/lean-manufacturing-operations/schedule-attainment-rate?utm_source=mfgcalcs-template&amp;utm_medium=xlsx&amp;utm_campaign=schedule-attainment-tracker" TargetMode="External"/><Relationship Id="rId3" Type="http://schemas.openxmlformats.org/officeDocument/2006/relationships/hyperlink" Target="https://www.mfgcalcs.com/templates/schedule-attainment-tracker?utm_source=mfgcalcs-template&amp;utm_medium=xlsx&amp;utm_campaign=schedule-attainment-tracker" TargetMode="External"/><Relationship Id="rId4" Type="http://schemas.openxmlformats.org/officeDocument/2006/relationships/hyperlink" Target="https://www.mfgcalcs.com/templates?utm_source=mfgcalcs-template&amp;utm_medium=xlsx&amp;utm_campaign=schedule-attainment-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hedule-attainment-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hedule-attainment-tracker"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hedule-attainment-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hedule-attainment-tracker" TargetMode="External"/><Relationship Id="rId2" Type="http://schemas.openxmlformats.org/officeDocument/2006/relationships/hyperlink" Target="https://www.mfgcalcs.com/calculators/lean-manufacturing-operations/schedule-attainment-rate?utm_source=mfgcalcs-template&amp;utm_medium=xlsx&amp;utm_campaign=schedule-attainment-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hedule-attainment-tracker"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12 of 12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Schedule Log'!A1" tooltip="Go to Schedule Log" display="Schedule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Schedule Attainment Tracker&amp;R&amp;8&amp;A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0"/>
  <sheetViews>
    <sheetView showGridLines="0" workbookViewId="0"/>
  </sheetViews>
  <sheetFormatPr defaultRowHeight="15"/>
  <cols>
    <col min="1" max="1" width="2.7109375" customWidth="1"/>
    <col min="2" max="2" width="30.7109375" customWidth="1"/>
    <col min="3" max="3" width="16.7109375" customWidth="1"/>
    <col min="4" max="4" width="4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65</v>
      </c>
      <c r="C4" s="8"/>
      <c r="D4" s="8"/>
    </row>
    <row r="5" spans="1:5" ht="5" customHeight="1"/>
    <row r="6" spans="1:5">
      <c r="B6" s="27" t="s">
        <v>66</v>
      </c>
      <c r="C6" s="28" t="s">
        <v>67</v>
      </c>
      <c r="D6" s="28"/>
    </row>
    <row r="7" spans="1:5">
      <c r="B7" s="27" t="s">
        <v>68</v>
      </c>
      <c r="C7" s="29">
        <v>0.95</v>
      </c>
      <c r="D7" s="7"/>
    </row>
    <row r="9" spans="1:5" ht="35.4" customHeight="1">
      <c r="B9" s="25" t="s">
        <v>69</v>
      </c>
      <c r="C9" s="25"/>
      <c r="D9" s="25"/>
    </row>
    <row r="11" spans="1:5" ht="21" customHeight="1">
      <c r="B11" s="8" t="s">
        <v>70</v>
      </c>
      <c r="C11" s="8"/>
      <c r="D11" s="8"/>
    </row>
    <row r="12" spans="1:5" ht="5" customHeight="1"/>
    <row r="13" spans="1:5">
      <c r="B13" s="21" t="s">
        <v>71</v>
      </c>
      <c r="C13" s="21"/>
      <c r="D13" s="21"/>
    </row>
    <row r="14" spans="1:5">
      <c r="B14" s="30" t="s">
        <v>72</v>
      </c>
      <c r="C14" s="30"/>
    </row>
    <row r="15" spans="1:5" ht="20" customHeight="1">
      <c r="B15" s="31" t="s">
        <v>60</v>
      </c>
      <c r="C15" s="31" t="s">
        <v>61</v>
      </c>
    </row>
    <row r="16" spans="1:5">
      <c r="B16" s="28" t="s">
        <v>73</v>
      </c>
      <c r="C16" s="28" t="s">
        <v>74</v>
      </c>
    </row>
    <row r="17" spans="2:3">
      <c r="B17" s="28" t="s">
        <v>75</v>
      </c>
      <c r="C17" s="28" t="s">
        <v>76</v>
      </c>
    </row>
    <row r="18" spans="2:3">
      <c r="B18" s="28" t="s">
        <v>77</v>
      </c>
      <c r="C18" s="28" t="s">
        <v>78</v>
      </c>
    </row>
    <row r="20" spans="2:3">
      <c r="B20" s="30" t="s">
        <v>79</v>
      </c>
      <c r="C20" s="30"/>
    </row>
    <row r="21" spans="2:3" ht="20" customHeight="1">
      <c r="B21" s="31" t="s">
        <v>62</v>
      </c>
      <c r="C21" s="31" t="s">
        <v>60</v>
      </c>
    </row>
    <row r="22" spans="2:3">
      <c r="B22" s="28" t="s">
        <v>80</v>
      </c>
      <c r="C22" s="28" t="s">
        <v>73</v>
      </c>
    </row>
    <row r="23" spans="2:3">
      <c r="B23" s="28" t="s">
        <v>81</v>
      </c>
      <c r="C23" s="28" t="s">
        <v>73</v>
      </c>
    </row>
    <row r="24" spans="2:3">
      <c r="B24" s="28" t="s">
        <v>82</v>
      </c>
      <c r="C24" s="28" t="s">
        <v>73</v>
      </c>
    </row>
    <row r="25" spans="2:3">
      <c r="B25" s="28" t="s">
        <v>83</v>
      </c>
      <c r="C25" s="28" t="s">
        <v>75</v>
      </c>
    </row>
    <row r="26" spans="2:3">
      <c r="B26" s="28" t="s">
        <v>84</v>
      </c>
      <c r="C26" s="28" t="s">
        <v>75</v>
      </c>
    </row>
    <row r="27" spans="2:3">
      <c r="B27" s="28" t="s">
        <v>85</v>
      </c>
      <c r="C27" s="28" t="s">
        <v>77</v>
      </c>
    </row>
    <row r="28" spans="2:3">
      <c r="B28" s="28" t="s">
        <v>86</v>
      </c>
      <c r="C28" s="28" t="s">
        <v>77</v>
      </c>
    </row>
    <row r="29" spans="2:3">
      <c r="B29" s="28" t="s">
        <v>87</v>
      </c>
      <c r="C29" s="28" t="s">
        <v>77</v>
      </c>
    </row>
    <row r="31" spans="2:3">
      <c r="B31" s="30" t="s">
        <v>88</v>
      </c>
      <c r="C31" s="30"/>
    </row>
    <row r="32" spans="2:3" ht="20" customHeight="1">
      <c r="B32" s="31" t="s">
        <v>63</v>
      </c>
      <c r="C32" s="31" t="s">
        <v>64</v>
      </c>
    </row>
    <row r="33" spans="2:3">
      <c r="B33" s="28" t="s">
        <v>89</v>
      </c>
      <c r="C33" s="28" t="s">
        <v>90</v>
      </c>
    </row>
    <row r="34" spans="2:3">
      <c r="B34" s="28" t="s">
        <v>91</v>
      </c>
      <c r="C34" s="28" t="s">
        <v>92</v>
      </c>
    </row>
    <row r="35" spans="2:3">
      <c r="B35" s="28" t="s">
        <v>93</v>
      </c>
      <c r="C35" s="28" t="s">
        <v>94</v>
      </c>
    </row>
    <row r="36" spans="2:3">
      <c r="B36" s="28" t="s">
        <v>95</v>
      </c>
      <c r="C36" s="28" t="s">
        <v>96</v>
      </c>
    </row>
    <row r="37" spans="2:3">
      <c r="B37" s="28" t="s">
        <v>97</v>
      </c>
      <c r="C37" s="28" t="s">
        <v>98</v>
      </c>
    </row>
    <row r="38" spans="2:3">
      <c r="B38" s="28" t="s">
        <v>99</v>
      </c>
      <c r="C38" s="28" t="s">
        <v>100</v>
      </c>
    </row>
    <row r="39" spans="2:3">
      <c r="B39" s="28" t="s">
        <v>101</v>
      </c>
      <c r="C39" s="28" t="s">
        <v>102</v>
      </c>
    </row>
    <row r="40" spans="2:3">
      <c r="B40" s="28" t="s">
        <v>103</v>
      </c>
      <c r="C40" s="28" t="s">
        <v>104</v>
      </c>
    </row>
  </sheetData>
  <mergeCells count="11">
    <mergeCell ref="A1:E1"/>
    <mergeCell ref="B2:C2"/>
    <mergeCell ref="D2:E2"/>
    <mergeCell ref="B4:D4"/>
    <mergeCell ref="C6:D6"/>
    <mergeCell ref="B9:D9"/>
    <mergeCell ref="B11:D11"/>
    <mergeCell ref="B13:D13"/>
    <mergeCell ref="B14:C14"/>
    <mergeCell ref="B20:C20"/>
    <mergeCell ref="B31:C31"/>
  </mergeCells>
  <dataValidations count="8">
    <dataValidation type="textLength" allowBlank="1" showInputMessage="1" showErrorMessage="1" errorTitle="Check this entry" error="Text up to 80 characters." promptTitle="Plant name" prompt="Shown on the Dashboard. Text up to 80 characters." sqref="C6">
      <formula1>0</formula1>
      <formula2>80</formula2>
    </dataValidation>
    <dataValidation type="decimal" allowBlank="1" showInputMessage="1" showErrorMessage="1" errorTitle="Check this entry" error="Enter a percentage from 0% to 100% (type 85% or 0.85)." promptTitle="Schedule attainment target" prompt="Share of the planned units, each item capped at its plan, that the schedule should achieve. Your own choice. Enter a percentage from 0% to 100% (type 85% or 0.85)." sqref="C7">
      <formula1>0</formula1>
      <formula2>1</formula2>
    </dataValidation>
    <dataValidation type="textLength" allowBlank="1" showInputMessage="1" showErrorMessage="1" errorTitle="Check this entry" error="Text up to 40 characters." promptTitle="Line" prompt="Text up to 40 characters." sqref="B16:B118">
      <formula1>0</formula1>
      <formula2>40</formula2>
    </dataValidation>
    <dataValidation type="textLength" allowBlank="1" showInputMessage="1" showErrorMessage="1" errorTitle="Check this entry" error="Text up to 120 characters." promptTitle="Description" prompt="Text up to 120 characters." sqref="C16:C118">
      <formula1>0</formula1>
      <formula2>120</formula2>
    </dataValidation>
    <dataValidation type="textLength" allowBlank="1" showInputMessage="1" showErrorMessage="1" errorTitle="Check this entry" error="Text up to 60 characters." promptTitle="Item" prompt="Text up to 60 characters." sqref="B22:B129">
      <formula1>0</formula1>
      <formula2>60</formula2>
    </dataValidation>
    <dataValidation type="textLength" allowBlank="1" showInputMessage="1" showErrorMessage="1" errorTitle="Check this entry" error="Text up to 40 characters." promptTitle="Line" prompt="The line that normally runs it; for your reference. Text up to 40 characters." sqref="C22:C129">
      <formula1>0</formula1>
      <formula2>40</formula2>
    </dataValidation>
    <dataValidation type="textLength" allowBlank="1" showInputMessage="1" showErrorMessage="1" errorTitle="Check this entry" error="Text up to 60 characters." promptTitle="Reason" prompt="Text up to 60 characters." sqref="B33:B140">
      <formula1>0</formula1>
      <formula2>60</formula2>
    </dataValidation>
    <dataValidation type="textLength" allowBlank="1" showInputMessage="1" showErrorMessage="1" errorTitle="Check this entry" error="Text up to 160 characters." promptTitle="Definition" prompt="Text up to 160 characters." sqref="C33:C140">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Schedule Attainment Tracker&amp;R&amp;8&amp;A</oddHeader>
    <oddFooter>&amp;L&amp;8mfgcalcs.com - free manufacturing templates&amp;R&amp;8Page &amp;P of &amp;N</oddFooter>
  </headerFooter>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P85"/>
  <sheetViews>
    <sheetView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2.7109375" customWidth="1"/>
    <col min="2" max="2" width="12.28515625" customWidth="1"/>
    <col min="3" max="3" width="7.7109375" customWidth="1"/>
    <col min="4" max="4" width="18.7109375" customWidth="1"/>
    <col min="5" max="6" width="9.7109375" customWidth="1"/>
    <col min="7" max="7" width="17.7109375" customWidth="1"/>
    <col min="8" max="8" width="9.28515625" customWidth="1"/>
    <col min="9" max="9" width="8.28515625" customWidth="1"/>
    <col min="10" max="10" width="8.7109375" customWidth="1"/>
    <col min="11" max="11" width="11.28515625" customWidth="1"/>
    <col min="12" max="12" width="5.7109375" customWidth="1"/>
    <col min="13" max="14" width="12.28515625" customWidth="1"/>
    <col min="15" max="15" width="26.7109375" customWidth="1"/>
    <col min="16" max="16" width="30.7109375" customWidth="1"/>
  </cols>
  <sheetData>
    <row r="1" spans="1:16" ht="30" customHeight="1" x14ac:dyDescent="0.25">
      <c r="A1" s="1" t="s">
        <v>0</v>
      </c>
      <c r="B1" s="1"/>
      <c r="C1" s="1"/>
      <c r="D1" s="1"/>
      <c r="E1" s="1"/>
      <c r="F1" s="1"/>
      <c r="G1" s="1"/>
      <c r="H1" s="1"/>
      <c r="I1" s="1"/>
      <c r="J1" s="1"/>
      <c r="K1" s="1"/>
      <c r="L1" s="1"/>
      <c r="M1" s="1"/>
      <c r="N1" s="1"/>
      <c r="O1" s="1"/>
      <c r="P1" s="1"/>
    </row>
    <row r="2" spans="1:16" ht="21" customHeight="1" x14ac:dyDescent="0.25">
      <c r="B2" s="2" t="s">
        <v>20</v>
      </c>
      <c r="C2" s="2"/>
      <c r="D2" s="2"/>
      <c r="E2" s="2"/>
      <c r="F2" s="2"/>
      <c r="G2" s="2"/>
      <c r="H2" s="2"/>
      <c r="I2" s="2"/>
      <c r="J2" s="2"/>
      <c r="K2" s="2"/>
      <c r="L2" s="2"/>
      <c r="M2" s="2"/>
      <c r="N2" s="2"/>
      <c r="O2" s="2"/>
      <c r="P2" s="3" t="s">
        <v>2</v>
      </c>
    </row>
    <row r="3" spans="1:16" ht="6" customHeight="1" x14ac:dyDescent="0.25"/>
    <row r="4" spans="1:16" ht="29.76" customHeight="1" x14ac:dyDescent="0.25">
      <c r="B4" s="32" t="s">
        <v>117</v>
      </c>
      <c r="C4" s="32"/>
      <c r="D4" s="32"/>
      <c r="E4" s="32"/>
      <c r="F4" s="32"/>
      <c r="G4" s="32"/>
      <c r="H4" s="32"/>
      <c r="I4" s="32"/>
      <c r="J4" s="32"/>
      <c r="K4" s="32"/>
      <c r="L4" s="32"/>
      <c r="M4" s="32"/>
      <c r="N4" s="32"/>
      <c r="O4" s="32"/>
      <c r="P4" s="32"/>
    </row>
    <row r="5" spans="1:16" ht="32" customHeight="1" x14ac:dyDescent="0.25">
      <c r="B5" s="31" t="s">
        <v>105</v>
      </c>
      <c r="C5" s="31" t="s">
        <v>60</v>
      </c>
      <c r="D5" s="31" t="s">
        <v>62</v>
      </c>
      <c r="E5" s="31" t="s">
        <v>106</v>
      </c>
      <c r="F5" s="31" t="s">
        <v>107</v>
      </c>
      <c r="G5" s="31" t="s">
        <v>108</v>
      </c>
      <c r="H5" s="31" t="s">
        <v>109</v>
      </c>
      <c r="I5" s="31" t="s">
        <v>110</v>
      </c>
      <c r="J5" s="31" t="s">
        <v>111</v>
      </c>
      <c r="K5" s="31" t="s">
        <v>112</v>
      </c>
      <c r="L5" s="31" t="s">
        <v>113</v>
      </c>
      <c r="M5" s="31" t="s">
        <v>114</v>
      </c>
      <c r="N5" s="31" t="s">
        <v>115</v>
      </c>
      <c r="O5" s="31" t="s">
        <v>116</v>
      </c>
      <c r="P5" s="31" t="s">
        <v>32</v>
      </c>
    </row>
    <row r="6" spans="1:16" x14ac:dyDescent="0.25">
      <c r="B6" s="33">
        <v>46300</v>
      </c>
      <c r="C6" s="28" t="s">
        <v>73</v>
      </c>
      <c r="D6" s="28" t="s">
        <v>80</v>
      </c>
      <c r="E6" s="34">
        <v>60</v>
      </c>
      <c r="F6" s="34">
        <v>67</v>
      </c>
      <c r="G6" s="28"/>
      <c r="H6" s="35">
        <f>IF(tblLog[[#This Row],[Date]]="","",IF(tblLog[[#This Row],[Planned (units)]]="","",MIN(tblLog[[#This Row],[Actual (units)]],tblLog[[#This Row],[Planned (units)]])))</f>
        <v>60</v>
      </c>
      <c r="I6" s="35">
        <f>IF(tblLog[[#This Row],[Date]]="","",IF(tblLog[[#This Row],[Planned (units)]]="","",MAX(0,tblLog[[#This Row],[Planned (units)]]-tblLog[[#This Row],[Actual (units)]])))</f>
        <v>0</v>
      </c>
      <c r="J6" s="35">
        <f>IF(tblLog[[#This Row],[Date]]="","",IF(tblLog[[#This Row],[Planned (units)]]="","",MAX(0,tblLog[[#This Row],[Actual (units)]]-tblLog[[#This Row],[Planned (units)]])))</f>
        <v>7</v>
      </c>
      <c r="K6" s="36">
        <f>IF(tblLog[[#This Row],[Date]]="","",IF(N(tblLog[[#This Row],[Planned (units)]])&gt;0,tblLog[[#This Row],[Credited (units)]]/tblLog[[#This Row],[Planned (units)]],""))</f>
        <v>1</v>
      </c>
      <c r="L6" s="35">
        <f>IF(tblLog[[#This Row],[Date]]="","",IF(N(tblLog[[#This Row],[Planned (units)]])&gt;0,IF(tblLog[[#This Row],[Actual (units)]]&gt;=tblLog[[#This Row],[Planned (units)]],1,0),""))</f>
        <v>1</v>
      </c>
      <c r="M6" s="37" t="str">
        <f>IF(NOT(ISNUMBER(tblLog[[#This Row],[Attainment]])),"",IF(tblLog[[#This Row],[Attainment]]&gt;=TargetAttain,"On target",IF(tblLog[[#This Row],[Attainment]]&gt;=TargetAttain*(1-0.05),"Near target","Below target")))</f>
        <v>On target</v>
      </c>
      <c r="N6" s="38">
        <f>IF(tblLog[[#This Row],[Date]]="","",IF(AND(tblLog[[#This Row],[Date]]&gt;=FFrom,tblLog[[#This Row],[Date]]&lt;=FTo,OR(DashLine="",tblLog[[#This Row],[Line]]=DashLine)),tblLog[[#This Row],[Date]],""))</f>
        <v>46300</v>
      </c>
      <c r="O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 s="40" t="s">
        <v>118</v>
      </c>
    </row>
    <row r="7" spans="1:16" x14ac:dyDescent="0.25">
      <c r="B7" s="33">
        <v>46300</v>
      </c>
      <c r="C7" s="28" t="s">
        <v>73</v>
      </c>
      <c r="D7" s="28" t="s">
        <v>81</v>
      </c>
      <c r="E7" s="34">
        <v>60</v>
      </c>
      <c r="F7" s="34">
        <v>55</v>
      </c>
      <c r="G7" s="28" t="s">
        <v>95</v>
      </c>
      <c r="H7" s="35">
        <f>IF(tblLog[[#This Row],[Date]]="","",IF(tblLog[[#This Row],[Planned (units)]]="","",MIN(tblLog[[#This Row],[Actual (units)]],tblLog[[#This Row],[Planned (units)]])))</f>
        <v>55</v>
      </c>
      <c r="I7" s="35">
        <f>IF(tblLog[[#This Row],[Date]]="","",IF(tblLog[[#This Row],[Planned (units)]]="","",MAX(0,tblLog[[#This Row],[Planned (units)]]-tblLog[[#This Row],[Actual (units)]])))</f>
        <v>5</v>
      </c>
      <c r="J7" s="35">
        <f>IF(tblLog[[#This Row],[Date]]="","",IF(tblLog[[#This Row],[Planned (units)]]="","",MAX(0,tblLog[[#This Row],[Actual (units)]]-tblLog[[#This Row],[Planned (units)]])))</f>
        <v>0</v>
      </c>
      <c r="K7" s="36">
        <f>IF(tblLog[[#This Row],[Date]]="","",IF(N(tblLog[[#This Row],[Planned (units)]])&gt;0,tblLog[[#This Row],[Credited (units)]]/tblLog[[#This Row],[Planned (units)]],""))</f>
        <v>0.916666666666667</v>
      </c>
      <c r="L7" s="35">
        <f>IF(tblLog[[#This Row],[Date]]="","",IF(N(tblLog[[#This Row],[Planned (units)]])&gt;0,IF(tblLog[[#This Row],[Actual (units)]]&gt;=tblLog[[#This Row],[Planned (units)]],1,0),""))</f>
        <v>0</v>
      </c>
      <c r="M7" s="37" t="str">
        <f>IF(NOT(ISNUMBER(tblLog[[#This Row],[Attainment]])),"",IF(tblLog[[#This Row],[Attainment]]&gt;=TargetAttain,"On target",IF(tblLog[[#This Row],[Attainment]]&gt;=TargetAttain*(1-0.05),"Near target","Below target")))</f>
        <v>Near target</v>
      </c>
      <c r="N7" s="38">
        <f>IF(tblLog[[#This Row],[Date]]="","",IF(AND(tblLog[[#This Row],[Date]]&gt;=FFrom,tblLog[[#This Row],[Date]]&lt;=FTo,OR(DashLine="",tblLog[[#This Row],[Line]]=DashLine)),tblLog[[#This Row],[Date]],""))</f>
        <v>46300</v>
      </c>
      <c r="O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 s="40" t="s">
        <v>118</v>
      </c>
    </row>
    <row r="8" spans="1:16" x14ac:dyDescent="0.25">
      <c r="B8" s="33">
        <v>46300</v>
      </c>
      <c r="C8" s="28" t="s">
        <v>73</v>
      </c>
      <c r="D8" s="28" t="s">
        <v>82</v>
      </c>
      <c r="E8" s="34">
        <v>30</v>
      </c>
      <c r="F8" s="34">
        <v>23</v>
      </c>
      <c r="G8" s="28" t="s">
        <v>93</v>
      </c>
      <c r="H8" s="35">
        <f>IF(tblLog[[#This Row],[Date]]="","",IF(tblLog[[#This Row],[Planned (units)]]="","",MIN(tblLog[[#This Row],[Actual (units)]],tblLog[[#This Row],[Planned (units)]])))</f>
        <v>23</v>
      </c>
      <c r="I8" s="35">
        <f>IF(tblLog[[#This Row],[Date]]="","",IF(tblLog[[#This Row],[Planned (units)]]="","",MAX(0,tblLog[[#This Row],[Planned (units)]]-tblLog[[#This Row],[Actual (units)]])))</f>
        <v>7</v>
      </c>
      <c r="J8" s="35">
        <f>IF(tblLog[[#This Row],[Date]]="","",IF(tblLog[[#This Row],[Planned (units)]]="","",MAX(0,tblLog[[#This Row],[Actual (units)]]-tblLog[[#This Row],[Planned (units)]])))</f>
        <v>0</v>
      </c>
      <c r="K8" s="36">
        <f>IF(tblLog[[#This Row],[Date]]="","",IF(N(tblLog[[#This Row],[Planned (units)]])&gt;0,tblLog[[#This Row],[Credited (units)]]/tblLog[[#This Row],[Planned (units)]],""))</f>
        <v>0.766666666666667</v>
      </c>
      <c r="L8" s="35">
        <f>IF(tblLog[[#This Row],[Date]]="","",IF(N(tblLog[[#This Row],[Planned (units)]])&gt;0,IF(tblLog[[#This Row],[Actual (units)]]&gt;=tblLog[[#This Row],[Planned (units)]],1,0),""))</f>
        <v>0</v>
      </c>
      <c r="M8" s="37" t="str">
        <f>IF(NOT(ISNUMBER(tblLog[[#This Row],[Attainment]])),"",IF(tblLog[[#This Row],[Attainment]]&gt;=TargetAttain,"On target",IF(tblLog[[#This Row],[Attainment]]&gt;=TargetAttain*(1-0.05),"Near target","Below target")))</f>
        <v>Below target</v>
      </c>
      <c r="N8" s="38">
        <f>IF(tblLog[[#This Row],[Date]]="","",IF(AND(tblLog[[#This Row],[Date]]&gt;=FFrom,tblLog[[#This Row],[Date]]&lt;=FTo,OR(DashLine="",tblLog[[#This Row],[Line]]=DashLine)),tblLog[[#This Row],[Date]],""))</f>
        <v>46300</v>
      </c>
      <c r="O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8" s="40" t="s">
        <v>118</v>
      </c>
    </row>
    <row r="9" spans="1:16" x14ac:dyDescent="0.25">
      <c r="B9" s="33">
        <v>46300</v>
      </c>
      <c r="C9" s="28" t="s">
        <v>75</v>
      </c>
      <c r="D9" s="28" t="s">
        <v>83</v>
      </c>
      <c r="E9" s="34">
        <v>140</v>
      </c>
      <c r="F9" s="34">
        <v>132</v>
      </c>
      <c r="G9" s="28" t="s">
        <v>93</v>
      </c>
      <c r="H9" s="35">
        <f>IF(tblLog[[#This Row],[Date]]="","",IF(tblLog[[#This Row],[Planned (units)]]="","",MIN(tblLog[[#This Row],[Actual (units)]],tblLog[[#This Row],[Planned (units)]])))</f>
        <v>132</v>
      </c>
      <c r="I9" s="35">
        <f>IF(tblLog[[#This Row],[Date]]="","",IF(tblLog[[#This Row],[Planned (units)]]="","",MAX(0,tblLog[[#This Row],[Planned (units)]]-tblLog[[#This Row],[Actual (units)]])))</f>
        <v>8</v>
      </c>
      <c r="J9" s="35">
        <f>IF(tblLog[[#This Row],[Date]]="","",IF(tblLog[[#This Row],[Planned (units)]]="","",MAX(0,tblLog[[#This Row],[Actual (units)]]-tblLog[[#This Row],[Planned (units)]])))</f>
        <v>0</v>
      </c>
      <c r="K9" s="36">
        <f>IF(tblLog[[#This Row],[Date]]="","",IF(N(tblLog[[#This Row],[Planned (units)]])&gt;0,tblLog[[#This Row],[Credited (units)]]/tblLog[[#This Row],[Planned (units)]],""))</f>
        <v>0.942857142857143</v>
      </c>
      <c r="L9" s="35">
        <f>IF(tblLog[[#This Row],[Date]]="","",IF(N(tblLog[[#This Row],[Planned (units)]])&gt;0,IF(tblLog[[#This Row],[Actual (units)]]&gt;=tblLog[[#This Row],[Planned (units)]],1,0),""))</f>
        <v>0</v>
      </c>
      <c r="M9" s="37" t="str">
        <f>IF(NOT(ISNUMBER(tblLog[[#This Row],[Attainment]])),"",IF(tblLog[[#This Row],[Attainment]]&gt;=TargetAttain,"On target",IF(tblLog[[#This Row],[Attainment]]&gt;=TargetAttain*(1-0.05),"Near target","Below target")))</f>
        <v>Near target</v>
      </c>
      <c r="N9" s="38">
        <f>IF(tblLog[[#This Row],[Date]]="","",IF(AND(tblLog[[#This Row],[Date]]&gt;=FFrom,tblLog[[#This Row],[Date]]&lt;=FTo,OR(DashLine="",tblLog[[#This Row],[Line]]=DashLine)),tblLog[[#This Row],[Date]],""))</f>
        <v>46300</v>
      </c>
      <c r="O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9" s="40" t="s">
        <v>118</v>
      </c>
    </row>
    <row r="10" spans="1:16" x14ac:dyDescent="0.25">
      <c r="B10" s="33">
        <v>46300</v>
      </c>
      <c r="C10" s="28" t="s">
        <v>75</v>
      </c>
      <c r="D10" s="28" t="s">
        <v>84</v>
      </c>
      <c r="E10" s="34">
        <v>140</v>
      </c>
      <c r="F10" s="34">
        <v>143</v>
      </c>
      <c r="G10" s="28"/>
      <c r="H10" s="35">
        <f>IF(tblLog[[#This Row],[Date]]="","",IF(tblLog[[#This Row],[Planned (units)]]="","",MIN(tblLog[[#This Row],[Actual (units)]],tblLog[[#This Row],[Planned (units)]])))</f>
        <v>140</v>
      </c>
      <c r="I10" s="35">
        <f>IF(tblLog[[#This Row],[Date]]="","",IF(tblLog[[#This Row],[Planned (units)]]="","",MAX(0,tblLog[[#This Row],[Planned (units)]]-tblLog[[#This Row],[Actual (units)]])))</f>
        <v>0</v>
      </c>
      <c r="J10" s="35">
        <f>IF(tblLog[[#This Row],[Date]]="","",IF(tblLog[[#This Row],[Planned (units)]]="","",MAX(0,tblLog[[#This Row],[Actual (units)]]-tblLog[[#This Row],[Planned (units)]])))</f>
        <v>3</v>
      </c>
      <c r="K10" s="36">
        <f>IF(tblLog[[#This Row],[Date]]="","",IF(N(tblLog[[#This Row],[Planned (units)]])&gt;0,tblLog[[#This Row],[Credited (units)]]/tblLog[[#This Row],[Planned (units)]],""))</f>
        <v>1</v>
      </c>
      <c r="L10" s="35">
        <f>IF(tblLog[[#This Row],[Date]]="","",IF(N(tblLog[[#This Row],[Planned (units)]])&gt;0,IF(tblLog[[#This Row],[Actual (units)]]&gt;=tblLog[[#This Row],[Planned (units)]],1,0),""))</f>
        <v>1</v>
      </c>
      <c r="M10" s="37" t="str">
        <f>IF(NOT(ISNUMBER(tblLog[[#This Row],[Attainment]])),"",IF(tblLog[[#This Row],[Attainment]]&gt;=TargetAttain,"On target",IF(tblLog[[#This Row],[Attainment]]&gt;=TargetAttain*(1-0.05),"Near target","Below target")))</f>
        <v>On target</v>
      </c>
      <c r="N10" s="38">
        <f>IF(tblLog[[#This Row],[Date]]="","",IF(AND(tblLog[[#This Row],[Date]]&gt;=FFrom,tblLog[[#This Row],[Date]]&lt;=FTo,OR(DashLine="",tblLog[[#This Row],[Line]]=DashLine)),tblLog[[#This Row],[Date]],""))</f>
        <v>46300</v>
      </c>
      <c r="O1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0" s="40" t="s">
        <v>118</v>
      </c>
    </row>
    <row r="11" spans="1:16" x14ac:dyDescent="0.25">
      <c r="B11" s="33">
        <v>46300</v>
      </c>
      <c r="C11" s="28" t="s">
        <v>77</v>
      </c>
      <c r="D11" s="28" t="s">
        <v>85</v>
      </c>
      <c r="E11" s="34">
        <v>45</v>
      </c>
      <c r="F11" s="34">
        <v>45</v>
      </c>
      <c r="G11" s="28"/>
      <c r="H11" s="35">
        <f>IF(tblLog[[#This Row],[Date]]="","",IF(tblLog[[#This Row],[Planned (units)]]="","",MIN(tblLog[[#This Row],[Actual (units)]],tblLog[[#This Row],[Planned (units)]])))</f>
        <v>45</v>
      </c>
      <c r="I11" s="35">
        <f>IF(tblLog[[#This Row],[Date]]="","",IF(tblLog[[#This Row],[Planned (units)]]="","",MAX(0,tblLog[[#This Row],[Planned (units)]]-tblLog[[#This Row],[Actual (units)]])))</f>
        <v>0</v>
      </c>
      <c r="J11" s="35">
        <f>IF(tblLog[[#This Row],[Date]]="","",IF(tblLog[[#This Row],[Planned (units)]]="","",MAX(0,tblLog[[#This Row],[Actual (units)]]-tblLog[[#This Row],[Planned (units)]])))</f>
        <v>0</v>
      </c>
      <c r="K11" s="36">
        <f>IF(tblLog[[#This Row],[Date]]="","",IF(N(tblLog[[#This Row],[Planned (units)]])&gt;0,tblLog[[#This Row],[Credited (units)]]/tblLog[[#This Row],[Planned (units)]],""))</f>
        <v>1</v>
      </c>
      <c r="L11" s="35">
        <f>IF(tblLog[[#This Row],[Date]]="","",IF(N(tblLog[[#This Row],[Planned (units)]])&gt;0,IF(tblLog[[#This Row],[Actual (units)]]&gt;=tblLog[[#This Row],[Planned (units)]],1,0),""))</f>
        <v>1</v>
      </c>
      <c r="M11" s="37" t="str">
        <f>IF(NOT(ISNUMBER(tblLog[[#This Row],[Attainment]])),"",IF(tblLog[[#This Row],[Attainment]]&gt;=TargetAttain,"On target",IF(tblLog[[#This Row],[Attainment]]&gt;=TargetAttain*(1-0.05),"Near target","Below target")))</f>
        <v>On target</v>
      </c>
      <c r="N11" s="38">
        <f>IF(tblLog[[#This Row],[Date]]="","",IF(AND(tblLog[[#This Row],[Date]]&gt;=FFrom,tblLog[[#This Row],[Date]]&lt;=FTo,OR(DashLine="",tblLog[[#This Row],[Line]]=DashLine)),tblLog[[#This Row],[Date]],""))</f>
        <v>46300</v>
      </c>
      <c r="O1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1" s="40" t="s">
        <v>118</v>
      </c>
    </row>
    <row r="12" spans="1:16" x14ac:dyDescent="0.25">
      <c r="B12" s="33">
        <v>46300</v>
      </c>
      <c r="C12" s="28" t="s">
        <v>77</v>
      </c>
      <c r="D12" s="28" t="s">
        <v>86</v>
      </c>
      <c r="E12" s="34">
        <v>25</v>
      </c>
      <c r="F12" s="34">
        <v>25</v>
      </c>
      <c r="G12" s="28"/>
      <c r="H12" s="35">
        <f>IF(tblLog[[#This Row],[Date]]="","",IF(tblLog[[#This Row],[Planned (units)]]="","",MIN(tblLog[[#This Row],[Actual (units)]],tblLog[[#This Row],[Planned (units)]])))</f>
        <v>25</v>
      </c>
      <c r="I12" s="35">
        <f>IF(tblLog[[#This Row],[Date]]="","",IF(tblLog[[#This Row],[Planned (units)]]="","",MAX(0,tblLog[[#This Row],[Planned (units)]]-tblLog[[#This Row],[Actual (units)]])))</f>
        <v>0</v>
      </c>
      <c r="J12" s="35">
        <f>IF(tblLog[[#This Row],[Date]]="","",IF(tblLog[[#This Row],[Planned (units)]]="","",MAX(0,tblLog[[#This Row],[Actual (units)]]-tblLog[[#This Row],[Planned (units)]])))</f>
        <v>0</v>
      </c>
      <c r="K12" s="36">
        <f>IF(tblLog[[#This Row],[Date]]="","",IF(N(tblLog[[#This Row],[Planned (units)]])&gt;0,tblLog[[#This Row],[Credited (units)]]/tblLog[[#This Row],[Planned (units)]],""))</f>
        <v>1</v>
      </c>
      <c r="L12" s="35">
        <f>IF(tblLog[[#This Row],[Date]]="","",IF(N(tblLog[[#This Row],[Planned (units)]])&gt;0,IF(tblLog[[#This Row],[Actual (units)]]&gt;=tblLog[[#This Row],[Planned (units)]],1,0),""))</f>
        <v>1</v>
      </c>
      <c r="M12" s="37" t="str">
        <f>IF(NOT(ISNUMBER(tblLog[[#This Row],[Attainment]])),"",IF(tblLog[[#This Row],[Attainment]]&gt;=TargetAttain,"On target",IF(tblLog[[#This Row],[Attainment]]&gt;=TargetAttain*(1-0.05),"Near target","Below target")))</f>
        <v>On target</v>
      </c>
      <c r="N12" s="38">
        <f>IF(tblLog[[#This Row],[Date]]="","",IF(AND(tblLog[[#This Row],[Date]]&gt;=FFrom,tblLog[[#This Row],[Date]]&lt;=FTo,OR(DashLine="",tblLog[[#This Row],[Line]]=DashLine)),tblLog[[#This Row],[Date]],""))</f>
        <v>46300</v>
      </c>
      <c r="O1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2" s="40" t="s">
        <v>118</v>
      </c>
    </row>
    <row r="13" spans="1:16" x14ac:dyDescent="0.25">
      <c r="B13" s="33">
        <v>46300</v>
      </c>
      <c r="C13" s="28" t="s">
        <v>77</v>
      </c>
      <c r="D13" s="28" t="s">
        <v>87</v>
      </c>
      <c r="E13" s="34">
        <v>80</v>
      </c>
      <c r="F13" s="34">
        <v>82</v>
      </c>
      <c r="G13" s="28"/>
      <c r="H13" s="35">
        <f>IF(tblLog[[#This Row],[Date]]="","",IF(tblLog[[#This Row],[Planned (units)]]="","",MIN(tblLog[[#This Row],[Actual (units)]],tblLog[[#This Row],[Planned (units)]])))</f>
        <v>80</v>
      </c>
      <c r="I13" s="35">
        <f>IF(tblLog[[#This Row],[Date]]="","",IF(tblLog[[#This Row],[Planned (units)]]="","",MAX(0,tblLog[[#This Row],[Planned (units)]]-tblLog[[#This Row],[Actual (units)]])))</f>
        <v>0</v>
      </c>
      <c r="J13" s="35">
        <f>IF(tblLog[[#This Row],[Date]]="","",IF(tblLog[[#This Row],[Planned (units)]]="","",MAX(0,tblLog[[#This Row],[Actual (units)]]-tblLog[[#This Row],[Planned (units)]])))</f>
        <v>2</v>
      </c>
      <c r="K13" s="36">
        <f>IF(tblLog[[#This Row],[Date]]="","",IF(N(tblLog[[#This Row],[Planned (units)]])&gt;0,tblLog[[#This Row],[Credited (units)]]/tblLog[[#This Row],[Planned (units)]],""))</f>
        <v>1</v>
      </c>
      <c r="L13" s="35">
        <f>IF(tblLog[[#This Row],[Date]]="","",IF(N(tblLog[[#This Row],[Planned (units)]])&gt;0,IF(tblLog[[#This Row],[Actual (units)]]&gt;=tblLog[[#This Row],[Planned (units)]],1,0),""))</f>
        <v>1</v>
      </c>
      <c r="M13" s="37" t="str">
        <f>IF(NOT(ISNUMBER(tblLog[[#This Row],[Attainment]])),"",IF(tblLog[[#This Row],[Attainment]]&gt;=TargetAttain,"On target",IF(tblLog[[#This Row],[Attainment]]&gt;=TargetAttain*(1-0.05),"Near target","Below target")))</f>
        <v>On target</v>
      </c>
      <c r="N13" s="38">
        <f>IF(tblLog[[#This Row],[Date]]="","",IF(AND(tblLog[[#This Row],[Date]]&gt;=FFrom,tblLog[[#This Row],[Date]]&lt;=FTo,OR(DashLine="",tblLog[[#This Row],[Line]]=DashLine)),tblLog[[#This Row],[Date]],""))</f>
        <v>46300</v>
      </c>
      <c r="O1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3" s="40" t="s">
        <v>118</v>
      </c>
    </row>
    <row r="14" spans="1:16" x14ac:dyDescent="0.25">
      <c r="B14" s="33">
        <v>46301</v>
      </c>
      <c r="C14" s="28" t="s">
        <v>73</v>
      </c>
      <c r="D14" s="28" t="s">
        <v>80</v>
      </c>
      <c r="E14" s="34">
        <v>60</v>
      </c>
      <c r="F14" s="34">
        <v>65</v>
      </c>
      <c r="G14" s="28"/>
      <c r="H14" s="35">
        <f>IF(tblLog[[#This Row],[Date]]="","",IF(tblLog[[#This Row],[Planned (units)]]="","",MIN(tblLog[[#This Row],[Actual (units)]],tblLog[[#This Row],[Planned (units)]])))</f>
        <v>60</v>
      </c>
      <c r="I14" s="35">
        <f>IF(tblLog[[#This Row],[Date]]="","",IF(tblLog[[#This Row],[Planned (units)]]="","",MAX(0,tblLog[[#This Row],[Planned (units)]]-tblLog[[#This Row],[Actual (units)]])))</f>
        <v>0</v>
      </c>
      <c r="J14" s="35">
        <f>IF(tblLog[[#This Row],[Date]]="","",IF(tblLog[[#This Row],[Planned (units)]]="","",MAX(0,tblLog[[#This Row],[Actual (units)]]-tblLog[[#This Row],[Planned (units)]])))</f>
        <v>5</v>
      </c>
      <c r="K14" s="36">
        <f>IF(tblLog[[#This Row],[Date]]="","",IF(N(tblLog[[#This Row],[Planned (units)]])&gt;0,tblLog[[#This Row],[Credited (units)]]/tblLog[[#This Row],[Planned (units)]],""))</f>
        <v>1</v>
      </c>
      <c r="L14" s="35">
        <f>IF(tblLog[[#This Row],[Date]]="","",IF(N(tblLog[[#This Row],[Planned (units)]])&gt;0,IF(tblLog[[#This Row],[Actual (units)]]&gt;=tblLog[[#This Row],[Planned (units)]],1,0),""))</f>
        <v>1</v>
      </c>
      <c r="M14" s="37" t="str">
        <f>IF(NOT(ISNUMBER(tblLog[[#This Row],[Attainment]])),"",IF(tblLog[[#This Row],[Attainment]]&gt;=TargetAttain,"On target",IF(tblLog[[#This Row],[Attainment]]&gt;=TargetAttain*(1-0.05),"Near target","Below target")))</f>
        <v>On target</v>
      </c>
      <c r="N14" s="38">
        <f>IF(tblLog[[#This Row],[Date]]="","",IF(AND(tblLog[[#This Row],[Date]]&gt;=FFrom,tblLog[[#This Row],[Date]]&lt;=FTo,OR(DashLine="",tblLog[[#This Row],[Line]]=DashLine)),tblLog[[#This Row],[Date]],""))</f>
        <v>46301</v>
      </c>
      <c r="O1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4" s="40" t="s">
        <v>118</v>
      </c>
    </row>
    <row r="15" spans="1:16" x14ac:dyDescent="0.25">
      <c r="B15" s="33">
        <v>46301</v>
      </c>
      <c r="C15" s="28" t="s">
        <v>73</v>
      </c>
      <c r="D15" s="28" t="s">
        <v>81</v>
      </c>
      <c r="E15" s="34">
        <v>60</v>
      </c>
      <c r="F15" s="34">
        <v>55</v>
      </c>
      <c r="G15" s="28" t="s">
        <v>93</v>
      </c>
      <c r="H15" s="35">
        <f>IF(tblLog[[#This Row],[Date]]="","",IF(tblLog[[#This Row],[Planned (units)]]="","",MIN(tblLog[[#This Row],[Actual (units)]],tblLog[[#This Row],[Planned (units)]])))</f>
        <v>55</v>
      </c>
      <c r="I15" s="35">
        <f>IF(tblLog[[#This Row],[Date]]="","",IF(tblLog[[#This Row],[Planned (units)]]="","",MAX(0,tblLog[[#This Row],[Planned (units)]]-tblLog[[#This Row],[Actual (units)]])))</f>
        <v>5</v>
      </c>
      <c r="J15" s="35">
        <f>IF(tblLog[[#This Row],[Date]]="","",IF(tblLog[[#This Row],[Planned (units)]]="","",MAX(0,tblLog[[#This Row],[Actual (units)]]-tblLog[[#This Row],[Planned (units)]])))</f>
        <v>0</v>
      </c>
      <c r="K15" s="36">
        <f>IF(tblLog[[#This Row],[Date]]="","",IF(N(tblLog[[#This Row],[Planned (units)]])&gt;0,tblLog[[#This Row],[Credited (units)]]/tblLog[[#This Row],[Planned (units)]],""))</f>
        <v>0.916666666666667</v>
      </c>
      <c r="L15" s="35">
        <f>IF(tblLog[[#This Row],[Date]]="","",IF(N(tblLog[[#This Row],[Planned (units)]])&gt;0,IF(tblLog[[#This Row],[Actual (units)]]&gt;=tblLog[[#This Row],[Planned (units)]],1,0),""))</f>
        <v>0</v>
      </c>
      <c r="M15" s="37" t="str">
        <f>IF(NOT(ISNUMBER(tblLog[[#This Row],[Attainment]])),"",IF(tblLog[[#This Row],[Attainment]]&gt;=TargetAttain,"On target",IF(tblLog[[#This Row],[Attainment]]&gt;=TargetAttain*(1-0.05),"Near target","Below target")))</f>
        <v>Near target</v>
      </c>
      <c r="N15" s="38">
        <f>IF(tblLog[[#This Row],[Date]]="","",IF(AND(tblLog[[#This Row],[Date]]&gt;=FFrom,tblLog[[#This Row],[Date]]&lt;=FTo,OR(DashLine="",tblLog[[#This Row],[Line]]=DashLine)),tblLog[[#This Row],[Date]],""))</f>
        <v>46301</v>
      </c>
      <c r="O1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5" s="40" t="s">
        <v>118</v>
      </c>
    </row>
    <row r="16" spans="1:16" x14ac:dyDescent="0.25">
      <c r="B16" s="33">
        <v>46301</v>
      </c>
      <c r="C16" s="28" t="s">
        <v>73</v>
      </c>
      <c r="D16" s="28" t="s">
        <v>82</v>
      </c>
      <c r="E16" s="34">
        <v>30</v>
      </c>
      <c r="F16" s="34">
        <v>24</v>
      </c>
      <c r="G16" s="28" t="s">
        <v>93</v>
      </c>
      <c r="H16" s="35">
        <f>IF(tblLog[[#This Row],[Date]]="","",IF(tblLog[[#This Row],[Planned (units)]]="","",MIN(tblLog[[#This Row],[Actual (units)]],tblLog[[#This Row],[Planned (units)]])))</f>
        <v>24</v>
      </c>
      <c r="I16" s="35">
        <f>IF(tblLog[[#This Row],[Date]]="","",IF(tblLog[[#This Row],[Planned (units)]]="","",MAX(0,tblLog[[#This Row],[Planned (units)]]-tblLog[[#This Row],[Actual (units)]])))</f>
        <v>6</v>
      </c>
      <c r="J16" s="35">
        <f>IF(tblLog[[#This Row],[Date]]="","",IF(tblLog[[#This Row],[Planned (units)]]="","",MAX(0,tblLog[[#This Row],[Actual (units)]]-tblLog[[#This Row],[Planned (units)]])))</f>
        <v>0</v>
      </c>
      <c r="K16" s="36">
        <f>IF(tblLog[[#This Row],[Date]]="","",IF(N(tblLog[[#This Row],[Planned (units)]])&gt;0,tblLog[[#This Row],[Credited (units)]]/tblLog[[#This Row],[Planned (units)]],""))</f>
        <v>0.8</v>
      </c>
      <c r="L16" s="35">
        <f>IF(tblLog[[#This Row],[Date]]="","",IF(N(tblLog[[#This Row],[Planned (units)]])&gt;0,IF(tblLog[[#This Row],[Actual (units)]]&gt;=tblLog[[#This Row],[Planned (units)]],1,0),""))</f>
        <v>0</v>
      </c>
      <c r="M16" s="37" t="str">
        <f>IF(NOT(ISNUMBER(tblLog[[#This Row],[Attainment]])),"",IF(tblLog[[#This Row],[Attainment]]&gt;=TargetAttain,"On target",IF(tblLog[[#This Row],[Attainment]]&gt;=TargetAttain*(1-0.05),"Near target","Below target")))</f>
        <v>Below target</v>
      </c>
      <c r="N16" s="38">
        <f>IF(tblLog[[#This Row],[Date]]="","",IF(AND(tblLog[[#This Row],[Date]]&gt;=FFrom,tblLog[[#This Row],[Date]]&lt;=FTo,OR(DashLine="",tblLog[[#This Row],[Line]]=DashLine)),tblLog[[#This Row],[Date]],""))</f>
        <v>46301</v>
      </c>
      <c r="O1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6" s="40" t="s">
        <v>118</v>
      </c>
    </row>
    <row r="17" spans="2:16" x14ac:dyDescent="0.25">
      <c r="B17" s="33">
        <v>46301</v>
      </c>
      <c r="C17" s="28" t="s">
        <v>75</v>
      </c>
      <c r="D17" s="28" t="s">
        <v>83</v>
      </c>
      <c r="E17" s="34">
        <v>140</v>
      </c>
      <c r="F17" s="34">
        <v>129</v>
      </c>
      <c r="G17" s="28" t="s">
        <v>97</v>
      </c>
      <c r="H17" s="35">
        <f>IF(tblLog[[#This Row],[Date]]="","",IF(tblLog[[#This Row],[Planned (units)]]="","",MIN(tblLog[[#This Row],[Actual (units)]],tblLog[[#This Row],[Planned (units)]])))</f>
        <v>129</v>
      </c>
      <c r="I17" s="35">
        <f>IF(tblLog[[#This Row],[Date]]="","",IF(tblLog[[#This Row],[Planned (units)]]="","",MAX(0,tblLog[[#This Row],[Planned (units)]]-tblLog[[#This Row],[Actual (units)]])))</f>
        <v>11</v>
      </c>
      <c r="J17" s="35">
        <f>IF(tblLog[[#This Row],[Date]]="","",IF(tblLog[[#This Row],[Planned (units)]]="","",MAX(0,tblLog[[#This Row],[Actual (units)]]-tblLog[[#This Row],[Planned (units)]])))</f>
        <v>0</v>
      </c>
      <c r="K17" s="36">
        <f>IF(tblLog[[#This Row],[Date]]="","",IF(N(tblLog[[#This Row],[Planned (units)]])&gt;0,tblLog[[#This Row],[Credited (units)]]/tblLog[[#This Row],[Planned (units)]],""))</f>
        <v>0.921428571428571</v>
      </c>
      <c r="L17" s="35">
        <f>IF(tblLog[[#This Row],[Date]]="","",IF(N(tblLog[[#This Row],[Planned (units)]])&gt;0,IF(tblLog[[#This Row],[Actual (units)]]&gt;=tblLog[[#This Row],[Planned (units)]],1,0),""))</f>
        <v>0</v>
      </c>
      <c r="M17" s="37" t="str">
        <f>IF(NOT(ISNUMBER(tblLog[[#This Row],[Attainment]])),"",IF(tblLog[[#This Row],[Attainment]]&gt;=TargetAttain,"On target",IF(tblLog[[#This Row],[Attainment]]&gt;=TargetAttain*(1-0.05),"Near target","Below target")))</f>
        <v>Near target</v>
      </c>
      <c r="N17" s="38">
        <f>IF(tblLog[[#This Row],[Date]]="","",IF(AND(tblLog[[#This Row],[Date]]&gt;=FFrom,tblLog[[#This Row],[Date]]&lt;=FTo,OR(DashLine="",tblLog[[#This Row],[Line]]=DashLine)),tblLog[[#This Row],[Date]],""))</f>
        <v>46301</v>
      </c>
      <c r="O1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7" s="40" t="s">
        <v>118</v>
      </c>
    </row>
    <row r="18" spans="2:16" x14ac:dyDescent="0.25">
      <c r="B18" s="33">
        <v>46301</v>
      </c>
      <c r="C18" s="28" t="s">
        <v>75</v>
      </c>
      <c r="D18" s="28" t="s">
        <v>84</v>
      </c>
      <c r="E18" s="34">
        <v>140</v>
      </c>
      <c r="F18" s="34">
        <v>145</v>
      </c>
      <c r="G18" s="28"/>
      <c r="H18" s="35">
        <f>IF(tblLog[[#This Row],[Date]]="","",IF(tblLog[[#This Row],[Planned (units)]]="","",MIN(tblLog[[#This Row],[Actual (units)]],tblLog[[#This Row],[Planned (units)]])))</f>
        <v>140</v>
      </c>
      <c r="I18" s="35">
        <f>IF(tblLog[[#This Row],[Date]]="","",IF(tblLog[[#This Row],[Planned (units)]]="","",MAX(0,tblLog[[#This Row],[Planned (units)]]-tblLog[[#This Row],[Actual (units)]])))</f>
        <v>0</v>
      </c>
      <c r="J18" s="35">
        <f>IF(tblLog[[#This Row],[Date]]="","",IF(tblLog[[#This Row],[Planned (units)]]="","",MAX(0,tblLog[[#This Row],[Actual (units)]]-tblLog[[#This Row],[Planned (units)]])))</f>
        <v>5</v>
      </c>
      <c r="K18" s="36">
        <f>IF(tblLog[[#This Row],[Date]]="","",IF(N(tblLog[[#This Row],[Planned (units)]])&gt;0,tblLog[[#This Row],[Credited (units)]]/tblLog[[#This Row],[Planned (units)]],""))</f>
        <v>1</v>
      </c>
      <c r="L18" s="35">
        <f>IF(tblLog[[#This Row],[Date]]="","",IF(N(tblLog[[#This Row],[Planned (units)]])&gt;0,IF(tblLog[[#This Row],[Actual (units)]]&gt;=tblLog[[#This Row],[Planned (units)]],1,0),""))</f>
        <v>1</v>
      </c>
      <c r="M18" s="37" t="str">
        <f>IF(NOT(ISNUMBER(tblLog[[#This Row],[Attainment]])),"",IF(tblLog[[#This Row],[Attainment]]&gt;=TargetAttain,"On target",IF(tblLog[[#This Row],[Attainment]]&gt;=TargetAttain*(1-0.05),"Near target","Below target")))</f>
        <v>On target</v>
      </c>
      <c r="N18" s="38">
        <f>IF(tblLog[[#This Row],[Date]]="","",IF(AND(tblLog[[#This Row],[Date]]&gt;=FFrom,tblLog[[#This Row],[Date]]&lt;=FTo,OR(DashLine="",tblLog[[#This Row],[Line]]=DashLine)),tblLog[[#This Row],[Date]],""))</f>
        <v>46301</v>
      </c>
      <c r="O1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8" s="40" t="s">
        <v>118</v>
      </c>
    </row>
    <row r="19" spans="2:16" x14ac:dyDescent="0.25">
      <c r="B19" s="33">
        <v>46301</v>
      </c>
      <c r="C19" s="28" t="s">
        <v>77</v>
      </c>
      <c r="D19" s="28" t="s">
        <v>85</v>
      </c>
      <c r="E19" s="34">
        <v>45</v>
      </c>
      <c r="F19" s="34">
        <v>41</v>
      </c>
      <c r="G19" s="28" t="s">
        <v>93</v>
      </c>
      <c r="H19" s="35">
        <f>IF(tblLog[[#This Row],[Date]]="","",IF(tblLog[[#This Row],[Planned (units)]]="","",MIN(tblLog[[#This Row],[Actual (units)]],tblLog[[#This Row],[Planned (units)]])))</f>
        <v>41</v>
      </c>
      <c r="I19" s="35">
        <f>IF(tblLog[[#This Row],[Date]]="","",IF(tblLog[[#This Row],[Planned (units)]]="","",MAX(0,tblLog[[#This Row],[Planned (units)]]-tblLog[[#This Row],[Actual (units)]])))</f>
        <v>4</v>
      </c>
      <c r="J19" s="35">
        <f>IF(tblLog[[#This Row],[Date]]="","",IF(tblLog[[#This Row],[Planned (units)]]="","",MAX(0,tblLog[[#This Row],[Actual (units)]]-tblLog[[#This Row],[Planned (units)]])))</f>
        <v>0</v>
      </c>
      <c r="K19" s="36">
        <f>IF(tblLog[[#This Row],[Date]]="","",IF(N(tblLog[[#This Row],[Planned (units)]])&gt;0,tblLog[[#This Row],[Credited (units)]]/tblLog[[#This Row],[Planned (units)]],""))</f>
        <v>0.911111111111111</v>
      </c>
      <c r="L19" s="35">
        <f>IF(tblLog[[#This Row],[Date]]="","",IF(N(tblLog[[#This Row],[Planned (units)]])&gt;0,IF(tblLog[[#This Row],[Actual (units)]]&gt;=tblLog[[#This Row],[Planned (units)]],1,0),""))</f>
        <v>0</v>
      </c>
      <c r="M19" s="37" t="str">
        <f>IF(NOT(ISNUMBER(tblLog[[#This Row],[Attainment]])),"",IF(tblLog[[#This Row],[Attainment]]&gt;=TargetAttain,"On target",IF(tblLog[[#This Row],[Attainment]]&gt;=TargetAttain*(1-0.05),"Near target","Below target")))</f>
        <v>Near target</v>
      </c>
      <c r="N19" s="38">
        <f>IF(tblLog[[#This Row],[Date]]="","",IF(AND(tblLog[[#This Row],[Date]]&gt;=FFrom,tblLog[[#This Row],[Date]]&lt;=FTo,OR(DashLine="",tblLog[[#This Row],[Line]]=DashLine)),tblLog[[#This Row],[Date]],""))</f>
        <v>46301</v>
      </c>
      <c r="O1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19" s="40" t="s">
        <v>118</v>
      </c>
    </row>
    <row r="20" spans="2:16" x14ac:dyDescent="0.25">
      <c r="B20" s="33">
        <v>46301</v>
      </c>
      <c r="C20" s="28" t="s">
        <v>77</v>
      </c>
      <c r="D20" s="28" t="s">
        <v>86</v>
      </c>
      <c r="E20" s="34">
        <v>25</v>
      </c>
      <c r="F20" s="34">
        <v>26</v>
      </c>
      <c r="G20" s="28"/>
      <c r="H20" s="35">
        <f>IF(tblLog[[#This Row],[Date]]="","",IF(tblLog[[#This Row],[Planned (units)]]="","",MIN(tblLog[[#This Row],[Actual (units)]],tblLog[[#This Row],[Planned (units)]])))</f>
        <v>25</v>
      </c>
      <c r="I20" s="35">
        <f>IF(tblLog[[#This Row],[Date]]="","",IF(tblLog[[#This Row],[Planned (units)]]="","",MAX(0,tblLog[[#This Row],[Planned (units)]]-tblLog[[#This Row],[Actual (units)]])))</f>
        <v>0</v>
      </c>
      <c r="J20" s="35">
        <f>IF(tblLog[[#This Row],[Date]]="","",IF(tblLog[[#This Row],[Planned (units)]]="","",MAX(0,tblLog[[#This Row],[Actual (units)]]-tblLog[[#This Row],[Planned (units)]])))</f>
        <v>1</v>
      </c>
      <c r="K20" s="36">
        <f>IF(tblLog[[#This Row],[Date]]="","",IF(N(tblLog[[#This Row],[Planned (units)]])&gt;0,tblLog[[#This Row],[Credited (units)]]/tblLog[[#This Row],[Planned (units)]],""))</f>
        <v>1</v>
      </c>
      <c r="L20" s="35">
        <f>IF(tblLog[[#This Row],[Date]]="","",IF(N(tblLog[[#This Row],[Planned (units)]])&gt;0,IF(tblLog[[#This Row],[Actual (units)]]&gt;=tblLog[[#This Row],[Planned (units)]],1,0),""))</f>
        <v>1</v>
      </c>
      <c r="M20" s="37" t="str">
        <f>IF(NOT(ISNUMBER(tblLog[[#This Row],[Attainment]])),"",IF(tblLog[[#This Row],[Attainment]]&gt;=TargetAttain,"On target",IF(tblLog[[#This Row],[Attainment]]&gt;=TargetAttain*(1-0.05),"Near target","Below target")))</f>
        <v>On target</v>
      </c>
      <c r="N20" s="38">
        <f>IF(tblLog[[#This Row],[Date]]="","",IF(AND(tblLog[[#This Row],[Date]]&gt;=FFrom,tblLog[[#This Row],[Date]]&lt;=FTo,OR(DashLine="",tblLog[[#This Row],[Line]]=DashLine)),tblLog[[#This Row],[Date]],""))</f>
        <v>46301</v>
      </c>
      <c r="O2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0" s="40" t="s">
        <v>118</v>
      </c>
    </row>
    <row r="21" spans="2:16" x14ac:dyDescent="0.25">
      <c r="B21" s="33">
        <v>46301</v>
      </c>
      <c r="C21" s="28" t="s">
        <v>77</v>
      </c>
      <c r="D21" s="28" t="s">
        <v>87</v>
      </c>
      <c r="E21" s="34">
        <v>80</v>
      </c>
      <c r="F21" s="34">
        <v>80</v>
      </c>
      <c r="G21" s="28"/>
      <c r="H21" s="35">
        <f>IF(tblLog[[#This Row],[Date]]="","",IF(tblLog[[#This Row],[Planned (units)]]="","",MIN(tblLog[[#This Row],[Actual (units)]],tblLog[[#This Row],[Planned (units)]])))</f>
        <v>80</v>
      </c>
      <c r="I21" s="35">
        <f>IF(tblLog[[#This Row],[Date]]="","",IF(tblLog[[#This Row],[Planned (units)]]="","",MAX(0,tblLog[[#This Row],[Planned (units)]]-tblLog[[#This Row],[Actual (units)]])))</f>
        <v>0</v>
      </c>
      <c r="J21" s="35">
        <f>IF(tblLog[[#This Row],[Date]]="","",IF(tblLog[[#This Row],[Planned (units)]]="","",MAX(0,tblLog[[#This Row],[Actual (units)]]-tblLog[[#This Row],[Planned (units)]])))</f>
        <v>0</v>
      </c>
      <c r="K21" s="36">
        <f>IF(tblLog[[#This Row],[Date]]="","",IF(N(tblLog[[#This Row],[Planned (units)]])&gt;0,tblLog[[#This Row],[Credited (units)]]/tblLog[[#This Row],[Planned (units)]],""))</f>
        <v>1</v>
      </c>
      <c r="L21" s="35">
        <f>IF(tblLog[[#This Row],[Date]]="","",IF(N(tblLog[[#This Row],[Planned (units)]])&gt;0,IF(tblLog[[#This Row],[Actual (units)]]&gt;=tblLog[[#This Row],[Planned (units)]],1,0),""))</f>
        <v>1</v>
      </c>
      <c r="M21" s="37" t="str">
        <f>IF(NOT(ISNUMBER(tblLog[[#This Row],[Attainment]])),"",IF(tblLog[[#This Row],[Attainment]]&gt;=TargetAttain,"On target",IF(tblLog[[#This Row],[Attainment]]&gt;=TargetAttain*(1-0.05),"Near target","Below target")))</f>
        <v>On target</v>
      </c>
      <c r="N21" s="38">
        <f>IF(tblLog[[#This Row],[Date]]="","",IF(AND(tblLog[[#This Row],[Date]]&gt;=FFrom,tblLog[[#This Row],[Date]]&lt;=FTo,OR(DashLine="",tblLog[[#This Row],[Line]]=DashLine)),tblLog[[#This Row],[Date]],""))</f>
        <v>46301</v>
      </c>
      <c r="O2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1" s="40" t="s">
        <v>118</v>
      </c>
    </row>
    <row r="22" spans="2:16" x14ac:dyDescent="0.25">
      <c r="B22" s="33">
        <v>46302</v>
      </c>
      <c r="C22" s="28" t="s">
        <v>73</v>
      </c>
      <c r="D22" s="28" t="s">
        <v>80</v>
      </c>
      <c r="E22" s="34">
        <v>60</v>
      </c>
      <c r="F22" s="34">
        <v>70</v>
      </c>
      <c r="G22" s="28"/>
      <c r="H22" s="35">
        <f>IF(tblLog[[#This Row],[Date]]="","",IF(tblLog[[#This Row],[Planned (units)]]="","",MIN(tblLog[[#This Row],[Actual (units)]],tblLog[[#This Row],[Planned (units)]])))</f>
        <v>60</v>
      </c>
      <c r="I22" s="35">
        <f>IF(tblLog[[#This Row],[Date]]="","",IF(tblLog[[#This Row],[Planned (units)]]="","",MAX(0,tblLog[[#This Row],[Planned (units)]]-tblLog[[#This Row],[Actual (units)]])))</f>
        <v>0</v>
      </c>
      <c r="J22" s="35">
        <f>IF(tblLog[[#This Row],[Date]]="","",IF(tblLog[[#This Row],[Planned (units)]]="","",MAX(0,tblLog[[#This Row],[Actual (units)]]-tblLog[[#This Row],[Planned (units)]])))</f>
        <v>10</v>
      </c>
      <c r="K22" s="36">
        <f>IF(tblLog[[#This Row],[Date]]="","",IF(N(tblLog[[#This Row],[Planned (units)]])&gt;0,tblLog[[#This Row],[Credited (units)]]/tblLog[[#This Row],[Planned (units)]],""))</f>
        <v>1</v>
      </c>
      <c r="L22" s="35">
        <f>IF(tblLog[[#This Row],[Date]]="","",IF(N(tblLog[[#This Row],[Planned (units)]])&gt;0,IF(tblLog[[#This Row],[Actual (units)]]&gt;=tblLog[[#This Row],[Planned (units)]],1,0),""))</f>
        <v>1</v>
      </c>
      <c r="M22" s="37" t="str">
        <f>IF(NOT(ISNUMBER(tblLog[[#This Row],[Attainment]])),"",IF(tblLog[[#This Row],[Attainment]]&gt;=TargetAttain,"On target",IF(tblLog[[#This Row],[Attainment]]&gt;=TargetAttain*(1-0.05),"Near target","Below target")))</f>
        <v>On target</v>
      </c>
      <c r="N22" s="38">
        <f>IF(tblLog[[#This Row],[Date]]="","",IF(AND(tblLog[[#This Row],[Date]]&gt;=FFrom,tblLog[[#This Row],[Date]]&lt;=FTo,OR(DashLine="",tblLog[[#This Row],[Line]]=DashLine)),tblLog[[#This Row],[Date]],""))</f>
        <v>46302</v>
      </c>
      <c r="O2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2" s="40" t="s">
        <v>118</v>
      </c>
    </row>
    <row r="23" spans="2:16" x14ac:dyDescent="0.25">
      <c r="B23" s="33">
        <v>46302</v>
      </c>
      <c r="C23" s="28" t="s">
        <v>73</v>
      </c>
      <c r="D23" s="28" t="s">
        <v>81</v>
      </c>
      <c r="E23" s="34">
        <v>60</v>
      </c>
      <c r="F23" s="34">
        <v>56</v>
      </c>
      <c r="G23" s="28" t="s">
        <v>97</v>
      </c>
      <c r="H23" s="35">
        <f>IF(tblLog[[#This Row],[Date]]="","",IF(tblLog[[#This Row],[Planned (units)]]="","",MIN(tblLog[[#This Row],[Actual (units)]],tblLog[[#This Row],[Planned (units)]])))</f>
        <v>56</v>
      </c>
      <c r="I23" s="35">
        <f>IF(tblLog[[#This Row],[Date]]="","",IF(tblLog[[#This Row],[Planned (units)]]="","",MAX(0,tblLog[[#This Row],[Planned (units)]]-tblLog[[#This Row],[Actual (units)]])))</f>
        <v>4</v>
      </c>
      <c r="J23" s="35">
        <f>IF(tblLog[[#This Row],[Date]]="","",IF(tblLog[[#This Row],[Planned (units)]]="","",MAX(0,tblLog[[#This Row],[Actual (units)]]-tblLog[[#This Row],[Planned (units)]])))</f>
        <v>0</v>
      </c>
      <c r="K23" s="36">
        <f>IF(tblLog[[#This Row],[Date]]="","",IF(N(tblLog[[#This Row],[Planned (units)]])&gt;0,tblLog[[#This Row],[Credited (units)]]/tblLog[[#This Row],[Planned (units)]],""))</f>
        <v>0.933333333333333</v>
      </c>
      <c r="L23" s="35">
        <f>IF(tblLog[[#This Row],[Date]]="","",IF(N(tblLog[[#This Row],[Planned (units)]])&gt;0,IF(tblLog[[#This Row],[Actual (units)]]&gt;=tblLog[[#This Row],[Planned (units)]],1,0),""))</f>
        <v>0</v>
      </c>
      <c r="M23" s="37" t="str">
        <f>IF(NOT(ISNUMBER(tblLog[[#This Row],[Attainment]])),"",IF(tblLog[[#This Row],[Attainment]]&gt;=TargetAttain,"On target",IF(tblLog[[#This Row],[Attainment]]&gt;=TargetAttain*(1-0.05),"Near target","Below target")))</f>
        <v>Near target</v>
      </c>
      <c r="N23" s="38">
        <f>IF(tblLog[[#This Row],[Date]]="","",IF(AND(tblLog[[#This Row],[Date]]&gt;=FFrom,tblLog[[#This Row],[Date]]&lt;=FTo,OR(DashLine="",tblLog[[#This Row],[Line]]=DashLine)),tblLog[[#This Row],[Date]],""))</f>
        <v>46302</v>
      </c>
      <c r="O2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3" s="40" t="s">
        <v>118</v>
      </c>
    </row>
    <row r="24" spans="2:16" x14ac:dyDescent="0.25">
      <c r="B24" s="33">
        <v>46302</v>
      </c>
      <c r="C24" s="28" t="s">
        <v>73</v>
      </c>
      <c r="D24" s="28" t="s">
        <v>82</v>
      </c>
      <c r="E24" s="34">
        <v>30</v>
      </c>
      <c r="F24" s="34">
        <v>25</v>
      </c>
      <c r="G24" s="28" t="s">
        <v>93</v>
      </c>
      <c r="H24" s="35">
        <f>IF(tblLog[[#This Row],[Date]]="","",IF(tblLog[[#This Row],[Planned (units)]]="","",MIN(tblLog[[#This Row],[Actual (units)]],tblLog[[#This Row],[Planned (units)]])))</f>
        <v>25</v>
      </c>
      <c r="I24" s="35">
        <f>IF(tblLog[[#This Row],[Date]]="","",IF(tblLog[[#This Row],[Planned (units)]]="","",MAX(0,tblLog[[#This Row],[Planned (units)]]-tblLog[[#This Row],[Actual (units)]])))</f>
        <v>5</v>
      </c>
      <c r="J24" s="35">
        <f>IF(tblLog[[#This Row],[Date]]="","",IF(tblLog[[#This Row],[Planned (units)]]="","",MAX(0,tblLog[[#This Row],[Actual (units)]]-tblLog[[#This Row],[Planned (units)]])))</f>
        <v>0</v>
      </c>
      <c r="K24" s="36">
        <f>IF(tblLog[[#This Row],[Date]]="","",IF(N(tblLog[[#This Row],[Planned (units)]])&gt;0,tblLog[[#This Row],[Credited (units)]]/tblLog[[#This Row],[Planned (units)]],""))</f>
        <v>0.833333333333333</v>
      </c>
      <c r="L24" s="35">
        <f>IF(tblLog[[#This Row],[Date]]="","",IF(N(tblLog[[#This Row],[Planned (units)]])&gt;0,IF(tblLog[[#This Row],[Actual (units)]]&gt;=tblLog[[#This Row],[Planned (units)]],1,0),""))</f>
        <v>0</v>
      </c>
      <c r="M24" s="37" t="str">
        <f>IF(NOT(ISNUMBER(tblLog[[#This Row],[Attainment]])),"",IF(tblLog[[#This Row],[Attainment]]&gt;=TargetAttain,"On target",IF(tblLog[[#This Row],[Attainment]]&gt;=TargetAttain*(1-0.05),"Near target","Below target")))</f>
        <v>Below target</v>
      </c>
      <c r="N24" s="38">
        <f>IF(tblLog[[#This Row],[Date]]="","",IF(AND(tblLog[[#This Row],[Date]]&gt;=FFrom,tblLog[[#This Row],[Date]]&lt;=FTo,OR(DashLine="",tblLog[[#This Row],[Line]]=DashLine)),tblLog[[#This Row],[Date]],""))</f>
        <v>46302</v>
      </c>
      <c r="O2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4" s="40" t="s">
        <v>118</v>
      </c>
    </row>
    <row r="25" spans="2:16" x14ac:dyDescent="0.25">
      <c r="B25" s="33">
        <v>46302</v>
      </c>
      <c r="C25" s="28" t="s">
        <v>75</v>
      </c>
      <c r="D25" s="28" t="s">
        <v>83</v>
      </c>
      <c r="E25" s="34">
        <v>140</v>
      </c>
      <c r="F25" s="34">
        <v>129</v>
      </c>
      <c r="G25" s="28" t="s">
        <v>101</v>
      </c>
      <c r="H25" s="35">
        <f>IF(tblLog[[#This Row],[Date]]="","",IF(tblLog[[#This Row],[Planned (units)]]="","",MIN(tblLog[[#This Row],[Actual (units)]],tblLog[[#This Row],[Planned (units)]])))</f>
        <v>129</v>
      </c>
      <c r="I25" s="35">
        <f>IF(tblLog[[#This Row],[Date]]="","",IF(tblLog[[#This Row],[Planned (units)]]="","",MAX(0,tblLog[[#This Row],[Planned (units)]]-tblLog[[#This Row],[Actual (units)]])))</f>
        <v>11</v>
      </c>
      <c r="J25" s="35">
        <f>IF(tblLog[[#This Row],[Date]]="","",IF(tblLog[[#This Row],[Planned (units)]]="","",MAX(0,tblLog[[#This Row],[Actual (units)]]-tblLog[[#This Row],[Planned (units)]])))</f>
        <v>0</v>
      </c>
      <c r="K25" s="36">
        <f>IF(tblLog[[#This Row],[Date]]="","",IF(N(tblLog[[#This Row],[Planned (units)]])&gt;0,tblLog[[#This Row],[Credited (units)]]/tblLog[[#This Row],[Planned (units)]],""))</f>
        <v>0.921428571428571</v>
      </c>
      <c r="L25" s="35">
        <f>IF(tblLog[[#This Row],[Date]]="","",IF(N(tblLog[[#This Row],[Planned (units)]])&gt;0,IF(tblLog[[#This Row],[Actual (units)]]&gt;=tblLog[[#This Row],[Planned (units)]],1,0),""))</f>
        <v>0</v>
      </c>
      <c r="M25" s="37" t="str">
        <f>IF(NOT(ISNUMBER(tblLog[[#This Row],[Attainment]])),"",IF(tblLog[[#This Row],[Attainment]]&gt;=TargetAttain,"On target",IF(tblLog[[#This Row],[Attainment]]&gt;=TargetAttain*(1-0.05),"Near target","Below target")))</f>
        <v>Near target</v>
      </c>
      <c r="N25" s="38">
        <f>IF(tblLog[[#This Row],[Date]]="","",IF(AND(tblLog[[#This Row],[Date]]&gt;=FFrom,tblLog[[#This Row],[Date]]&lt;=FTo,OR(DashLine="",tblLog[[#This Row],[Line]]=DashLine)),tblLog[[#This Row],[Date]],""))</f>
        <v>46302</v>
      </c>
      <c r="O2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5" s="40" t="s">
        <v>118</v>
      </c>
    </row>
    <row r="26" spans="2:16" x14ac:dyDescent="0.25">
      <c r="B26" s="33">
        <v>46302</v>
      </c>
      <c r="C26" s="28" t="s">
        <v>75</v>
      </c>
      <c r="D26" s="28" t="s">
        <v>84</v>
      </c>
      <c r="E26" s="34">
        <v>140</v>
      </c>
      <c r="F26" s="34">
        <v>132</v>
      </c>
      <c r="G26" s="28" t="s">
        <v>93</v>
      </c>
      <c r="H26" s="35">
        <f>IF(tblLog[[#This Row],[Date]]="","",IF(tblLog[[#This Row],[Planned (units)]]="","",MIN(tblLog[[#This Row],[Actual (units)]],tblLog[[#This Row],[Planned (units)]])))</f>
        <v>132</v>
      </c>
      <c r="I26" s="35">
        <f>IF(tblLog[[#This Row],[Date]]="","",IF(tblLog[[#This Row],[Planned (units)]]="","",MAX(0,tblLog[[#This Row],[Planned (units)]]-tblLog[[#This Row],[Actual (units)]])))</f>
        <v>8</v>
      </c>
      <c r="J26" s="35">
        <f>IF(tblLog[[#This Row],[Date]]="","",IF(tblLog[[#This Row],[Planned (units)]]="","",MAX(0,tblLog[[#This Row],[Actual (units)]]-tblLog[[#This Row],[Planned (units)]])))</f>
        <v>0</v>
      </c>
      <c r="K26" s="36">
        <f>IF(tblLog[[#This Row],[Date]]="","",IF(N(tblLog[[#This Row],[Planned (units)]])&gt;0,tblLog[[#This Row],[Credited (units)]]/tblLog[[#This Row],[Planned (units)]],""))</f>
        <v>0.942857142857143</v>
      </c>
      <c r="L26" s="35">
        <f>IF(tblLog[[#This Row],[Date]]="","",IF(N(tblLog[[#This Row],[Planned (units)]])&gt;0,IF(tblLog[[#This Row],[Actual (units)]]&gt;=tblLog[[#This Row],[Planned (units)]],1,0),""))</f>
        <v>0</v>
      </c>
      <c r="M26" s="37" t="str">
        <f>IF(NOT(ISNUMBER(tblLog[[#This Row],[Attainment]])),"",IF(tblLog[[#This Row],[Attainment]]&gt;=TargetAttain,"On target",IF(tblLog[[#This Row],[Attainment]]&gt;=TargetAttain*(1-0.05),"Near target","Below target")))</f>
        <v>Near target</v>
      </c>
      <c r="N26" s="38">
        <f>IF(tblLog[[#This Row],[Date]]="","",IF(AND(tblLog[[#This Row],[Date]]&gt;=FFrom,tblLog[[#This Row],[Date]]&lt;=FTo,OR(DashLine="",tblLog[[#This Row],[Line]]=DashLine)),tblLog[[#This Row],[Date]],""))</f>
        <v>46302</v>
      </c>
      <c r="O2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6" s="40" t="s">
        <v>118</v>
      </c>
    </row>
    <row r="27" spans="2:16" x14ac:dyDescent="0.25">
      <c r="B27" s="33">
        <v>46302</v>
      </c>
      <c r="C27" s="28" t="s">
        <v>77</v>
      </c>
      <c r="D27" s="28" t="s">
        <v>85</v>
      </c>
      <c r="E27" s="34">
        <v>45</v>
      </c>
      <c r="F27" s="34">
        <v>41</v>
      </c>
      <c r="G27" s="28" t="s">
        <v>95</v>
      </c>
      <c r="H27" s="35">
        <f>IF(tblLog[[#This Row],[Date]]="","",IF(tblLog[[#This Row],[Planned (units)]]="","",MIN(tblLog[[#This Row],[Actual (units)]],tblLog[[#This Row],[Planned (units)]])))</f>
        <v>41</v>
      </c>
      <c r="I27" s="35">
        <f>IF(tblLog[[#This Row],[Date]]="","",IF(tblLog[[#This Row],[Planned (units)]]="","",MAX(0,tblLog[[#This Row],[Planned (units)]]-tblLog[[#This Row],[Actual (units)]])))</f>
        <v>4</v>
      </c>
      <c r="J27" s="35">
        <f>IF(tblLog[[#This Row],[Date]]="","",IF(tblLog[[#This Row],[Planned (units)]]="","",MAX(0,tblLog[[#This Row],[Actual (units)]]-tblLog[[#This Row],[Planned (units)]])))</f>
        <v>0</v>
      </c>
      <c r="K27" s="36">
        <f>IF(tblLog[[#This Row],[Date]]="","",IF(N(tblLog[[#This Row],[Planned (units)]])&gt;0,tblLog[[#This Row],[Credited (units)]]/tblLog[[#This Row],[Planned (units)]],""))</f>
        <v>0.911111111111111</v>
      </c>
      <c r="L27" s="35">
        <f>IF(tblLog[[#This Row],[Date]]="","",IF(N(tblLog[[#This Row],[Planned (units)]])&gt;0,IF(tblLog[[#This Row],[Actual (units)]]&gt;=tblLog[[#This Row],[Planned (units)]],1,0),""))</f>
        <v>0</v>
      </c>
      <c r="M27" s="37" t="str">
        <f>IF(NOT(ISNUMBER(tblLog[[#This Row],[Attainment]])),"",IF(tblLog[[#This Row],[Attainment]]&gt;=TargetAttain,"On target",IF(tblLog[[#This Row],[Attainment]]&gt;=TargetAttain*(1-0.05),"Near target","Below target")))</f>
        <v>Near target</v>
      </c>
      <c r="N27" s="38">
        <f>IF(tblLog[[#This Row],[Date]]="","",IF(AND(tblLog[[#This Row],[Date]]&gt;=FFrom,tblLog[[#This Row],[Date]]&lt;=FTo,OR(DashLine="",tblLog[[#This Row],[Line]]=DashLine)),tblLog[[#This Row],[Date]],""))</f>
        <v>46302</v>
      </c>
      <c r="O2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7" s="40" t="s">
        <v>118</v>
      </c>
    </row>
    <row r="28" spans="2:16" x14ac:dyDescent="0.25">
      <c r="B28" s="33">
        <v>46302</v>
      </c>
      <c r="C28" s="28" t="s">
        <v>77</v>
      </c>
      <c r="D28" s="28" t="s">
        <v>86</v>
      </c>
      <c r="E28" s="34">
        <v>25</v>
      </c>
      <c r="F28" s="34">
        <v>25</v>
      </c>
      <c r="G28" s="28"/>
      <c r="H28" s="35">
        <f>IF(tblLog[[#This Row],[Date]]="","",IF(tblLog[[#This Row],[Planned (units)]]="","",MIN(tblLog[[#This Row],[Actual (units)]],tblLog[[#This Row],[Planned (units)]])))</f>
        <v>25</v>
      </c>
      <c r="I28" s="35">
        <f>IF(tblLog[[#This Row],[Date]]="","",IF(tblLog[[#This Row],[Planned (units)]]="","",MAX(0,tblLog[[#This Row],[Planned (units)]]-tblLog[[#This Row],[Actual (units)]])))</f>
        <v>0</v>
      </c>
      <c r="J28" s="35">
        <f>IF(tblLog[[#This Row],[Date]]="","",IF(tblLog[[#This Row],[Planned (units)]]="","",MAX(0,tblLog[[#This Row],[Actual (units)]]-tblLog[[#This Row],[Planned (units)]])))</f>
        <v>0</v>
      </c>
      <c r="K28" s="36">
        <f>IF(tblLog[[#This Row],[Date]]="","",IF(N(tblLog[[#This Row],[Planned (units)]])&gt;0,tblLog[[#This Row],[Credited (units)]]/tblLog[[#This Row],[Planned (units)]],""))</f>
        <v>1</v>
      </c>
      <c r="L28" s="35">
        <f>IF(tblLog[[#This Row],[Date]]="","",IF(N(tblLog[[#This Row],[Planned (units)]])&gt;0,IF(tblLog[[#This Row],[Actual (units)]]&gt;=tblLog[[#This Row],[Planned (units)]],1,0),""))</f>
        <v>1</v>
      </c>
      <c r="M28" s="37" t="str">
        <f>IF(NOT(ISNUMBER(tblLog[[#This Row],[Attainment]])),"",IF(tblLog[[#This Row],[Attainment]]&gt;=TargetAttain,"On target",IF(tblLog[[#This Row],[Attainment]]&gt;=TargetAttain*(1-0.05),"Near target","Below target")))</f>
        <v>On target</v>
      </c>
      <c r="N28" s="38">
        <f>IF(tblLog[[#This Row],[Date]]="","",IF(AND(tblLog[[#This Row],[Date]]&gt;=FFrom,tblLog[[#This Row],[Date]]&lt;=FTo,OR(DashLine="",tblLog[[#This Row],[Line]]=DashLine)),tblLog[[#This Row],[Date]],""))</f>
        <v>46302</v>
      </c>
      <c r="O2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8" s="40" t="s">
        <v>118</v>
      </c>
    </row>
    <row r="29" spans="2:16" x14ac:dyDescent="0.25">
      <c r="B29" s="33">
        <v>46302</v>
      </c>
      <c r="C29" s="28" t="s">
        <v>77</v>
      </c>
      <c r="D29" s="28" t="s">
        <v>87</v>
      </c>
      <c r="E29" s="34">
        <v>80</v>
      </c>
      <c r="F29" s="34">
        <v>77</v>
      </c>
      <c r="G29" s="28" t="s">
        <v>91</v>
      </c>
      <c r="H29" s="35">
        <f>IF(tblLog[[#This Row],[Date]]="","",IF(tblLog[[#This Row],[Planned (units)]]="","",MIN(tblLog[[#This Row],[Actual (units)]],tblLog[[#This Row],[Planned (units)]])))</f>
        <v>77</v>
      </c>
      <c r="I29" s="35">
        <f>IF(tblLog[[#This Row],[Date]]="","",IF(tblLog[[#This Row],[Planned (units)]]="","",MAX(0,tblLog[[#This Row],[Planned (units)]]-tblLog[[#This Row],[Actual (units)]])))</f>
        <v>3</v>
      </c>
      <c r="J29" s="35">
        <f>IF(tblLog[[#This Row],[Date]]="","",IF(tblLog[[#This Row],[Planned (units)]]="","",MAX(0,tblLog[[#This Row],[Actual (units)]]-tblLog[[#This Row],[Planned (units)]])))</f>
        <v>0</v>
      </c>
      <c r="K29" s="36">
        <f>IF(tblLog[[#This Row],[Date]]="","",IF(N(tblLog[[#This Row],[Planned (units)]])&gt;0,tblLog[[#This Row],[Credited (units)]]/tblLog[[#This Row],[Planned (units)]],""))</f>
        <v>0.9625</v>
      </c>
      <c r="L29" s="35">
        <f>IF(tblLog[[#This Row],[Date]]="","",IF(N(tblLog[[#This Row],[Planned (units)]])&gt;0,IF(tblLog[[#This Row],[Actual (units)]]&gt;=tblLog[[#This Row],[Planned (units)]],1,0),""))</f>
        <v>0</v>
      </c>
      <c r="M29" s="37" t="str">
        <f>IF(NOT(ISNUMBER(tblLog[[#This Row],[Attainment]])),"",IF(tblLog[[#This Row],[Attainment]]&gt;=TargetAttain,"On target",IF(tblLog[[#This Row],[Attainment]]&gt;=TargetAttain*(1-0.05),"Near target","Below target")))</f>
        <v>On target</v>
      </c>
      <c r="N29" s="38">
        <f>IF(tblLog[[#This Row],[Date]]="","",IF(AND(tblLog[[#This Row],[Date]]&gt;=FFrom,tblLog[[#This Row],[Date]]&lt;=FTo,OR(DashLine="",tblLog[[#This Row],[Line]]=DashLine)),tblLog[[#This Row],[Date]],""))</f>
        <v>46302</v>
      </c>
      <c r="O2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29" s="40" t="s">
        <v>118</v>
      </c>
    </row>
    <row r="30" spans="2:16" x14ac:dyDescent="0.25">
      <c r="B30" s="33">
        <v>46303</v>
      </c>
      <c r="C30" s="28" t="s">
        <v>73</v>
      </c>
      <c r="D30" s="28" t="s">
        <v>80</v>
      </c>
      <c r="E30" s="34">
        <v>60</v>
      </c>
      <c r="F30" s="34">
        <v>72</v>
      </c>
      <c r="G30" s="28"/>
      <c r="H30" s="35">
        <f>IF(tblLog[[#This Row],[Date]]="","",IF(tblLog[[#This Row],[Planned (units)]]="","",MIN(tblLog[[#This Row],[Actual (units)]],tblLog[[#This Row],[Planned (units)]])))</f>
        <v>60</v>
      </c>
      <c r="I30" s="35">
        <f>IF(tblLog[[#This Row],[Date]]="","",IF(tblLog[[#This Row],[Planned (units)]]="","",MAX(0,tblLog[[#This Row],[Planned (units)]]-tblLog[[#This Row],[Actual (units)]])))</f>
        <v>0</v>
      </c>
      <c r="J30" s="35">
        <f>IF(tblLog[[#This Row],[Date]]="","",IF(tblLog[[#This Row],[Planned (units)]]="","",MAX(0,tblLog[[#This Row],[Actual (units)]]-tblLog[[#This Row],[Planned (units)]])))</f>
        <v>12</v>
      </c>
      <c r="K30" s="36">
        <f>IF(tblLog[[#This Row],[Date]]="","",IF(N(tblLog[[#This Row],[Planned (units)]])&gt;0,tblLog[[#This Row],[Credited (units)]]/tblLog[[#This Row],[Planned (units)]],""))</f>
        <v>1</v>
      </c>
      <c r="L30" s="35">
        <f>IF(tblLog[[#This Row],[Date]]="","",IF(N(tblLog[[#This Row],[Planned (units)]])&gt;0,IF(tblLog[[#This Row],[Actual (units)]]&gt;=tblLog[[#This Row],[Planned (units)]],1,0),""))</f>
        <v>1</v>
      </c>
      <c r="M30" s="37" t="str">
        <f>IF(NOT(ISNUMBER(tblLog[[#This Row],[Attainment]])),"",IF(tblLog[[#This Row],[Attainment]]&gt;=TargetAttain,"On target",IF(tblLog[[#This Row],[Attainment]]&gt;=TargetAttain*(1-0.05),"Near target","Below target")))</f>
        <v>On target</v>
      </c>
      <c r="N30" s="38">
        <f>IF(tblLog[[#This Row],[Date]]="","",IF(AND(tblLog[[#This Row],[Date]]&gt;=FFrom,tblLog[[#This Row],[Date]]&lt;=FTo,OR(DashLine="",tblLog[[#This Row],[Line]]=DashLine)),tblLog[[#This Row],[Date]],""))</f>
        <v>46303</v>
      </c>
      <c r="O3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0" s="40" t="s">
        <v>118</v>
      </c>
    </row>
    <row r="31" spans="2:16" x14ac:dyDescent="0.25">
      <c r="B31" s="33">
        <v>46303</v>
      </c>
      <c r="C31" s="28" t="s">
        <v>73</v>
      </c>
      <c r="D31" s="28" t="s">
        <v>81</v>
      </c>
      <c r="E31" s="34">
        <v>60</v>
      </c>
      <c r="F31" s="34">
        <v>62</v>
      </c>
      <c r="G31" s="28"/>
      <c r="H31" s="35">
        <f>IF(tblLog[[#This Row],[Date]]="","",IF(tblLog[[#This Row],[Planned (units)]]="","",MIN(tblLog[[#This Row],[Actual (units)]],tblLog[[#This Row],[Planned (units)]])))</f>
        <v>60</v>
      </c>
      <c r="I31" s="35">
        <f>IF(tblLog[[#This Row],[Date]]="","",IF(tblLog[[#This Row],[Planned (units)]]="","",MAX(0,tblLog[[#This Row],[Planned (units)]]-tblLog[[#This Row],[Actual (units)]])))</f>
        <v>0</v>
      </c>
      <c r="J31" s="35">
        <f>IF(tblLog[[#This Row],[Date]]="","",IF(tblLog[[#This Row],[Planned (units)]]="","",MAX(0,tblLog[[#This Row],[Actual (units)]]-tblLog[[#This Row],[Planned (units)]])))</f>
        <v>2</v>
      </c>
      <c r="K31" s="36">
        <f>IF(tblLog[[#This Row],[Date]]="","",IF(N(tblLog[[#This Row],[Planned (units)]])&gt;0,tblLog[[#This Row],[Credited (units)]]/tblLog[[#This Row],[Planned (units)]],""))</f>
        <v>1</v>
      </c>
      <c r="L31" s="35">
        <f>IF(tblLog[[#This Row],[Date]]="","",IF(N(tblLog[[#This Row],[Planned (units)]])&gt;0,IF(tblLog[[#This Row],[Actual (units)]]&gt;=tblLog[[#This Row],[Planned (units)]],1,0),""))</f>
        <v>1</v>
      </c>
      <c r="M31" s="37" t="str">
        <f>IF(NOT(ISNUMBER(tblLog[[#This Row],[Attainment]])),"",IF(tblLog[[#This Row],[Attainment]]&gt;=TargetAttain,"On target",IF(tblLog[[#This Row],[Attainment]]&gt;=TargetAttain*(1-0.05),"Near target","Below target")))</f>
        <v>On target</v>
      </c>
      <c r="N31" s="38">
        <f>IF(tblLog[[#This Row],[Date]]="","",IF(AND(tblLog[[#This Row],[Date]]&gt;=FFrom,tblLog[[#This Row],[Date]]&lt;=FTo,OR(DashLine="",tblLog[[#This Row],[Line]]=DashLine)),tblLog[[#This Row],[Date]],""))</f>
        <v>46303</v>
      </c>
      <c r="O3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1" s="40" t="s">
        <v>118</v>
      </c>
    </row>
    <row r="32" spans="2:16" x14ac:dyDescent="0.25">
      <c r="B32" s="33">
        <v>46303</v>
      </c>
      <c r="C32" s="28" t="s">
        <v>73</v>
      </c>
      <c r="D32" s="28" t="s">
        <v>82</v>
      </c>
      <c r="E32" s="34">
        <v>30</v>
      </c>
      <c r="F32" s="34">
        <v>26</v>
      </c>
      <c r="G32" s="28" t="s">
        <v>93</v>
      </c>
      <c r="H32" s="35">
        <f>IF(tblLog[[#This Row],[Date]]="","",IF(tblLog[[#This Row],[Planned (units)]]="","",MIN(tblLog[[#This Row],[Actual (units)]],tblLog[[#This Row],[Planned (units)]])))</f>
        <v>26</v>
      </c>
      <c r="I32" s="35">
        <f>IF(tblLog[[#This Row],[Date]]="","",IF(tblLog[[#This Row],[Planned (units)]]="","",MAX(0,tblLog[[#This Row],[Planned (units)]]-tblLog[[#This Row],[Actual (units)]])))</f>
        <v>4</v>
      </c>
      <c r="J32" s="35">
        <f>IF(tblLog[[#This Row],[Date]]="","",IF(tblLog[[#This Row],[Planned (units)]]="","",MAX(0,tblLog[[#This Row],[Actual (units)]]-tblLog[[#This Row],[Planned (units)]])))</f>
        <v>0</v>
      </c>
      <c r="K32" s="36">
        <f>IF(tblLog[[#This Row],[Date]]="","",IF(N(tblLog[[#This Row],[Planned (units)]])&gt;0,tblLog[[#This Row],[Credited (units)]]/tblLog[[#This Row],[Planned (units)]],""))</f>
        <v>0.866666666666667</v>
      </c>
      <c r="L32" s="35">
        <f>IF(tblLog[[#This Row],[Date]]="","",IF(N(tblLog[[#This Row],[Planned (units)]])&gt;0,IF(tblLog[[#This Row],[Actual (units)]]&gt;=tblLog[[#This Row],[Planned (units)]],1,0),""))</f>
        <v>0</v>
      </c>
      <c r="M32" s="37" t="str">
        <f>IF(NOT(ISNUMBER(tblLog[[#This Row],[Attainment]])),"",IF(tblLog[[#This Row],[Attainment]]&gt;=TargetAttain,"On target",IF(tblLog[[#This Row],[Attainment]]&gt;=TargetAttain*(1-0.05),"Near target","Below target")))</f>
        <v>Below target</v>
      </c>
      <c r="N32" s="38">
        <f>IF(tblLog[[#This Row],[Date]]="","",IF(AND(tblLog[[#This Row],[Date]]&gt;=FFrom,tblLog[[#This Row],[Date]]&lt;=FTo,OR(DashLine="",tblLog[[#This Row],[Line]]=DashLine)),tblLog[[#This Row],[Date]],""))</f>
        <v>46303</v>
      </c>
      <c r="O3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2" s="40" t="s">
        <v>118</v>
      </c>
    </row>
    <row r="33" spans="2:16" x14ac:dyDescent="0.25">
      <c r="B33" s="33">
        <v>46303</v>
      </c>
      <c r="C33" s="28" t="s">
        <v>75</v>
      </c>
      <c r="D33" s="28" t="s">
        <v>83</v>
      </c>
      <c r="E33" s="34">
        <v>140</v>
      </c>
      <c r="F33" s="34">
        <v>141</v>
      </c>
      <c r="G33" s="28"/>
      <c r="H33" s="35">
        <f>IF(tblLog[[#This Row],[Date]]="","",IF(tblLog[[#This Row],[Planned (units)]]="","",MIN(tblLog[[#This Row],[Actual (units)]],tblLog[[#This Row],[Planned (units)]])))</f>
        <v>140</v>
      </c>
      <c r="I33" s="35">
        <f>IF(tblLog[[#This Row],[Date]]="","",IF(tblLog[[#This Row],[Planned (units)]]="","",MAX(0,tblLog[[#This Row],[Planned (units)]]-tblLog[[#This Row],[Actual (units)]])))</f>
        <v>0</v>
      </c>
      <c r="J33" s="35">
        <f>IF(tblLog[[#This Row],[Date]]="","",IF(tblLog[[#This Row],[Planned (units)]]="","",MAX(0,tblLog[[#This Row],[Actual (units)]]-tblLog[[#This Row],[Planned (units)]])))</f>
        <v>1</v>
      </c>
      <c r="K33" s="36">
        <f>IF(tblLog[[#This Row],[Date]]="","",IF(N(tblLog[[#This Row],[Planned (units)]])&gt;0,tblLog[[#This Row],[Credited (units)]]/tblLog[[#This Row],[Planned (units)]],""))</f>
        <v>1</v>
      </c>
      <c r="L33" s="35">
        <f>IF(tblLog[[#This Row],[Date]]="","",IF(N(tblLog[[#This Row],[Planned (units)]])&gt;0,IF(tblLog[[#This Row],[Actual (units)]]&gt;=tblLog[[#This Row],[Planned (units)]],1,0),""))</f>
        <v>1</v>
      </c>
      <c r="M33" s="37" t="str">
        <f>IF(NOT(ISNUMBER(tblLog[[#This Row],[Attainment]])),"",IF(tblLog[[#This Row],[Attainment]]&gt;=TargetAttain,"On target",IF(tblLog[[#This Row],[Attainment]]&gt;=TargetAttain*(1-0.05),"Near target","Below target")))</f>
        <v>On target</v>
      </c>
      <c r="N33" s="38">
        <f>IF(tblLog[[#This Row],[Date]]="","",IF(AND(tblLog[[#This Row],[Date]]&gt;=FFrom,tblLog[[#This Row],[Date]]&lt;=FTo,OR(DashLine="",tblLog[[#This Row],[Line]]=DashLine)),tblLog[[#This Row],[Date]],""))</f>
        <v>46303</v>
      </c>
      <c r="O3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3" s="40" t="s">
        <v>118</v>
      </c>
    </row>
    <row r="34" spans="2:16" x14ac:dyDescent="0.25">
      <c r="B34" s="33">
        <v>46303</v>
      </c>
      <c r="C34" s="28" t="s">
        <v>75</v>
      </c>
      <c r="D34" s="28" t="s">
        <v>84</v>
      </c>
      <c r="E34" s="34">
        <v>140</v>
      </c>
      <c r="F34" s="34">
        <v>145</v>
      </c>
      <c r="G34" s="28"/>
      <c r="H34" s="35">
        <f>IF(tblLog[[#This Row],[Date]]="","",IF(tblLog[[#This Row],[Planned (units)]]="","",MIN(tblLog[[#This Row],[Actual (units)]],tblLog[[#This Row],[Planned (units)]])))</f>
        <v>140</v>
      </c>
      <c r="I34" s="35">
        <f>IF(tblLog[[#This Row],[Date]]="","",IF(tblLog[[#This Row],[Planned (units)]]="","",MAX(0,tblLog[[#This Row],[Planned (units)]]-tblLog[[#This Row],[Actual (units)]])))</f>
        <v>0</v>
      </c>
      <c r="J34" s="35">
        <f>IF(tblLog[[#This Row],[Date]]="","",IF(tblLog[[#This Row],[Planned (units)]]="","",MAX(0,tblLog[[#This Row],[Actual (units)]]-tblLog[[#This Row],[Planned (units)]])))</f>
        <v>5</v>
      </c>
      <c r="K34" s="36">
        <f>IF(tblLog[[#This Row],[Date]]="","",IF(N(tblLog[[#This Row],[Planned (units)]])&gt;0,tblLog[[#This Row],[Credited (units)]]/tblLog[[#This Row],[Planned (units)]],""))</f>
        <v>1</v>
      </c>
      <c r="L34" s="35">
        <f>IF(tblLog[[#This Row],[Date]]="","",IF(N(tblLog[[#This Row],[Planned (units)]])&gt;0,IF(tblLog[[#This Row],[Actual (units)]]&gt;=tblLog[[#This Row],[Planned (units)]],1,0),""))</f>
        <v>1</v>
      </c>
      <c r="M34" s="37" t="str">
        <f>IF(NOT(ISNUMBER(tblLog[[#This Row],[Attainment]])),"",IF(tblLog[[#This Row],[Attainment]]&gt;=TargetAttain,"On target",IF(tblLog[[#This Row],[Attainment]]&gt;=TargetAttain*(1-0.05),"Near target","Below target")))</f>
        <v>On target</v>
      </c>
      <c r="N34" s="38">
        <f>IF(tblLog[[#This Row],[Date]]="","",IF(AND(tblLog[[#This Row],[Date]]&gt;=FFrom,tblLog[[#This Row],[Date]]&lt;=FTo,OR(DashLine="",tblLog[[#This Row],[Line]]=DashLine)),tblLog[[#This Row],[Date]],""))</f>
        <v>46303</v>
      </c>
      <c r="O3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4" s="40" t="s">
        <v>118</v>
      </c>
    </row>
    <row r="35" spans="2:16" x14ac:dyDescent="0.25">
      <c r="B35" s="33">
        <v>46303</v>
      </c>
      <c r="C35" s="28" t="s">
        <v>77</v>
      </c>
      <c r="D35" s="28" t="s">
        <v>85</v>
      </c>
      <c r="E35" s="34">
        <v>45</v>
      </c>
      <c r="F35" s="34">
        <v>16</v>
      </c>
      <c r="G35" s="28" t="s">
        <v>89</v>
      </c>
      <c r="H35" s="35">
        <f>IF(tblLog[[#This Row],[Date]]="","",IF(tblLog[[#This Row],[Planned (units)]]="","",MIN(tblLog[[#This Row],[Actual (units)]],tblLog[[#This Row],[Planned (units)]])))</f>
        <v>16</v>
      </c>
      <c r="I35" s="35">
        <f>IF(tblLog[[#This Row],[Date]]="","",IF(tblLog[[#This Row],[Planned (units)]]="","",MAX(0,tblLog[[#This Row],[Planned (units)]]-tblLog[[#This Row],[Actual (units)]])))</f>
        <v>29</v>
      </c>
      <c r="J35" s="35">
        <f>IF(tblLog[[#This Row],[Date]]="","",IF(tblLog[[#This Row],[Planned (units)]]="","",MAX(0,tblLog[[#This Row],[Actual (units)]]-tblLog[[#This Row],[Planned (units)]])))</f>
        <v>0</v>
      </c>
      <c r="K35" s="36">
        <f>IF(tblLog[[#This Row],[Date]]="","",IF(N(tblLog[[#This Row],[Planned (units)]])&gt;0,tblLog[[#This Row],[Credited (units)]]/tblLog[[#This Row],[Planned (units)]],""))</f>
        <v>0.355555555555556</v>
      </c>
      <c r="L35" s="35">
        <f>IF(tblLog[[#This Row],[Date]]="","",IF(N(tblLog[[#This Row],[Planned (units)]])&gt;0,IF(tblLog[[#This Row],[Actual (units)]]&gt;=tblLog[[#This Row],[Planned (units)]],1,0),""))</f>
        <v>0</v>
      </c>
      <c r="M35" s="37" t="str">
        <f>IF(NOT(ISNUMBER(tblLog[[#This Row],[Attainment]])),"",IF(tblLog[[#This Row],[Attainment]]&gt;=TargetAttain,"On target",IF(tblLog[[#This Row],[Attainment]]&gt;=TargetAttain*(1-0.05),"Near target","Below target")))</f>
        <v>Below target</v>
      </c>
      <c r="N35" s="38">
        <f>IF(tblLog[[#This Row],[Date]]="","",IF(AND(tblLog[[#This Row],[Date]]&gt;=FFrom,tblLog[[#This Row],[Date]]&lt;=FTo,OR(DashLine="",tblLog[[#This Row],[Line]]=DashLine)),tblLog[[#This Row],[Date]],""))</f>
        <v>46303</v>
      </c>
      <c r="O3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5" s="40" t="s">
        <v>119</v>
      </c>
    </row>
    <row r="36" spans="2:16" x14ac:dyDescent="0.25">
      <c r="B36" s="33">
        <v>46303</v>
      </c>
      <c r="C36" s="28" t="s">
        <v>77</v>
      </c>
      <c r="D36" s="28" t="s">
        <v>86</v>
      </c>
      <c r="E36" s="34">
        <v>25</v>
      </c>
      <c r="F36" s="34">
        <v>15</v>
      </c>
      <c r="G36" s="28" t="s">
        <v>89</v>
      </c>
      <c r="H36" s="35">
        <f>IF(tblLog[[#This Row],[Date]]="","",IF(tblLog[[#This Row],[Planned (units)]]="","",MIN(tblLog[[#This Row],[Actual (units)]],tblLog[[#This Row],[Planned (units)]])))</f>
        <v>15</v>
      </c>
      <c r="I36" s="35">
        <f>IF(tblLog[[#This Row],[Date]]="","",IF(tblLog[[#This Row],[Planned (units)]]="","",MAX(0,tblLog[[#This Row],[Planned (units)]]-tblLog[[#This Row],[Actual (units)]])))</f>
        <v>10</v>
      </c>
      <c r="J36" s="35">
        <f>IF(tblLog[[#This Row],[Date]]="","",IF(tblLog[[#This Row],[Planned (units)]]="","",MAX(0,tblLog[[#This Row],[Actual (units)]]-tblLog[[#This Row],[Planned (units)]])))</f>
        <v>0</v>
      </c>
      <c r="K36" s="36">
        <f>IF(tblLog[[#This Row],[Date]]="","",IF(N(tblLog[[#This Row],[Planned (units)]])&gt;0,tblLog[[#This Row],[Credited (units)]]/tblLog[[#This Row],[Planned (units)]],""))</f>
        <v>0.6</v>
      </c>
      <c r="L36" s="35">
        <f>IF(tblLog[[#This Row],[Date]]="","",IF(N(tblLog[[#This Row],[Planned (units)]])&gt;0,IF(tblLog[[#This Row],[Actual (units)]]&gt;=tblLog[[#This Row],[Planned (units)]],1,0),""))</f>
        <v>0</v>
      </c>
      <c r="M36" s="37" t="str">
        <f>IF(NOT(ISNUMBER(tblLog[[#This Row],[Attainment]])),"",IF(tblLog[[#This Row],[Attainment]]&gt;=TargetAttain,"On target",IF(tblLog[[#This Row],[Attainment]]&gt;=TargetAttain*(1-0.05),"Near target","Below target")))</f>
        <v>Below target</v>
      </c>
      <c r="N36" s="38">
        <f>IF(tblLog[[#This Row],[Date]]="","",IF(AND(tblLog[[#This Row],[Date]]&gt;=FFrom,tblLog[[#This Row],[Date]]&lt;=FTo,OR(DashLine="",tblLog[[#This Row],[Line]]=DashLine)),tblLog[[#This Row],[Date]],""))</f>
        <v>46303</v>
      </c>
      <c r="O3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6" s="40" t="s">
        <v>119</v>
      </c>
    </row>
    <row r="37" spans="2:16" x14ac:dyDescent="0.25">
      <c r="B37" s="33">
        <v>46303</v>
      </c>
      <c r="C37" s="28" t="s">
        <v>77</v>
      </c>
      <c r="D37" s="28" t="s">
        <v>87</v>
      </c>
      <c r="E37" s="34">
        <v>80</v>
      </c>
      <c r="F37" s="34">
        <v>75</v>
      </c>
      <c r="G37" s="28" t="s">
        <v>95</v>
      </c>
      <c r="H37" s="35">
        <f>IF(tblLog[[#This Row],[Date]]="","",IF(tblLog[[#This Row],[Planned (units)]]="","",MIN(tblLog[[#This Row],[Actual (units)]],tblLog[[#This Row],[Planned (units)]])))</f>
        <v>75</v>
      </c>
      <c r="I37" s="35">
        <f>IF(tblLog[[#This Row],[Date]]="","",IF(tblLog[[#This Row],[Planned (units)]]="","",MAX(0,tblLog[[#This Row],[Planned (units)]]-tblLog[[#This Row],[Actual (units)]])))</f>
        <v>5</v>
      </c>
      <c r="J37" s="35">
        <f>IF(tblLog[[#This Row],[Date]]="","",IF(tblLog[[#This Row],[Planned (units)]]="","",MAX(0,tblLog[[#This Row],[Actual (units)]]-tblLog[[#This Row],[Planned (units)]])))</f>
        <v>0</v>
      </c>
      <c r="K37" s="36">
        <f>IF(tblLog[[#This Row],[Date]]="","",IF(N(tblLog[[#This Row],[Planned (units)]])&gt;0,tblLog[[#This Row],[Credited (units)]]/tblLog[[#This Row],[Planned (units)]],""))</f>
        <v>0.9375</v>
      </c>
      <c r="L37" s="35">
        <f>IF(tblLog[[#This Row],[Date]]="","",IF(N(tblLog[[#This Row],[Planned (units)]])&gt;0,IF(tblLog[[#This Row],[Actual (units)]]&gt;=tblLog[[#This Row],[Planned (units)]],1,0),""))</f>
        <v>0</v>
      </c>
      <c r="M37" s="37" t="str">
        <f>IF(NOT(ISNUMBER(tblLog[[#This Row],[Attainment]])),"",IF(tblLog[[#This Row],[Attainment]]&gt;=TargetAttain,"On target",IF(tblLog[[#This Row],[Attainment]]&gt;=TargetAttain*(1-0.05),"Near target","Below target")))</f>
        <v>Near target</v>
      </c>
      <c r="N37" s="38">
        <f>IF(tblLog[[#This Row],[Date]]="","",IF(AND(tblLog[[#This Row],[Date]]&gt;=FFrom,tblLog[[#This Row],[Date]]&lt;=FTo,OR(DashLine="",tblLog[[#This Row],[Line]]=DashLine)),tblLog[[#This Row],[Date]],""))</f>
        <v>46303</v>
      </c>
      <c r="O3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7" s="40" t="s">
        <v>118</v>
      </c>
    </row>
    <row r="38" spans="2:16" x14ac:dyDescent="0.25">
      <c r="B38" s="33">
        <v>46304</v>
      </c>
      <c r="C38" s="28" t="s">
        <v>73</v>
      </c>
      <c r="D38" s="28" t="s">
        <v>80</v>
      </c>
      <c r="E38" s="34">
        <v>60</v>
      </c>
      <c r="F38" s="34">
        <v>67</v>
      </c>
      <c r="G38" s="28"/>
      <c r="H38" s="35">
        <f>IF(tblLog[[#This Row],[Date]]="","",IF(tblLog[[#This Row],[Planned (units)]]="","",MIN(tblLog[[#This Row],[Actual (units)]],tblLog[[#This Row],[Planned (units)]])))</f>
        <v>60</v>
      </c>
      <c r="I38" s="35">
        <f>IF(tblLog[[#This Row],[Date]]="","",IF(tblLog[[#This Row],[Planned (units)]]="","",MAX(0,tblLog[[#This Row],[Planned (units)]]-tblLog[[#This Row],[Actual (units)]])))</f>
        <v>0</v>
      </c>
      <c r="J38" s="35">
        <f>IF(tblLog[[#This Row],[Date]]="","",IF(tblLog[[#This Row],[Planned (units)]]="","",MAX(0,tblLog[[#This Row],[Actual (units)]]-tblLog[[#This Row],[Planned (units)]])))</f>
        <v>7</v>
      </c>
      <c r="K38" s="36">
        <f>IF(tblLog[[#This Row],[Date]]="","",IF(N(tblLog[[#This Row],[Planned (units)]])&gt;0,tblLog[[#This Row],[Credited (units)]]/tblLog[[#This Row],[Planned (units)]],""))</f>
        <v>1</v>
      </c>
      <c r="L38" s="35">
        <f>IF(tblLog[[#This Row],[Date]]="","",IF(N(tblLog[[#This Row],[Planned (units)]])&gt;0,IF(tblLog[[#This Row],[Actual (units)]]&gt;=tblLog[[#This Row],[Planned (units)]],1,0),""))</f>
        <v>1</v>
      </c>
      <c r="M38" s="37" t="str">
        <f>IF(NOT(ISNUMBER(tblLog[[#This Row],[Attainment]])),"",IF(tblLog[[#This Row],[Attainment]]&gt;=TargetAttain,"On target",IF(tblLog[[#This Row],[Attainment]]&gt;=TargetAttain*(1-0.05),"Near target","Below target")))</f>
        <v>On target</v>
      </c>
      <c r="N38" s="38">
        <f>IF(tblLog[[#This Row],[Date]]="","",IF(AND(tblLog[[#This Row],[Date]]&gt;=FFrom,tblLog[[#This Row],[Date]]&lt;=FTo,OR(DashLine="",tblLog[[#This Row],[Line]]=DashLine)),tblLog[[#This Row],[Date]],""))</f>
        <v>46304</v>
      </c>
      <c r="O3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8" s="40" t="s">
        <v>118</v>
      </c>
    </row>
    <row r="39" spans="2:16" x14ac:dyDescent="0.25">
      <c r="B39" s="33">
        <v>46304</v>
      </c>
      <c r="C39" s="28" t="s">
        <v>73</v>
      </c>
      <c r="D39" s="28" t="s">
        <v>81</v>
      </c>
      <c r="E39" s="34">
        <v>60</v>
      </c>
      <c r="F39" s="34">
        <v>57</v>
      </c>
      <c r="G39" s="28" t="s">
        <v>91</v>
      </c>
      <c r="H39" s="35">
        <f>IF(tblLog[[#This Row],[Date]]="","",IF(tblLog[[#This Row],[Planned (units)]]="","",MIN(tblLog[[#This Row],[Actual (units)]],tblLog[[#This Row],[Planned (units)]])))</f>
        <v>57</v>
      </c>
      <c r="I39" s="35">
        <f>IF(tblLog[[#This Row],[Date]]="","",IF(tblLog[[#This Row],[Planned (units)]]="","",MAX(0,tblLog[[#This Row],[Planned (units)]]-tblLog[[#This Row],[Actual (units)]])))</f>
        <v>3</v>
      </c>
      <c r="J39" s="35">
        <f>IF(tblLog[[#This Row],[Date]]="","",IF(tblLog[[#This Row],[Planned (units)]]="","",MAX(0,tblLog[[#This Row],[Actual (units)]]-tblLog[[#This Row],[Planned (units)]])))</f>
        <v>0</v>
      </c>
      <c r="K39" s="36">
        <f>IF(tblLog[[#This Row],[Date]]="","",IF(N(tblLog[[#This Row],[Planned (units)]])&gt;0,tblLog[[#This Row],[Credited (units)]]/tblLog[[#This Row],[Planned (units)]],""))</f>
        <v>0.95</v>
      </c>
      <c r="L39" s="35">
        <f>IF(tblLog[[#This Row],[Date]]="","",IF(N(tblLog[[#This Row],[Planned (units)]])&gt;0,IF(tblLog[[#This Row],[Actual (units)]]&gt;=tblLog[[#This Row],[Planned (units)]],1,0),""))</f>
        <v>0</v>
      </c>
      <c r="M39" s="37" t="str">
        <f>IF(NOT(ISNUMBER(tblLog[[#This Row],[Attainment]])),"",IF(tblLog[[#This Row],[Attainment]]&gt;=TargetAttain,"On target",IF(tblLog[[#This Row],[Attainment]]&gt;=TargetAttain*(1-0.05),"Near target","Below target")))</f>
        <v>On target</v>
      </c>
      <c r="N39" s="38">
        <f>IF(tblLog[[#This Row],[Date]]="","",IF(AND(tblLog[[#This Row],[Date]]&gt;=FFrom,tblLog[[#This Row],[Date]]&lt;=FTo,OR(DashLine="",tblLog[[#This Row],[Line]]=DashLine)),tblLog[[#This Row],[Date]],""))</f>
        <v>46304</v>
      </c>
      <c r="O3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39" s="40" t="s">
        <v>118</v>
      </c>
    </row>
    <row r="40" spans="2:16" x14ac:dyDescent="0.25">
      <c r="B40" s="33">
        <v>46304</v>
      </c>
      <c r="C40" s="28" t="s">
        <v>73</v>
      </c>
      <c r="D40" s="28" t="s">
        <v>82</v>
      </c>
      <c r="E40" s="34">
        <v>30</v>
      </c>
      <c r="F40" s="34">
        <v>25</v>
      </c>
      <c r="G40" s="28" t="s">
        <v>93</v>
      </c>
      <c r="H40" s="35">
        <f>IF(tblLog[[#This Row],[Date]]="","",IF(tblLog[[#This Row],[Planned (units)]]="","",MIN(tblLog[[#This Row],[Actual (units)]],tblLog[[#This Row],[Planned (units)]])))</f>
        <v>25</v>
      </c>
      <c r="I40" s="35">
        <f>IF(tblLog[[#This Row],[Date]]="","",IF(tblLog[[#This Row],[Planned (units)]]="","",MAX(0,tblLog[[#This Row],[Planned (units)]]-tblLog[[#This Row],[Actual (units)]])))</f>
        <v>5</v>
      </c>
      <c r="J40" s="35">
        <f>IF(tblLog[[#This Row],[Date]]="","",IF(tblLog[[#This Row],[Planned (units)]]="","",MAX(0,tblLog[[#This Row],[Actual (units)]]-tblLog[[#This Row],[Planned (units)]])))</f>
        <v>0</v>
      </c>
      <c r="K40" s="36">
        <f>IF(tblLog[[#This Row],[Date]]="","",IF(N(tblLog[[#This Row],[Planned (units)]])&gt;0,tblLog[[#This Row],[Credited (units)]]/tblLog[[#This Row],[Planned (units)]],""))</f>
        <v>0.833333333333333</v>
      </c>
      <c r="L40" s="35">
        <f>IF(tblLog[[#This Row],[Date]]="","",IF(N(tblLog[[#This Row],[Planned (units)]])&gt;0,IF(tblLog[[#This Row],[Actual (units)]]&gt;=tblLog[[#This Row],[Planned (units)]],1,0),""))</f>
        <v>0</v>
      </c>
      <c r="M40" s="37" t="str">
        <f>IF(NOT(ISNUMBER(tblLog[[#This Row],[Attainment]])),"",IF(tblLog[[#This Row],[Attainment]]&gt;=TargetAttain,"On target",IF(tblLog[[#This Row],[Attainment]]&gt;=TargetAttain*(1-0.05),"Near target","Below target")))</f>
        <v>Below target</v>
      </c>
      <c r="N40" s="38">
        <f>IF(tblLog[[#This Row],[Date]]="","",IF(AND(tblLog[[#This Row],[Date]]&gt;=FFrom,tblLog[[#This Row],[Date]]&lt;=FTo,OR(DashLine="",tblLog[[#This Row],[Line]]=DashLine)),tblLog[[#This Row],[Date]],""))</f>
        <v>46304</v>
      </c>
      <c r="O4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0" s="40" t="s">
        <v>118</v>
      </c>
    </row>
    <row r="41" spans="2:16" x14ac:dyDescent="0.25">
      <c r="B41" s="33">
        <v>46304</v>
      </c>
      <c r="C41" s="28" t="s">
        <v>75</v>
      </c>
      <c r="D41" s="28" t="s">
        <v>83</v>
      </c>
      <c r="E41" s="34">
        <v>140</v>
      </c>
      <c r="F41" s="34">
        <v>126</v>
      </c>
      <c r="G41" s="28" t="s">
        <v>91</v>
      </c>
      <c r="H41" s="35">
        <f>IF(tblLog[[#This Row],[Date]]="","",IF(tblLog[[#This Row],[Planned (units)]]="","",MIN(tblLog[[#This Row],[Actual (units)]],tblLog[[#This Row],[Planned (units)]])))</f>
        <v>126</v>
      </c>
      <c r="I41" s="35">
        <f>IF(tblLog[[#This Row],[Date]]="","",IF(tblLog[[#This Row],[Planned (units)]]="","",MAX(0,tblLog[[#This Row],[Planned (units)]]-tblLog[[#This Row],[Actual (units)]])))</f>
        <v>14</v>
      </c>
      <c r="J41" s="35">
        <f>IF(tblLog[[#This Row],[Date]]="","",IF(tblLog[[#This Row],[Planned (units)]]="","",MAX(0,tblLog[[#This Row],[Actual (units)]]-tblLog[[#This Row],[Planned (units)]])))</f>
        <v>0</v>
      </c>
      <c r="K41" s="36">
        <f>IF(tblLog[[#This Row],[Date]]="","",IF(N(tblLog[[#This Row],[Planned (units)]])&gt;0,tblLog[[#This Row],[Credited (units)]]/tblLog[[#This Row],[Planned (units)]],""))</f>
        <v>0.9</v>
      </c>
      <c r="L41" s="35">
        <f>IF(tblLog[[#This Row],[Date]]="","",IF(N(tblLog[[#This Row],[Planned (units)]])&gt;0,IF(tblLog[[#This Row],[Actual (units)]]&gt;=tblLog[[#This Row],[Planned (units)]],1,0),""))</f>
        <v>0</v>
      </c>
      <c r="M41" s="37" t="str">
        <f>IF(NOT(ISNUMBER(tblLog[[#This Row],[Attainment]])),"",IF(tblLog[[#This Row],[Attainment]]&gt;=TargetAttain,"On target",IF(tblLog[[#This Row],[Attainment]]&gt;=TargetAttain*(1-0.05),"Near target","Below target")))</f>
        <v>Below target</v>
      </c>
      <c r="N41" s="38">
        <f>IF(tblLog[[#This Row],[Date]]="","",IF(AND(tblLog[[#This Row],[Date]]&gt;=FFrom,tblLog[[#This Row],[Date]]&lt;=FTo,OR(DashLine="",tblLog[[#This Row],[Line]]=DashLine)),tblLog[[#This Row],[Date]],""))</f>
        <v>46304</v>
      </c>
      <c r="O4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1" s="40" t="s">
        <v>118</v>
      </c>
    </row>
    <row r="42" spans="2:16" x14ac:dyDescent="0.25">
      <c r="B42" s="33">
        <v>46304</v>
      </c>
      <c r="C42" s="28" t="s">
        <v>75</v>
      </c>
      <c r="D42" s="28" t="s">
        <v>84</v>
      </c>
      <c r="E42" s="34">
        <v>140</v>
      </c>
      <c r="F42" s="34">
        <v>133</v>
      </c>
      <c r="G42" s="28" t="s">
        <v>93</v>
      </c>
      <c r="H42" s="35">
        <f>IF(tblLog[[#This Row],[Date]]="","",IF(tblLog[[#This Row],[Planned (units)]]="","",MIN(tblLog[[#This Row],[Actual (units)]],tblLog[[#This Row],[Planned (units)]])))</f>
        <v>133</v>
      </c>
      <c r="I42" s="35">
        <f>IF(tblLog[[#This Row],[Date]]="","",IF(tblLog[[#This Row],[Planned (units)]]="","",MAX(0,tblLog[[#This Row],[Planned (units)]]-tblLog[[#This Row],[Actual (units)]])))</f>
        <v>7</v>
      </c>
      <c r="J42" s="35">
        <f>IF(tblLog[[#This Row],[Date]]="","",IF(tblLog[[#This Row],[Planned (units)]]="","",MAX(0,tblLog[[#This Row],[Actual (units)]]-tblLog[[#This Row],[Planned (units)]])))</f>
        <v>0</v>
      </c>
      <c r="K42" s="36">
        <f>IF(tblLog[[#This Row],[Date]]="","",IF(N(tblLog[[#This Row],[Planned (units)]])&gt;0,tblLog[[#This Row],[Credited (units)]]/tblLog[[#This Row],[Planned (units)]],""))</f>
        <v>0.95</v>
      </c>
      <c r="L42" s="35">
        <f>IF(tblLog[[#This Row],[Date]]="","",IF(N(tblLog[[#This Row],[Planned (units)]])&gt;0,IF(tblLog[[#This Row],[Actual (units)]]&gt;=tblLog[[#This Row],[Planned (units)]],1,0),""))</f>
        <v>0</v>
      </c>
      <c r="M42" s="37" t="str">
        <f>IF(NOT(ISNUMBER(tblLog[[#This Row],[Attainment]])),"",IF(tblLog[[#This Row],[Attainment]]&gt;=TargetAttain,"On target",IF(tblLog[[#This Row],[Attainment]]&gt;=TargetAttain*(1-0.05),"Near target","Below target")))</f>
        <v>On target</v>
      </c>
      <c r="N42" s="38">
        <f>IF(tblLog[[#This Row],[Date]]="","",IF(AND(tblLog[[#This Row],[Date]]&gt;=FFrom,tblLog[[#This Row],[Date]]&lt;=FTo,OR(DashLine="",tblLog[[#This Row],[Line]]=DashLine)),tblLog[[#This Row],[Date]],""))</f>
        <v>46304</v>
      </c>
      <c r="O4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2" s="40" t="s">
        <v>118</v>
      </c>
    </row>
    <row r="43" spans="2:16" x14ac:dyDescent="0.25">
      <c r="B43" s="33">
        <v>46304</v>
      </c>
      <c r="C43" s="28" t="s">
        <v>77</v>
      </c>
      <c r="D43" s="28" t="s">
        <v>85</v>
      </c>
      <c r="E43" s="34">
        <v>45</v>
      </c>
      <c r="F43" s="34">
        <v>27</v>
      </c>
      <c r="G43" s="28" t="s">
        <v>89</v>
      </c>
      <c r="H43" s="35">
        <f>IF(tblLog[[#This Row],[Date]]="","",IF(tblLog[[#This Row],[Planned (units)]]="","",MIN(tblLog[[#This Row],[Actual (units)]],tblLog[[#This Row],[Planned (units)]])))</f>
        <v>27</v>
      </c>
      <c r="I43" s="35">
        <f>IF(tblLog[[#This Row],[Date]]="","",IF(tblLog[[#This Row],[Planned (units)]]="","",MAX(0,tblLog[[#This Row],[Planned (units)]]-tblLog[[#This Row],[Actual (units)]])))</f>
        <v>18</v>
      </c>
      <c r="J43" s="35">
        <f>IF(tblLog[[#This Row],[Date]]="","",IF(tblLog[[#This Row],[Planned (units)]]="","",MAX(0,tblLog[[#This Row],[Actual (units)]]-tblLog[[#This Row],[Planned (units)]])))</f>
        <v>0</v>
      </c>
      <c r="K43" s="36">
        <f>IF(tblLog[[#This Row],[Date]]="","",IF(N(tblLog[[#This Row],[Planned (units)]])&gt;0,tblLog[[#This Row],[Credited (units)]]/tblLog[[#This Row],[Planned (units)]],""))</f>
        <v>0.6</v>
      </c>
      <c r="L43" s="35">
        <f>IF(tblLog[[#This Row],[Date]]="","",IF(N(tblLog[[#This Row],[Planned (units)]])&gt;0,IF(tblLog[[#This Row],[Actual (units)]]&gt;=tblLog[[#This Row],[Planned (units)]],1,0),""))</f>
        <v>0</v>
      </c>
      <c r="M43" s="37" t="str">
        <f>IF(NOT(ISNUMBER(tblLog[[#This Row],[Attainment]])),"",IF(tblLog[[#This Row],[Attainment]]&gt;=TargetAttain,"On target",IF(tblLog[[#This Row],[Attainment]]&gt;=TargetAttain*(1-0.05),"Near target","Below target")))</f>
        <v>Below target</v>
      </c>
      <c r="N43" s="38">
        <f>IF(tblLog[[#This Row],[Date]]="","",IF(AND(tblLog[[#This Row],[Date]]&gt;=FFrom,tblLog[[#This Row],[Date]]&lt;=FTo,OR(DashLine="",tblLog[[#This Row],[Line]]=DashLine)),tblLog[[#This Row],[Date]],""))</f>
        <v>46304</v>
      </c>
      <c r="O4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3" s="40" t="s">
        <v>119</v>
      </c>
    </row>
    <row r="44" spans="2:16" x14ac:dyDescent="0.25">
      <c r="B44" s="33">
        <v>46304</v>
      </c>
      <c r="C44" s="28" t="s">
        <v>77</v>
      </c>
      <c r="D44" s="28" t="s">
        <v>86</v>
      </c>
      <c r="E44" s="34">
        <v>25</v>
      </c>
      <c r="F44" s="34">
        <v>11</v>
      </c>
      <c r="G44" s="28" t="s">
        <v>89</v>
      </c>
      <c r="H44" s="35">
        <f>IF(tblLog[[#This Row],[Date]]="","",IF(tblLog[[#This Row],[Planned (units)]]="","",MIN(tblLog[[#This Row],[Actual (units)]],tblLog[[#This Row],[Planned (units)]])))</f>
        <v>11</v>
      </c>
      <c r="I44" s="35">
        <f>IF(tblLog[[#This Row],[Date]]="","",IF(tblLog[[#This Row],[Planned (units)]]="","",MAX(0,tblLog[[#This Row],[Planned (units)]]-tblLog[[#This Row],[Actual (units)]])))</f>
        <v>14</v>
      </c>
      <c r="J44" s="35">
        <f>IF(tblLog[[#This Row],[Date]]="","",IF(tblLog[[#This Row],[Planned (units)]]="","",MAX(0,tblLog[[#This Row],[Actual (units)]]-tblLog[[#This Row],[Planned (units)]])))</f>
        <v>0</v>
      </c>
      <c r="K44" s="36">
        <f>IF(tblLog[[#This Row],[Date]]="","",IF(N(tblLog[[#This Row],[Planned (units)]])&gt;0,tblLog[[#This Row],[Credited (units)]]/tblLog[[#This Row],[Planned (units)]],""))</f>
        <v>0.44</v>
      </c>
      <c r="L44" s="35">
        <f>IF(tblLog[[#This Row],[Date]]="","",IF(N(tblLog[[#This Row],[Planned (units)]])&gt;0,IF(tblLog[[#This Row],[Actual (units)]]&gt;=tblLog[[#This Row],[Planned (units)]],1,0),""))</f>
        <v>0</v>
      </c>
      <c r="M44" s="37" t="str">
        <f>IF(NOT(ISNUMBER(tblLog[[#This Row],[Attainment]])),"",IF(tblLog[[#This Row],[Attainment]]&gt;=TargetAttain,"On target",IF(tblLog[[#This Row],[Attainment]]&gt;=TargetAttain*(1-0.05),"Near target","Below target")))</f>
        <v>Below target</v>
      </c>
      <c r="N44" s="38">
        <f>IF(tblLog[[#This Row],[Date]]="","",IF(AND(tblLog[[#This Row],[Date]]&gt;=FFrom,tblLog[[#This Row],[Date]]&lt;=FTo,OR(DashLine="",tblLog[[#This Row],[Line]]=DashLine)),tblLog[[#This Row],[Date]],""))</f>
        <v>46304</v>
      </c>
      <c r="O4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4" s="40" t="s">
        <v>119</v>
      </c>
    </row>
    <row r="45" spans="2:16" x14ac:dyDescent="0.25">
      <c r="B45" s="33">
        <v>46304</v>
      </c>
      <c r="C45" s="28" t="s">
        <v>77</v>
      </c>
      <c r="D45" s="28" t="s">
        <v>87</v>
      </c>
      <c r="E45" s="34">
        <v>80</v>
      </c>
      <c r="F45" s="34">
        <v>79</v>
      </c>
      <c r="G45" s="28" t="s">
        <v>103</v>
      </c>
      <c r="H45" s="35">
        <f>IF(tblLog[[#This Row],[Date]]="","",IF(tblLog[[#This Row],[Planned (units)]]="","",MIN(tblLog[[#This Row],[Actual (units)]],tblLog[[#This Row],[Planned (units)]])))</f>
        <v>79</v>
      </c>
      <c r="I45" s="35">
        <f>IF(tblLog[[#This Row],[Date]]="","",IF(tblLog[[#This Row],[Planned (units)]]="","",MAX(0,tblLog[[#This Row],[Planned (units)]]-tblLog[[#This Row],[Actual (units)]])))</f>
        <v>1</v>
      </c>
      <c r="J45" s="35">
        <f>IF(tblLog[[#This Row],[Date]]="","",IF(tblLog[[#This Row],[Planned (units)]]="","",MAX(0,tblLog[[#This Row],[Actual (units)]]-tblLog[[#This Row],[Planned (units)]])))</f>
        <v>0</v>
      </c>
      <c r="K45" s="36">
        <f>IF(tblLog[[#This Row],[Date]]="","",IF(N(tblLog[[#This Row],[Planned (units)]])&gt;0,tblLog[[#This Row],[Credited (units)]]/tblLog[[#This Row],[Planned (units)]],""))</f>
        <v>0.9875</v>
      </c>
      <c r="L45" s="35">
        <f>IF(tblLog[[#This Row],[Date]]="","",IF(N(tblLog[[#This Row],[Planned (units)]])&gt;0,IF(tblLog[[#This Row],[Actual (units)]]&gt;=tblLog[[#This Row],[Planned (units)]],1,0),""))</f>
        <v>0</v>
      </c>
      <c r="M45" s="37" t="str">
        <f>IF(NOT(ISNUMBER(tblLog[[#This Row],[Attainment]])),"",IF(tblLog[[#This Row],[Attainment]]&gt;=TargetAttain,"On target",IF(tblLog[[#This Row],[Attainment]]&gt;=TargetAttain*(1-0.05),"Near target","Below target")))</f>
        <v>On target</v>
      </c>
      <c r="N45" s="38">
        <f>IF(tblLog[[#This Row],[Date]]="","",IF(AND(tblLog[[#This Row],[Date]]&gt;=FFrom,tblLog[[#This Row],[Date]]&lt;=FTo,OR(DashLine="",tblLog[[#This Row],[Line]]=DashLine)),tblLog[[#This Row],[Date]],""))</f>
        <v>46304</v>
      </c>
      <c r="O4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5" s="40" t="s">
        <v>118</v>
      </c>
    </row>
    <row r="46" spans="2:16" x14ac:dyDescent="0.25">
      <c r="B46" s="33">
        <v>46307</v>
      </c>
      <c r="C46" s="28" t="s">
        <v>73</v>
      </c>
      <c r="D46" s="28" t="s">
        <v>80</v>
      </c>
      <c r="E46" s="34">
        <v>60</v>
      </c>
      <c r="F46" s="34">
        <v>71</v>
      </c>
      <c r="G46" s="28"/>
      <c r="H46" s="35">
        <f>IF(tblLog[[#This Row],[Date]]="","",IF(tblLog[[#This Row],[Planned (units)]]="","",MIN(tblLog[[#This Row],[Actual (units)]],tblLog[[#This Row],[Planned (units)]])))</f>
        <v>60</v>
      </c>
      <c r="I46" s="35">
        <f>IF(tblLog[[#This Row],[Date]]="","",IF(tblLog[[#This Row],[Planned (units)]]="","",MAX(0,tblLog[[#This Row],[Planned (units)]]-tblLog[[#This Row],[Actual (units)]])))</f>
        <v>0</v>
      </c>
      <c r="J46" s="35">
        <f>IF(tblLog[[#This Row],[Date]]="","",IF(tblLog[[#This Row],[Planned (units)]]="","",MAX(0,tblLog[[#This Row],[Actual (units)]]-tblLog[[#This Row],[Planned (units)]])))</f>
        <v>11</v>
      </c>
      <c r="K46" s="36">
        <f>IF(tblLog[[#This Row],[Date]]="","",IF(N(tblLog[[#This Row],[Planned (units)]])&gt;0,tblLog[[#This Row],[Credited (units)]]/tblLog[[#This Row],[Planned (units)]],""))</f>
        <v>1</v>
      </c>
      <c r="L46" s="35">
        <f>IF(tblLog[[#This Row],[Date]]="","",IF(N(tblLog[[#This Row],[Planned (units)]])&gt;0,IF(tblLog[[#This Row],[Actual (units)]]&gt;=tblLog[[#This Row],[Planned (units)]],1,0),""))</f>
        <v>1</v>
      </c>
      <c r="M46" s="37" t="str">
        <f>IF(NOT(ISNUMBER(tblLog[[#This Row],[Attainment]])),"",IF(tblLog[[#This Row],[Attainment]]&gt;=TargetAttain,"On target",IF(tblLog[[#This Row],[Attainment]]&gt;=TargetAttain*(1-0.05),"Near target","Below target")))</f>
        <v>On target</v>
      </c>
      <c r="N46" s="38">
        <f>IF(tblLog[[#This Row],[Date]]="","",IF(AND(tblLog[[#This Row],[Date]]&gt;=FFrom,tblLog[[#This Row],[Date]]&lt;=FTo,OR(DashLine="",tblLog[[#This Row],[Line]]=DashLine)),tblLog[[#This Row],[Date]],""))</f>
        <v>46307</v>
      </c>
      <c r="O4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6" s="40" t="s">
        <v>118</v>
      </c>
    </row>
    <row r="47" spans="2:16" x14ac:dyDescent="0.25">
      <c r="B47" s="33">
        <v>46307</v>
      </c>
      <c r="C47" s="28" t="s">
        <v>73</v>
      </c>
      <c r="D47" s="28" t="s">
        <v>81</v>
      </c>
      <c r="E47" s="34">
        <v>60</v>
      </c>
      <c r="F47" s="34">
        <v>60</v>
      </c>
      <c r="G47" s="28"/>
      <c r="H47" s="35">
        <f>IF(tblLog[[#This Row],[Date]]="","",IF(tblLog[[#This Row],[Planned (units)]]="","",MIN(tblLog[[#This Row],[Actual (units)]],tblLog[[#This Row],[Planned (units)]])))</f>
        <v>60</v>
      </c>
      <c r="I47" s="35">
        <f>IF(tblLog[[#This Row],[Date]]="","",IF(tblLog[[#This Row],[Planned (units)]]="","",MAX(0,tblLog[[#This Row],[Planned (units)]]-tblLog[[#This Row],[Actual (units)]])))</f>
        <v>0</v>
      </c>
      <c r="J47" s="35">
        <f>IF(tblLog[[#This Row],[Date]]="","",IF(tblLog[[#This Row],[Planned (units)]]="","",MAX(0,tblLog[[#This Row],[Actual (units)]]-tblLog[[#This Row],[Planned (units)]])))</f>
        <v>0</v>
      </c>
      <c r="K47" s="36">
        <f>IF(tblLog[[#This Row],[Date]]="","",IF(N(tblLog[[#This Row],[Planned (units)]])&gt;0,tblLog[[#This Row],[Credited (units)]]/tblLog[[#This Row],[Planned (units)]],""))</f>
        <v>1</v>
      </c>
      <c r="L47" s="35">
        <f>IF(tblLog[[#This Row],[Date]]="","",IF(N(tblLog[[#This Row],[Planned (units)]])&gt;0,IF(tblLog[[#This Row],[Actual (units)]]&gt;=tblLog[[#This Row],[Planned (units)]],1,0),""))</f>
        <v>1</v>
      </c>
      <c r="M47" s="37" t="str">
        <f>IF(NOT(ISNUMBER(tblLog[[#This Row],[Attainment]])),"",IF(tblLog[[#This Row],[Attainment]]&gt;=TargetAttain,"On target",IF(tblLog[[#This Row],[Attainment]]&gt;=TargetAttain*(1-0.05),"Near target","Below target")))</f>
        <v>On target</v>
      </c>
      <c r="N47" s="38">
        <f>IF(tblLog[[#This Row],[Date]]="","",IF(AND(tblLog[[#This Row],[Date]]&gt;=FFrom,tblLog[[#This Row],[Date]]&lt;=FTo,OR(DashLine="",tblLog[[#This Row],[Line]]=DashLine)),tblLog[[#This Row],[Date]],""))</f>
        <v>46307</v>
      </c>
      <c r="O4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7" s="40" t="s">
        <v>118</v>
      </c>
    </row>
    <row r="48" spans="2:16" x14ac:dyDescent="0.25">
      <c r="B48" s="33">
        <v>46307</v>
      </c>
      <c r="C48" s="28" t="s">
        <v>73</v>
      </c>
      <c r="D48" s="28" t="s">
        <v>82</v>
      </c>
      <c r="E48" s="34">
        <v>30</v>
      </c>
      <c r="F48" s="34">
        <v>26</v>
      </c>
      <c r="G48" s="28" t="s">
        <v>93</v>
      </c>
      <c r="H48" s="35">
        <f>IF(tblLog[[#This Row],[Date]]="","",IF(tblLog[[#This Row],[Planned (units)]]="","",MIN(tblLog[[#This Row],[Actual (units)]],tblLog[[#This Row],[Planned (units)]])))</f>
        <v>26</v>
      </c>
      <c r="I48" s="35">
        <f>IF(tblLog[[#This Row],[Date]]="","",IF(tblLog[[#This Row],[Planned (units)]]="","",MAX(0,tblLog[[#This Row],[Planned (units)]]-tblLog[[#This Row],[Actual (units)]])))</f>
        <v>4</v>
      </c>
      <c r="J48" s="35">
        <f>IF(tblLog[[#This Row],[Date]]="","",IF(tblLog[[#This Row],[Planned (units)]]="","",MAX(0,tblLog[[#This Row],[Actual (units)]]-tblLog[[#This Row],[Planned (units)]])))</f>
        <v>0</v>
      </c>
      <c r="K48" s="36">
        <f>IF(tblLog[[#This Row],[Date]]="","",IF(N(tblLog[[#This Row],[Planned (units)]])&gt;0,tblLog[[#This Row],[Credited (units)]]/tblLog[[#This Row],[Planned (units)]],""))</f>
        <v>0.866666666666667</v>
      </c>
      <c r="L48" s="35">
        <f>IF(tblLog[[#This Row],[Date]]="","",IF(N(tblLog[[#This Row],[Planned (units)]])&gt;0,IF(tblLog[[#This Row],[Actual (units)]]&gt;=tblLog[[#This Row],[Planned (units)]],1,0),""))</f>
        <v>0</v>
      </c>
      <c r="M48" s="37" t="str">
        <f>IF(NOT(ISNUMBER(tblLog[[#This Row],[Attainment]])),"",IF(tblLog[[#This Row],[Attainment]]&gt;=TargetAttain,"On target",IF(tblLog[[#This Row],[Attainment]]&gt;=TargetAttain*(1-0.05),"Near target","Below target")))</f>
        <v>Below target</v>
      </c>
      <c r="N48" s="38">
        <f>IF(tblLog[[#This Row],[Date]]="","",IF(AND(tblLog[[#This Row],[Date]]&gt;=FFrom,tblLog[[#This Row],[Date]]&lt;=FTo,OR(DashLine="",tblLog[[#This Row],[Line]]=DashLine)),tblLog[[#This Row],[Date]],""))</f>
        <v>46307</v>
      </c>
      <c r="O4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8" s="40" t="s">
        <v>118</v>
      </c>
    </row>
    <row r="49" spans="2:16" x14ac:dyDescent="0.25">
      <c r="B49" s="33">
        <v>46307</v>
      </c>
      <c r="C49" s="28" t="s">
        <v>75</v>
      </c>
      <c r="D49" s="28" t="s">
        <v>83</v>
      </c>
      <c r="E49" s="34">
        <v>140</v>
      </c>
      <c r="F49" s="34">
        <v>127</v>
      </c>
      <c r="G49" s="28" t="s">
        <v>91</v>
      </c>
      <c r="H49" s="35">
        <f>IF(tblLog[[#This Row],[Date]]="","",IF(tblLog[[#This Row],[Planned (units)]]="","",MIN(tblLog[[#This Row],[Actual (units)]],tblLog[[#This Row],[Planned (units)]])))</f>
        <v>127</v>
      </c>
      <c r="I49" s="35">
        <f>IF(tblLog[[#This Row],[Date]]="","",IF(tblLog[[#This Row],[Planned (units)]]="","",MAX(0,tblLog[[#This Row],[Planned (units)]]-tblLog[[#This Row],[Actual (units)]])))</f>
        <v>13</v>
      </c>
      <c r="J49" s="35">
        <f>IF(tblLog[[#This Row],[Date]]="","",IF(tblLog[[#This Row],[Planned (units)]]="","",MAX(0,tblLog[[#This Row],[Actual (units)]]-tblLog[[#This Row],[Planned (units)]])))</f>
        <v>0</v>
      </c>
      <c r="K49" s="36">
        <f>IF(tblLog[[#This Row],[Date]]="","",IF(N(tblLog[[#This Row],[Planned (units)]])&gt;0,tblLog[[#This Row],[Credited (units)]]/tblLog[[#This Row],[Planned (units)]],""))</f>
        <v>0.907142857142857</v>
      </c>
      <c r="L49" s="35">
        <f>IF(tblLog[[#This Row],[Date]]="","",IF(N(tblLog[[#This Row],[Planned (units)]])&gt;0,IF(tblLog[[#This Row],[Actual (units)]]&gt;=tblLog[[#This Row],[Planned (units)]],1,0),""))</f>
        <v>0</v>
      </c>
      <c r="M49" s="37" t="str">
        <f>IF(NOT(ISNUMBER(tblLog[[#This Row],[Attainment]])),"",IF(tblLog[[#This Row],[Attainment]]&gt;=TargetAttain,"On target",IF(tblLog[[#This Row],[Attainment]]&gt;=TargetAttain*(1-0.05),"Near target","Below target")))</f>
        <v>Near target</v>
      </c>
      <c r="N49" s="38">
        <f>IF(tblLog[[#This Row],[Date]]="","",IF(AND(tblLog[[#This Row],[Date]]&gt;=FFrom,tblLog[[#This Row],[Date]]&lt;=FTo,OR(DashLine="",tblLog[[#This Row],[Line]]=DashLine)),tblLog[[#This Row],[Date]],""))</f>
        <v>46307</v>
      </c>
      <c r="O4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49" s="40" t="s">
        <v>118</v>
      </c>
    </row>
    <row r="50" spans="2:16" x14ac:dyDescent="0.25">
      <c r="B50" s="33">
        <v>46307</v>
      </c>
      <c r="C50" s="28" t="s">
        <v>75</v>
      </c>
      <c r="D50" s="28" t="s">
        <v>84</v>
      </c>
      <c r="E50" s="34">
        <v>140</v>
      </c>
      <c r="F50" s="34">
        <v>143</v>
      </c>
      <c r="G50" s="28"/>
      <c r="H50" s="35">
        <f>IF(tblLog[[#This Row],[Date]]="","",IF(tblLog[[#This Row],[Planned (units)]]="","",MIN(tblLog[[#This Row],[Actual (units)]],tblLog[[#This Row],[Planned (units)]])))</f>
        <v>140</v>
      </c>
      <c r="I50" s="35">
        <f>IF(tblLog[[#This Row],[Date]]="","",IF(tblLog[[#This Row],[Planned (units)]]="","",MAX(0,tblLog[[#This Row],[Planned (units)]]-tblLog[[#This Row],[Actual (units)]])))</f>
        <v>0</v>
      </c>
      <c r="J50" s="35">
        <f>IF(tblLog[[#This Row],[Date]]="","",IF(tblLog[[#This Row],[Planned (units)]]="","",MAX(0,tblLog[[#This Row],[Actual (units)]]-tblLog[[#This Row],[Planned (units)]])))</f>
        <v>3</v>
      </c>
      <c r="K50" s="36">
        <f>IF(tblLog[[#This Row],[Date]]="","",IF(N(tblLog[[#This Row],[Planned (units)]])&gt;0,tblLog[[#This Row],[Credited (units)]]/tblLog[[#This Row],[Planned (units)]],""))</f>
        <v>1</v>
      </c>
      <c r="L50" s="35">
        <f>IF(tblLog[[#This Row],[Date]]="","",IF(N(tblLog[[#This Row],[Planned (units)]])&gt;0,IF(tblLog[[#This Row],[Actual (units)]]&gt;=tblLog[[#This Row],[Planned (units)]],1,0),""))</f>
        <v>1</v>
      </c>
      <c r="M50" s="37" t="str">
        <f>IF(NOT(ISNUMBER(tblLog[[#This Row],[Attainment]])),"",IF(tblLog[[#This Row],[Attainment]]&gt;=TargetAttain,"On target",IF(tblLog[[#This Row],[Attainment]]&gt;=TargetAttain*(1-0.05),"Near target","Below target")))</f>
        <v>On target</v>
      </c>
      <c r="N50" s="38">
        <f>IF(tblLog[[#This Row],[Date]]="","",IF(AND(tblLog[[#This Row],[Date]]&gt;=FFrom,tblLog[[#This Row],[Date]]&lt;=FTo,OR(DashLine="",tblLog[[#This Row],[Line]]=DashLine)),tblLog[[#This Row],[Date]],""))</f>
        <v>46307</v>
      </c>
      <c r="O5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0" s="40" t="s">
        <v>118</v>
      </c>
    </row>
    <row r="51" spans="2:16" x14ac:dyDescent="0.25">
      <c r="B51" s="33">
        <v>46307</v>
      </c>
      <c r="C51" s="28" t="s">
        <v>77</v>
      </c>
      <c r="D51" s="28" t="s">
        <v>85</v>
      </c>
      <c r="E51" s="34">
        <v>45</v>
      </c>
      <c r="F51" s="34">
        <v>46</v>
      </c>
      <c r="G51" s="28"/>
      <c r="H51" s="35">
        <f>IF(tblLog[[#This Row],[Date]]="","",IF(tblLog[[#This Row],[Planned (units)]]="","",MIN(tblLog[[#This Row],[Actual (units)]],tblLog[[#This Row],[Planned (units)]])))</f>
        <v>45</v>
      </c>
      <c r="I51" s="35">
        <f>IF(tblLog[[#This Row],[Date]]="","",IF(tblLog[[#This Row],[Planned (units)]]="","",MAX(0,tblLog[[#This Row],[Planned (units)]]-tblLog[[#This Row],[Actual (units)]])))</f>
        <v>0</v>
      </c>
      <c r="J51" s="35">
        <f>IF(tblLog[[#This Row],[Date]]="","",IF(tblLog[[#This Row],[Planned (units)]]="","",MAX(0,tblLog[[#This Row],[Actual (units)]]-tblLog[[#This Row],[Planned (units)]])))</f>
        <v>1</v>
      </c>
      <c r="K51" s="36">
        <f>IF(tblLog[[#This Row],[Date]]="","",IF(N(tblLog[[#This Row],[Planned (units)]])&gt;0,tblLog[[#This Row],[Credited (units)]]/tblLog[[#This Row],[Planned (units)]],""))</f>
        <v>1</v>
      </c>
      <c r="L51" s="35">
        <f>IF(tblLog[[#This Row],[Date]]="","",IF(N(tblLog[[#This Row],[Planned (units)]])&gt;0,IF(tblLog[[#This Row],[Actual (units)]]&gt;=tblLog[[#This Row],[Planned (units)]],1,0),""))</f>
        <v>1</v>
      </c>
      <c r="M51" s="37" t="str">
        <f>IF(NOT(ISNUMBER(tblLog[[#This Row],[Attainment]])),"",IF(tblLog[[#This Row],[Attainment]]&gt;=TargetAttain,"On target",IF(tblLog[[#This Row],[Attainment]]&gt;=TargetAttain*(1-0.05),"Near target","Below target")))</f>
        <v>On target</v>
      </c>
      <c r="N51" s="38">
        <f>IF(tblLog[[#This Row],[Date]]="","",IF(AND(tblLog[[#This Row],[Date]]&gt;=FFrom,tblLog[[#This Row],[Date]]&lt;=FTo,OR(DashLine="",tblLog[[#This Row],[Line]]=DashLine)),tblLog[[#This Row],[Date]],""))</f>
        <v>46307</v>
      </c>
      <c r="O5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1" s="40" t="s">
        <v>118</v>
      </c>
    </row>
    <row r="52" spans="2:16" x14ac:dyDescent="0.25">
      <c r="B52" s="33">
        <v>46307</v>
      </c>
      <c r="C52" s="28" t="s">
        <v>77</v>
      </c>
      <c r="D52" s="28" t="s">
        <v>86</v>
      </c>
      <c r="E52" s="34">
        <v>25</v>
      </c>
      <c r="F52" s="34">
        <v>23</v>
      </c>
      <c r="G52" s="28" t="s">
        <v>93</v>
      </c>
      <c r="H52" s="35">
        <f>IF(tblLog[[#This Row],[Date]]="","",IF(tblLog[[#This Row],[Planned (units)]]="","",MIN(tblLog[[#This Row],[Actual (units)]],tblLog[[#This Row],[Planned (units)]])))</f>
        <v>23</v>
      </c>
      <c r="I52" s="35">
        <f>IF(tblLog[[#This Row],[Date]]="","",IF(tblLog[[#This Row],[Planned (units)]]="","",MAX(0,tblLog[[#This Row],[Planned (units)]]-tblLog[[#This Row],[Actual (units)]])))</f>
        <v>2</v>
      </c>
      <c r="J52" s="35">
        <f>IF(tblLog[[#This Row],[Date]]="","",IF(tblLog[[#This Row],[Planned (units)]]="","",MAX(0,tblLog[[#This Row],[Actual (units)]]-tblLog[[#This Row],[Planned (units)]])))</f>
        <v>0</v>
      </c>
      <c r="K52" s="36">
        <f>IF(tblLog[[#This Row],[Date]]="","",IF(N(tblLog[[#This Row],[Planned (units)]])&gt;0,tblLog[[#This Row],[Credited (units)]]/tblLog[[#This Row],[Planned (units)]],""))</f>
        <v>0.92</v>
      </c>
      <c r="L52" s="35">
        <f>IF(tblLog[[#This Row],[Date]]="","",IF(N(tblLog[[#This Row],[Planned (units)]])&gt;0,IF(tblLog[[#This Row],[Actual (units)]]&gt;=tblLog[[#This Row],[Planned (units)]],1,0),""))</f>
        <v>0</v>
      </c>
      <c r="M52" s="37" t="str">
        <f>IF(NOT(ISNUMBER(tblLog[[#This Row],[Attainment]])),"",IF(tblLog[[#This Row],[Attainment]]&gt;=TargetAttain,"On target",IF(tblLog[[#This Row],[Attainment]]&gt;=TargetAttain*(1-0.05),"Near target","Below target")))</f>
        <v>Near target</v>
      </c>
      <c r="N52" s="38">
        <f>IF(tblLog[[#This Row],[Date]]="","",IF(AND(tblLog[[#This Row],[Date]]&gt;=FFrom,tblLog[[#This Row],[Date]]&lt;=FTo,OR(DashLine="",tblLog[[#This Row],[Line]]=DashLine)),tblLog[[#This Row],[Date]],""))</f>
        <v>46307</v>
      </c>
      <c r="O5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2" s="40" t="s">
        <v>118</v>
      </c>
    </row>
    <row r="53" spans="2:16" x14ac:dyDescent="0.25">
      <c r="B53" s="33">
        <v>46307</v>
      </c>
      <c r="C53" s="28" t="s">
        <v>77</v>
      </c>
      <c r="D53" s="28" t="s">
        <v>87</v>
      </c>
      <c r="E53" s="34">
        <v>80</v>
      </c>
      <c r="F53" s="34">
        <v>76</v>
      </c>
      <c r="G53" s="28" t="s">
        <v>103</v>
      </c>
      <c r="H53" s="35">
        <f>IF(tblLog[[#This Row],[Date]]="","",IF(tblLog[[#This Row],[Planned (units)]]="","",MIN(tblLog[[#This Row],[Actual (units)]],tblLog[[#This Row],[Planned (units)]])))</f>
        <v>76</v>
      </c>
      <c r="I53" s="35">
        <f>IF(tblLog[[#This Row],[Date]]="","",IF(tblLog[[#This Row],[Planned (units)]]="","",MAX(0,tblLog[[#This Row],[Planned (units)]]-tblLog[[#This Row],[Actual (units)]])))</f>
        <v>4</v>
      </c>
      <c r="J53" s="35">
        <f>IF(tblLog[[#This Row],[Date]]="","",IF(tblLog[[#This Row],[Planned (units)]]="","",MAX(0,tblLog[[#This Row],[Actual (units)]]-tblLog[[#This Row],[Planned (units)]])))</f>
        <v>0</v>
      </c>
      <c r="K53" s="36">
        <f>IF(tblLog[[#This Row],[Date]]="","",IF(N(tblLog[[#This Row],[Planned (units)]])&gt;0,tblLog[[#This Row],[Credited (units)]]/tblLog[[#This Row],[Planned (units)]],""))</f>
        <v>0.95</v>
      </c>
      <c r="L53" s="35">
        <f>IF(tblLog[[#This Row],[Date]]="","",IF(N(tblLog[[#This Row],[Planned (units)]])&gt;0,IF(tblLog[[#This Row],[Actual (units)]]&gt;=tblLog[[#This Row],[Planned (units)]],1,0),""))</f>
        <v>0</v>
      </c>
      <c r="M53" s="37" t="str">
        <f>IF(NOT(ISNUMBER(tblLog[[#This Row],[Attainment]])),"",IF(tblLog[[#This Row],[Attainment]]&gt;=TargetAttain,"On target",IF(tblLog[[#This Row],[Attainment]]&gt;=TargetAttain*(1-0.05),"Near target","Below target")))</f>
        <v>On target</v>
      </c>
      <c r="N53" s="38">
        <f>IF(tblLog[[#This Row],[Date]]="","",IF(AND(tblLog[[#This Row],[Date]]&gt;=FFrom,tblLog[[#This Row],[Date]]&lt;=FTo,OR(DashLine="",tblLog[[#This Row],[Line]]=DashLine)),tblLog[[#This Row],[Date]],""))</f>
        <v>46307</v>
      </c>
      <c r="O5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3" s="40" t="s">
        <v>118</v>
      </c>
    </row>
    <row r="54" spans="2:16" x14ac:dyDescent="0.25">
      <c r="B54" s="33">
        <v>46308</v>
      </c>
      <c r="C54" s="28" t="s">
        <v>73</v>
      </c>
      <c r="D54" s="28" t="s">
        <v>80</v>
      </c>
      <c r="E54" s="34">
        <v>60</v>
      </c>
      <c r="F54" s="34">
        <v>69</v>
      </c>
      <c r="G54" s="28"/>
      <c r="H54" s="35">
        <f>IF(tblLog[[#This Row],[Date]]="","",IF(tblLog[[#This Row],[Planned (units)]]="","",MIN(tblLog[[#This Row],[Actual (units)]],tblLog[[#This Row],[Planned (units)]])))</f>
        <v>60</v>
      </c>
      <c r="I54" s="35">
        <f>IF(tblLog[[#This Row],[Date]]="","",IF(tblLog[[#This Row],[Planned (units)]]="","",MAX(0,tblLog[[#This Row],[Planned (units)]]-tblLog[[#This Row],[Actual (units)]])))</f>
        <v>0</v>
      </c>
      <c r="J54" s="35">
        <f>IF(tblLog[[#This Row],[Date]]="","",IF(tblLog[[#This Row],[Planned (units)]]="","",MAX(0,tblLog[[#This Row],[Actual (units)]]-tblLog[[#This Row],[Planned (units)]])))</f>
        <v>9</v>
      </c>
      <c r="K54" s="36">
        <f>IF(tblLog[[#This Row],[Date]]="","",IF(N(tblLog[[#This Row],[Planned (units)]])&gt;0,tblLog[[#This Row],[Credited (units)]]/tblLog[[#This Row],[Planned (units)]],""))</f>
        <v>1</v>
      </c>
      <c r="L54" s="35">
        <f>IF(tblLog[[#This Row],[Date]]="","",IF(N(tblLog[[#This Row],[Planned (units)]])&gt;0,IF(tblLog[[#This Row],[Actual (units)]]&gt;=tblLog[[#This Row],[Planned (units)]],1,0),""))</f>
        <v>1</v>
      </c>
      <c r="M54" s="37" t="str">
        <f>IF(NOT(ISNUMBER(tblLog[[#This Row],[Attainment]])),"",IF(tblLog[[#This Row],[Attainment]]&gt;=TargetAttain,"On target",IF(tblLog[[#This Row],[Attainment]]&gt;=TargetAttain*(1-0.05),"Near target","Below target")))</f>
        <v>On target</v>
      </c>
      <c r="N54" s="38">
        <f>IF(tblLog[[#This Row],[Date]]="","",IF(AND(tblLog[[#This Row],[Date]]&gt;=FFrom,tblLog[[#This Row],[Date]]&lt;=FTo,OR(DashLine="",tblLog[[#This Row],[Line]]=DashLine)),tblLog[[#This Row],[Date]],""))</f>
        <v>46308</v>
      </c>
      <c r="O5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4" s="40" t="s">
        <v>118</v>
      </c>
    </row>
    <row r="55" spans="2:16" x14ac:dyDescent="0.25">
      <c r="B55" s="33">
        <v>46308</v>
      </c>
      <c r="C55" s="28" t="s">
        <v>73</v>
      </c>
      <c r="D55" s="28" t="s">
        <v>81</v>
      </c>
      <c r="E55" s="34">
        <v>60</v>
      </c>
      <c r="F55" s="34">
        <v>59</v>
      </c>
      <c r="G55" s="28" t="s">
        <v>95</v>
      </c>
      <c r="H55" s="35">
        <f>IF(tblLog[[#This Row],[Date]]="","",IF(tblLog[[#This Row],[Planned (units)]]="","",MIN(tblLog[[#This Row],[Actual (units)]],tblLog[[#This Row],[Planned (units)]])))</f>
        <v>59</v>
      </c>
      <c r="I55" s="35">
        <f>IF(tblLog[[#This Row],[Date]]="","",IF(tblLog[[#This Row],[Planned (units)]]="","",MAX(0,tblLog[[#This Row],[Planned (units)]]-tblLog[[#This Row],[Actual (units)]])))</f>
        <v>1</v>
      </c>
      <c r="J55" s="35">
        <f>IF(tblLog[[#This Row],[Date]]="","",IF(tblLog[[#This Row],[Planned (units)]]="","",MAX(0,tblLog[[#This Row],[Actual (units)]]-tblLog[[#This Row],[Planned (units)]])))</f>
        <v>0</v>
      </c>
      <c r="K55" s="36">
        <f>IF(tblLog[[#This Row],[Date]]="","",IF(N(tblLog[[#This Row],[Planned (units)]])&gt;0,tblLog[[#This Row],[Credited (units)]]/tblLog[[#This Row],[Planned (units)]],""))</f>
        <v>0.983333333333333</v>
      </c>
      <c r="L55" s="35">
        <f>IF(tblLog[[#This Row],[Date]]="","",IF(N(tblLog[[#This Row],[Planned (units)]])&gt;0,IF(tblLog[[#This Row],[Actual (units)]]&gt;=tblLog[[#This Row],[Planned (units)]],1,0),""))</f>
        <v>0</v>
      </c>
      <c r="M55" s="37" t="str">
        <f>IF(NOT(ISNUMBER(tblLog[[#This Row],[Attainment]])),"",IF(tblLog[[#This Row],[Attainment]]&gt;=TargetAttain,"On target",IF(tblLog[[#This Row],[Attainment]]&gt;=TargetAttain*(1-0.05),"Near target","Below target")))</f>
        <v>On target</v>
      </c>
      <c r="N55" s="38">
        <f>IF(tblLog[[#This Row],[Date]]="","",IF(AND(tblLog[[#This Row],[Date]]&gt;=FFrom,tblLog[[#This Row],[Date]]&lt;=FTo,OR(DashLine="",tblLog[[#This Row],[Line]]=DashLine)),tblLog[[#This Row],[Date]],""))</f>
        <v>46308</v>
      </c>
      <c r="O5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5" s="40" t="s">
        <v>118</v>
      </c>
    </row>
    <row r="56" spans="2:16" x14ac:dyDescent="0.25">
      <c r="B56" s="33">
        <v>46308</v>
      </c>
      <c r="C56" s="28" t="s">
        <v>73</v>
      </c>
      <c r="D56" s="28" t="s">
        <v>82</v>
      </c>
      <c r="E56" s="34">
        <v>30</v>
      </c>
      <c r="F56" s="34">
        <v>27</v>
      </c>
      <c r="G56" s="28" t="s">
        <v>93</v>
      </c>
      <c r="H56" s="35">
        <f>IF(tblLog[[#This Row],[Date]]="","",IF(tblLog[[#This Row],[Planned (units)]]="","",MIN(tblLog[[#This Row],[Actual (units)]],tblLog[[#This Row],[Planned (units)]])))</f>
        <v>27</v>
      </c>
      <c r="I56" s="35">
        <f>IF(tblLog[[#This Row],[Date]]="","",IF(tblLog[[#This Row],[Planned (units)]]="","",MAX(0,tblLog[[#This Row],[Planned (units)]]-tblLog[[#This Row],[Actual (units)]])))</f>
        <v>3</v>
      </c>
      <c r="J56" s="35">
        <f>IF(tblLog[[#This Row],[Date]]="","",IF(tblLog[[#This Row],[Planned (units)]]="","",MAX(0,tblLog[[#This Row],[Actual (units)]]-tblLog[[#This Row],[Planned (units)]])))</f>
        <v>0</v>
      </c>
      <c r="K56" s="36">
        <f>IF(tblLog[[#This Row],[Date]]="","",IF(N(tblLog[[#This Row],[Planned (units)]])&gt;0,tblLog[[#This Row],[Credited (units)]]/tblLog[[#This Row],[Planned (units)]],""))</f>
        <v>0.9</v>
      </c>
      <c r="L56" s="35">
        <f>IF(tblLog[[#This Row],[Date]]="","",IF(N(tblLog[[#This Row],[Planned (units)]])&gt;0,IF(tblLog[[#This Row],[Actual (units)]]&gt;=tblLog[[#This Row],[Planned (units)]],1,0),""))</f>
        <v>0</v>
      </c>
      <c r="M56" s="37" t="str">
        <f>IF(NOT(ISNUMBER(tblLog[[#This Row],[Attainment]])),"",IF(tblLog[[#This Row],[Attainment]]&gt;=TargetAttain,"On target",IF(tblLog[[#This Row],[Attainment]]&gt;=TargetAttain*(1-0.05),"Near target","Below target")))</f>
        <v>Below target</v>
      </c>
      <c r="N56" s="38">
        <f>IF(tblLog[[#This Row],[Date]]="","",IF(AND(tblLog[[#This Row],[Date]]&gt;=FFrom,tblLog[[#This Row],[Date]]&lt;=FTo,OR(DashLine="",tblLog[[#This Row],[Line]]=DashLine)),tblLog[[#This Row],[Date]],""))</f>
        <v>46308</v>
      </c>
      <c r="O5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6" s="40" t="s">
        <v>118</v>
      </c>
    </row>
    <row r="57" spans="2:16" x14ac:dyDescent="0.25">
      <c r="B57" s="33">
        <v>46308</v>
      </c>
      <c r="C57" s="28" t="s">
        <v>75</v>
      </c>
      <c r="D57" s="28" t="s">
        <v>83</v>
      </c>
      <c r="E57" s="34">
        <v>140</v>
      </c>
      <c r="F57" s="34">
        <v>126</v>
      </c>
      <c r="G57" s="28" t="s">
        <v>93</v>
      </c>
      <c r="H57" s="35">
        <f>IF(tblLog[[#This Row],[Date]]="","",IF(tblLog[[#This Row],[Planned (units)]]="","",MIN(tblLog[[#This Row],[Actual (units)]],tblLog[[#This Row],[Planned (units)]])))</f>
        <v>126</v>
      </c>
      <c r="I57" s="35">
        <f>IF(tblLog[[#This Row],[Date]]="","",IF(tblLog[[#This Row],[Planned (units)]]="","",MAX(0,tblLog[[#This Row],[Planned (units)]]-tblLog[[#This Row],[Actual (units)]])))</f>
        <v>14</v>
      </c>
      <c r="J57" s="35">
        <f>IF(tblLog[[#This Row],[Date]]="","",IF(tblLog[[#This Row],[Planned (units)]]="","",MAX(0,tblLog[[#This Row],[Actual (units)]]-tblLog[[#This Row],[Planned (units)]])))</f>
        <v>0</v>
      </c>
      <c r="K57" s="36">
        <f>IF(tblLog[[#This Row],[Date]]="","",IF(N(tblLog[[#This Row],[Planned (units)]])&gt;0,tblLog[[#This Row],[Credited (units)]]/tblLog[[#This Row],[Planned (units)]],""))</f>
        <v>0.9</v>
      </c>
      <c r="L57" s="35">
        <f>IF(tblLog[[#This Row],[Date]]="","",IF(N(tblLog[[#This Row],[Planned (units)]])&gt;0,IF(tblLog[[#This Row],[Actual (units)]]&gt;=tblLog[[#This Row],[Planned (units)]],1,0),""))</f>
        <v>0</v>
      </c>
      <c r="M57" s="37" t="str">
        <f>IF(NOT(ISNUMBER(tblLog[[#This Row],[Attainment]])),"",IF(tblLog[[#This Row],[Attainment]]&gt;=TargetAttain,"On target",IF(tblLog[[#This Row],[Attainment]]&gt;=TargetAttain*(1-0.05),"Near target","Below target")))</f>
        <v>Below target</v>
      </c>
      <c r="N57" s="38">
        <f>IF(tblLog[[#This Row],[Date]]="","",IF(AND(tblLog[[#This Row],[Date]]&gt;=FFrom,tblLog[[#This Row],[Date]]&lt;=FTo,OR(DashLine="",tblLog[[#This Row],[Line]]=DashLine)),tblLog[[#This Row],[Date]],""))</f>
        <v>46308</v>
      </c>
      <c r="O5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7" s="40" t="s">
        <v>118</v>
      </c>
    </row>
    <row r="58" spans="2:16" x14ac:dyDescent="0.25">
      <c r="B58" s="33">
        <v>46308</v>
      </c>
      <c r="C58" s="28" t="s">
        <v>75</v>
      </c>
      <c r="D58" s="28" t="s">
        <v>84</v>
      </c>
      <c r="E58" s="34">
        <v>140</v>
      </c>
      <c r="F58" s="34">
        <v>145</v>
      </c>
      <c r="G58" s="28"/>
      <c r="H58" s="35">
        <f>IF(tblLog[[#This Row],[Date]]="","",IF(tblLog[[#This Row],[Planned (units)]]="","",MIN(tblLog[[#This Row],[Actual (units)]],tblLog[[#This Row],[Planned (units)]])))</f>
        <v>140</v>
      </c>
      <c r="I58" s="35">
        <f>IF(tblLog[[#This Row],[Date]]="","",IF(tblLog[[#This Row],[Planned (units)]]="","",MAX(0,tblLog[[#This Row],[Planned (units)]]-tblLog[[#This Row],[Actual (units)]])))</f>
        <v>0</v>
      </c>
      <c r="J58" s="35">
        <f>IF(tblLog[[#This Row],[Date]]="","",IF(tblLog[[#This Row],[Planned (units)]]="","",MAX(0,tblLog[[#This Row],[Actual (units)]]-tblLog[[#This Row],[Planned (units)]])))</f>
        <v>5</v>
      </c>
      <c r="K58" s="36">
        <f>IF(tblLog[[#This Row],[Date]]="","",IF(N(tblLog[[#This Row],[Planned (units)]])&gt;0,tblLog[[#This Row],[Credited (units)]]/tblLog[[#This Row],[Planned (units)]],""))</f>
        <v>1</v>
      </c>
      <c r="L58" s="35">
        <f>IF(tblLog[[#This Row],[Date]]="","",IF(N(tblLog[[#This Row],[Planned (units)]])&gt;0,IF(tblLog[[#This Row],[Actual (units)]]&gt;=tblLog[[#This Row],[Planned (units)]],1,0),""))</f>
        <v>1</v>
      </c>
      <c r="M58" s="37" t="str">
        <f>IF(NOT(ISNUMBER(tblLog[[#This Row],[Attainment]])),"",IF(tblLog[[#This Row],[Attainment]]&gt;=TargetAttain,"On target",IF(tblLog[[#This Row],[Attainment]]&gt;=TargetAttain*(1-0.05),"Near target","Below target")))</f>
        <v>On target</v>
      </c>
      <c r="N58" s="38">
        <f>IF(tblLog[[#This Row],[Date]]="","",IF(AND(tblLog[[#This Row],[Date]]&gt;=FFrom,tblLog[[#This Row],[Date]]&lt;=FTo,OR(DashLine="",tblLog[[#This Row],[Line]]=DashLine)),tblLog[[#This Row],[Date]],""))</f>
        <v>46308</v>
      </c>
      <c r="O5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8" s="40" t="s">
        <v>118</v>
      </c>
    </row>
    <row r="59" spans="2:16" x14ac:dyDescent="0.25">
      <c r="B59" s="33">
        <v>46308</v>
      </c>
      <c r="C59" s="28" t="s">
        <v>77</v>
      </c>
      <c r="D59" s="28" t="s">
        <v>85</v>
      </c>
      <c r="E59" s="34">
        <v>45</v>
      </c>
      <c r="F59" s="34">
        <v>42</v>
      </c>
      <c r="G59" s="28" t="s">
        <v>91</v>
      </c>
      <c r="H59" s="35">
        <f>IF(tblLog[[#This Row],[Date]]="","",IF(tblLog[[#This Row],[Planned (units)]]="","",MIN(tblLog[[#This Row],[Actual (units)]],tblLog[[#This Row],[Planned (units)]])))</f>
        <v>42</v>
      </c>
      <c r="I59" s="35">
        <f>IF(tblLog[[#This Row],[Date]]="","",IF(tblLog[[#This Row],[Planned (units)]]="","",MAX(0,tblLog[[#This Row],[Planned (units)]]-tblLog[[#This Row],[Actual (units)]])))</f>
        <v>3</v>
      </c>
      <c r="J59" s="35">
        <f>IF(tblLog[[#This Row],[Date]]="","",IF(tblLog[[#This Row],[Planned (units)]]="","",MAX(0,tblLog[[#This Row],[Actual (units)]]-tblLog[[#This Row],[Planned (units)]])))</f>
        <v>0</v>
      </c>
      <c r="K59" s="36">
        <f>IF(tblLog[[#This Row],[Date]]="","",IF(N(tblLog[[#This Row],[Planned (units)]])&gt;0,tblLog[[#This Row],[Credited (units)]]/tblLog[[#This Row],[Planned (units)]],""))</f>
        <v>0.933333333333333</v>
      </c>
      <c r="L59" s="35">
        <f>IF(tblLog[[#This Row],[Date]]="","",IF(N(tblLog[[#This Row],[Planned (units)]])&gt;0,IF(tblLog[[#This Row],[Actual (units)]]&gt;=tblLog[[#This Row],[Planned (units)]],1,0),""))</f>
        <v>0</v>
      </c>
      <c r="M59" s="37" t="str">
        <f>IF(NOT(ISNUMBER(tblLog[[#This Row],[Attainment]])),"",IF(tblLog[[#This Row],[Attainment]]&gt;=TargetAttain,"On target",IF(tblLog[[#This Row],[Attainment]]&gt;=TargetAttain*(1-0.05),"Near target","Below target")))</f>
        <v>Near target</v>
      </c>
      <c r="N59" s="38">
        <f>IF(tblLog[[#This Row],[Date]]="","",IF(AND(tblLog[[#This Row],[Date]]&gt;=FFrom,tblLog[[#This Row],[Date]]&lt;=FTo,OR(DashLine="",tblLog[[#This Row],[Line]]=DashLine)),tblLog[[#This Row],[Date]],""))</f>
        <v>46308</v>
      </c>
      <c r="O5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59" s="40" t="s">
        <v>118</v>
      </c>
    </row>
    <row r="60" spans="2:16" x14ac:dyDescent="0.25">
      <c r="B60" s="33">
        <v>46308</v>
      </c>
      <c r="C60" s="28" t="s">
        <v>77</v>
      </c>
      <c r="D60" s="28" t="s">
        <v>86</v>
      </c>
      <c r="E60" s="34">
        <v>25</v>
      </c>
      <c r="F60" s="34">
        <v>23</v>
      </c>
      <c r="G60" s="28" t="s">
        <v>95</v>
      </c>
      <c r="H60" s="35">
        <f>IF(tblLog[[#This Row],[Date]]="","",IF(tblLog[[#This Row],[Planned (units)]]="","",MIN(tblLog[[#This Row],[Actual (units)]],tblLog[[#This Row],[Planned (units)]])))</f>
        <v>23</v>
      </c>
      <c r="I60" s="35">
        <f>IF(tblLog[[#This Row],[Date]]="","",IF(tblLog[[#This Row],[Planned (units)]]="","",MAX(0,tblLog[[#This Row],[Planned (units)]]-tblLog[[#This Row],[Actual (units)]])))</f>
        <v>2</v>
      </c>
      <c r="J60" s="35">
        <f>IF(tblLog[[#This Row],[Date]]="","",IF(tblLog[[#This Row],[Planned (units)]]="","",MAX(0,tblLog[[#This Row],[Actual (units)]]-tblLog[[#This Row],[Planned (units)]])))</f>
        <v>0</v>
      </c>
      <c r="K60" s="36">
        <f>IF(tblLog[[#This Row],[Date]]="","",IF(N(tblLog[[#This Row],[Planned (units)]])&gt;0,tblLog[[#This Row],[Credited (units)]]/tblLog[[#This Row],[Planned (units)]],""))</f>
        <v>0.92</v>
      </c>
      <c r="L60" s="35">
        <f>IF(tblLog[[#This Row],[Date]]="","",IF(N(tblLog[[#This Row],[Planned (units)]])&gt;0,IF(tblLog[[#This Row],[Actual (units)]]&gt;=tblLog[[#This Row],[Planned (units)]],1,0),""))</f>
        <v>0</v>
      </c>
      <c r="M60" s="37" t="str">
        <f>IF(NOT(ISNUMBER(tblLog[[#This Row],[Attainment]])),"",IF(tblLog[[#This Row],[Attainment]]&gt;=TargetAttain,"On target",IF(tblLog[[#This Row],[Attainment]]&gt;=TargetAttain*(1-0.05),"Near target","Below target")))</f>
        <v>Near target</v>
      </c>
      <c r="N60" s="38">
        <f>IF(tblLog[[#This Row],[Date]]="","",IF(AND(tblLog[[#This Row],[Date]]&gt;=FFrom,tblLog[[#This Row],[Date]]&lt;=FTo,OR(DashLine="",tblLog[[#This Row],[Line]]=DashLine)),tblLog[[#This Row],[Date]],""))</f>
        <v>46308</v>
      </c>
      <c r="O6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0" s="40" t="s">
        <v>118</v>
      </c>
    </row>
    <row r="61" spans="2:16" x14ac:dyDescent="0.25">
      <c r="B61" s="33">
        <v>46308</v>
      </c>
      <c r="C61" s="28" t="s">
        <v>77</v>
      </c>
      <c r="D61" s="28" t="s">
        <v>87</v>
      </c>
      <c r="E61" s="34">
        <v>80</v>
      </c>
      <c r="F61" s="34">
        <v>75</v>
      </c>
      <c r="G61" s="28" t="s">
        <v>93</v>
      </c>
      <c r="H61" s="35">
        <f>IF(tblLog[[#This Row],[Date]]="","",IF(tblLog[[#This Row],[Planned (units)]]="","",MIN(tblLog[[#This Row],[Actual (units)]],tblLog[[#This Row],[Planned (units)]])))</f>
        <v>75</v>
      </c>
      <c r="I61" s="35">
        <f>IF(tblLog[[#This Row],[Date]]="","",IF(tblLog[[#This Row],[Planned (units)]]="","",MAX(0,tblLog[[#This Row],[Planned (units)]]-tblLog[[#This Row],[Actual (units)]])))</f>
        <v>5</v>
      </c>
      <c r="J61" s="35">
        <f>IF(tblLog[[#This Row],[Date]]="","",IF(tblLog[[#This Row],[Planned (units)]]="","",MAX(0,tblLog[[#This Row],[Actual (units)]]-tblLog[[#This Row],[Planned (units)]])))</f>
        <v>0</v>
      </c>
      <c r="K61" s="36">
        <f>IF(tblLog[[#This Row],[Date]]="","",IF(N(tblLog[[#This Row],[Planned (units)]])&gt;0,tblLog[[#This Row],[Credited (units)]]/tblLog[[#This Row],[Planned (units)]],""))</f>
        <v>0.9375</v>
      </c>
      <c r="L61" s="35">
        <f>IF(tblLog[[#This Row],[Date]]="","",IF(N(tblLog[[#This Row],[Planned (units)]])&gt;0,IF(tblLog[[#This Row],[Actual (units)]]&gt;=tblLog[[#This Row],[Planned (units)]],1,0),""))</f>
        <v>0</v>
      </c>
      <c r="M61" s="37" t="str">
        <f>IF(NOT(ISNUMBER(tblLog[[#This Row],[Attainment]])),"",IF(tblLog[[#This Row],[Attainment]]&gt;=TargetAttain,"On target",IF(tblLog[[#This Row],[Attainment]]&gt;=TargetAttain*(1-0.05),"Near target","Below target")))</f>
        <v>Near target</v>
      </c>
      <c r="N61" s="38">
        <f>IF(tblLog[[#This Row],[Date]]="","",IF(AND(tblLog[[#This Row],[Date]]&gt;=FFrom,tblLog[[#This Row],[Date]]&lt;=FTo,OR(DashLine="",tblLog[[#This Row],[Line]]=DashLine)),tblLog[[#This Row],[Date]],""))</f>
        <v>46308</v>
      </c>
      <c r="O6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1" s="40" t="s">
        <v>118</v>
      </c>
    </row>
    <row r="62" spans="2:16" x14ac:dyDescent="0.25">
      <c r="B62" s="33">
        <v>46309</v>
      </c>
      <c r="C62" s="28" t="s">
        <v>73</v>
      </c>
      <c r="D62" s="28" t="s">
        <v>80</v>
      </c>
      <c r="E62" s="34">
        <v>60</v>
      </c>
      <c r="F62" s="34">
        <v>67</v>
      </c>
      <c r="G62" s="28"/>
      <c r="H62" s="35">
        <f>IF(tblLog[[#This Row],[Date]]="","",IF(tblLog[[#This Row],[Planned (units)]]="","",MIN(tblLog[[#This Row],[Actual (units)]],tblLog[[#This Row],[Planned (units)]])))</f>
        <v>60</v>
      </c>
      <c r="I62" s="35">
        <f>IF(tblLog[[#This Row],[Date]]="","",IF(tblLog[[#This Row],[Planned (units)]]="","",MAX(0,tblLog[[#This Row],[Planned (units)]]-tblLog[[#This Row],[Actual (units)]])))</f>
        <v>0</v>
      </c>
      <c r="J62" s="35">
        <f>IF(tblLog[[#This Row],[Date]]="","",IF(tblLog[[#This Row],[Planned (units)]]="","",MAX(0,tblLog[[#This Row],[Actual (units)]]-tblLog[[#This Row],[Planned (units)]])))</f>
        <v>7</v>
      </c>
      <c r="K62" s="36">
        <f>IF(tblLog[[#This Row],[Date]]="","",IF(N(tblLog[[#This Row],[Planned (units)]])&gt;0,tblLog[[#This Row],[Credited (units)]]/tblLog[[#This Row],[Planned (units)]],""))</f>
        <v>1</v>
      </c>
      <c r="L62" s="35">
        <f>IF(tblLog[[#This Row],[Date]]="","",IF(N(tblLog[[#This Row],[Planned (units)]])&gt;0,IF(tblLog[[#This Row],[Actual (units)]]&gt;=tblLog[[#This Row],[Planned (units)]],1,0),""))</f>
        <v>1</v>
      </c>
      <c r="M62" s="37" t="str">
        <f>IF(NOT(ISNUMBER(tblLog[[#This Row],[Attainment]])),"",IF(tblLog[[#This Row],[Attainment]]&gt;=TargetAttain,"On target",IF(tblLog[[#This Row],[Attainment]]&gt;=TargetAttain*(1-0.05),"Near target","Below target")))</f>
        <v>On target</v>
      </c>
      <c r="N62" s="38">
        <f>IF(tblLog[[#This Row],[Date]]="","",IF(AND(tblLog[[#This Row],[Date]]&gt;=FFrom,tblLog[[#This Row],[Date]]&lt;=FTo,OR(DashLine="",tblLog[[#This Row],[Line]]=DashLine)),tblLog[[#This Row],[Date]],""))</f>
        <v>46309</v>
      </c>
      <c r="O6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2" s="40" t="s">
        <v>118</v>
      </c>
    </row>
    <row r="63" spans="2:16" x14ac:dyDescent="0.25">
      <c r="B63" s="33">
        <v>46309</v>
      </c>
      <c r="C63" s="28" t="s">
        <v>73</v>
      </c>
      <c r="D63" s="28" t="s">
        <v>81</v>
      </c>
      <c r="E63" s="34">
        <v>60</v>
      </c>
      <c r="F63" s="34">
        <v>56</v>
      </c>
      <c r="G63" s="28" t="s">
        <v>93</v>
      </c>
      <c r="H63" s="35">
        <f>IF(tblLog[[#This Row],[Date]]="","",IF(tblLog[[#This Row],[Planned (units)]]="","",MIN(tblLog[[#This Row],[Actual (units)]],tblLog[[#This Row],[Planned (units)]])))</f>
        <v>56</v>
      </c>
      <c r="I63" s="35">
        <f>IF(tblLog[[#This Row],[Date]]="","",IF(tblLog[[#This Row],[Planned (units)]]="","",MAX(0,tblLog[[#This Row],[Planned (units)]]-tblLog[[#This Row],[Actual (units)]])))</f>
        <v>4</v>
      </c>
      <c r="J63" s="35">
        <f>IF(tblLog[[#This Row],[Date]]="","",IF(tblLog[[#This Row],[Planned (units)]]="","",MAX(0,tblLog[[#This Row],[Actual (units)]]-tblLog[[#This Row],[Planned (units)]])))</f>
        <v>0</v>
      </c>
      <c r="K63" s="36">
        <f>IF(tblLog[[#This Row],[Date]]="","",IF(N(tblLog[[#This Row],[Planned (units)]])&gt;0,tblLog[[#This Row],[Credited (units)]]/tblLog[[#This Row],[Planned (units)]],""))</f>
        <v>0.933333333333333</v>
      </c>
      <c r="L63" s="35">
        <f>IF(tblLog[[#This Row],[Date]]="","",IF(N(tblLog[[#This Row],[Planned (units)]])&gt;0,IF(tblLog[[#This Row],[Actual (units)]]&gt;=tblLog[[#This Row],[Planned (units)]],1,0),""))</f>
        <v>0</v>
      </c>
      <c r="M63" s="37" t="str">
        <f>IF(NOT(ISNUMBER(tblLog[[#This Row],[Attainment]])),"",IF(tblLog[[#This Row],[Attainment]]&gt;=TargetAttain,"On target",IF(tblLog[[#This Row],[Attainment]]&gt;=TargetAttain*(1-0.05),"Near target","Below target")))</f>
        <v>Near target</v>
      </c>
      <c r="N63" s="38">
        <f>IF(tblLog[[#This Row],[Date]]="","",IF(AND(tblLog[[#This Row],[Date]]&gt;=FFrom,tblLog[[#This Row],[Date]]&lt;=FTo,OR(DashLine="",tblLog[[#This Row],[Line]]=DashLine)),tblLog[[#This Row],[Date]],""))</f>
        <v>46309</v>
      </c>
      <c r="O6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3" s="40" t="s">
        <v>118</v>
      </c>
    </row>
    <row r="64" spans="2:16" x14ac:dyDescent="0.25">
      <c r="B64" s="33">
        <v>46309</v>
      </c>
      <c r="C64" s="28" t="s">
        <v>73</v>
      </c>
      <c r="D64" s="28" t="s">
        <v>82</v>
      </c>
      <c r="E64" s="34">
        <v>30</v>
      </c>
      <c r="F64" s="34">
        <v>23</v>
      </c>
      <c r="G64" s="28" t="s">
        <v>93</v>
      </c>
      <c r="H64" s="35">
        <f>IF(tblLog[[#This Row],[Date]]="","",IF(tblLog[[#This Row],[Planned (units)]]="","",MIN(tblLog[[#This Row],[Actual (units)]],tblLog[[#This Row],[Planned (units)]])))</f>
        <v>23</v>
      </c>
      <c r="I64" s="35">
        <f>IF(tblLog[[#This Row],[Date]]="","",IF(tblLog[[#This Row],[Planned (units)]]="","",MAX(0,tblLog[[#This Row],[Planned (units)]]-tblLog[[#This Row],[Actual (units)]])))</f>
        <v>7</v>
      </c>
      <c r="J64" s="35">
        <f>IF(tblLog[[#This Row],[Date]]="","",IF(tblLog[[#This Row],[Planned (units)]]="","",MAX(0,tblLog[[#This Row],[Actual (units)]]-tblLog[[#This Row],[Planned (units)]])))</f>
        <v>0</v>
      </c>
      <c r="K64" s="36">
        <f>IF(tblLog[[#This Row],[Date]]="","",IF(N(tblLog[[#This Row],[Planned (units)]])&gt;0,tblLog[[#This Row],[Credited (units)]]/tblLog[[#This Row],[Planned (units)]],""))</f>
        <v>0.766666666666667</v>
      </c>
      <c r="L64" s="35">
        <f>IF(tblLog[[#This Row],[Date]]="","",IF(N(tblLog[[#This Row],[Planned (units)]])&gt;0,IF(tblLog[[#This Row],[Actual (units)]]&gt;=tblLog[[#This Row],[Planned (units)]],1,0),""))</f>
        <v>0</v>
      </c>
      <c r="M64" s="37" t="str">
        <f>IF(NOT(ISNUMBER(tblLog[[#This Row],[Attainment]])),"",IF(tblLog[[#This Row],[Attainment]]&gt;=TargetAttain,"On target",IF(tblLog[[#This Row],[Attainment]]&gt;=TargetAttain*(1-0.05),"Near target","Below target")))</f>
        <v>Below target</v>
      </c>
      <c r="N64" s="38">
        <f>IF(tblLog[[#This Row],[Date]]="","",IF(AND(tblLog[[#This Row],[Date]]&gt;=FFrom,tblLog[[#This Row],[Date]]&lt;=FTo,OR(DashLine="",tblLog[[#This Row],[Line]]=DashLine)),tblLog[[#This Row],[Date]],""))</f>
        <v>46309</v>
      </c>
      <c r="O6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4" s="40" t="s">
        <v>118</v>
      </c>
    </row>
    <row r="65" spans="2:16" x14ac:dyDescent="0.25">
      <c r="B65" s="33">
        <v>46309</v>
      </c>
      <c r="C65" s="28" t="s">
        <v>75</v>
      </c>
      <c r="D65" s="28" t="s">
        <v>83</v>
      </c>
      <c r="E65" s="34">
        <v>140</v>
      </c>
      <c r="F65" s="34">
        <v>141</v>
      </c>
      <c r="G65" s="28"/>
      <c r="H65" s="35">
        <f>IF(tblLog[[#This Row],[Date]]="","",IF(tblLog[[#This Row],[Planned (units)]]="","",MIN(tblLog[[#This Row],[Actual (units)]],tblLog[[#This Row],[Planned (units)]])))</f>
        <v>140</v>
      </c>
      <c r="I65" s="35">
        <f>IF(tblLog[[#This Row],[Date]]="","",IF(tblLog[[#This Row],[Planned (units)]]="","",MAX(0,tblLog[[#This Row],[Planned (units)]]-tblLog[[#This Row],[Actual (units)]])))</f>
        <v>0</v>
      </c>
      <c r="J65" s="35">
        <f>IF(tblLog[[#This Row],[Date]]="","",IF(tblLog[[#This Row],[Planned (units)]]="","",MAX(0,tblLog[[#This Row],[Actual (units)]]-tblLog[[#This Row],[Planned (units)]])))</f>
        <v>1</v>
      </c>
      <c r="K65" s="36">
        <f>IF(tblLog[[#This Row],[Date]]="","",IF(N(tblLog[[#This Row],[Planned (units)]])&gt;0,tblLog[[#This Row],[Credited (units)]]/tblLog[[#This Row],[Planned (units)]],""))</f>
        <v>1</v>
      </c>
      <c r="L65" s="35">
        <f>IF(tblLog[[#This Row],[Date]]="","",IF(N(tblLog[[#This Row],[Planned (units)]])&gt;0,IF(tblLog[[#This Row],[Actual (units)]]&gt;=tblLog[[#This Row],[Planned (units)]],1,0),""))</f>
        <v>1</v>
      </c>
      <c r="M65" s="37" t="str">
        <f>IF(NOT(ISNUMBER(tblLog[[#This Row],[Attainment]])),"",IF(tblLog[[#This Row],[Attainment]]&gt;=TargetAttain,"On target",IF(tblLog[[#This Row],[Attainment]]&gt;=TargetAttain*(1-0.05),"Near target","Below target")))</f>
        <v>On target</v>
      </c>
      <c r="N65" s="38">
        <f>IF(tblLog[[#This Row],[Date]]="","",IF(AND(tblLog[[#This Row],[Date]]&gt;=FFrom,tblLog[[#This Row],[Date]]&lt;=FTo,OR(DashLine="",tblLog[[#This Row],[Line]]=DashLine)),tblLog[[#This Row],[Date]],""))</f>
        <v>46309</v>
      </c>
      <c r="O6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5" s="40" t="s">
        <v>118</v>
      </c>
    </row>
    <row r="66" spans="2:16" x14ac:dyDescent="0.25">
      <c r="B66" s="33">
        <v>46309</v>
      </c>
      <c r="C66" s="28" t="s">
        <v>75</v>
      </c>
      <c r="D66" s="28" t="s">
        <v>84</v>
      </c>
      <c r="E66" s="34">
        <v>140</v>
      </c>
      <c r="F66" s="34">
        <v>144</v>
      </c>
      <c r="G66" s="28"/>
      <c r="H66" s="35">
        <f>IF(tblLog[[#This Row],[Date]]="","",IF(tblLog[[#This Row],[Planned (units)]]="","",MIN(tblLog[[#This Row],[Actual (units)]],tblLog[[#This Row],[Planned (units)]])))</f>
        <v>140</v>
      </c>
      <c r="I66" s="35">
        <f>IF(tblLog[[#This Row],[Date]]="","",IF(tblLog[[#This Row],[Planned (units)]]="","",MAX(0,tblLog[[#This Row],[Planned (units)]]-tblLog[[#This Row],[Actual (units)]])))</f>
        <v>0</v>
      </c>
      <c r="J66" s="35">
        <f>IF(tblLog[[#This Row],[Date]]="","",IF(tblLog[[#This Row],[Planned (units)]]="","",MAX(0,tblLog[[#This Row],[Actual (units)]]-tblLog[[#This Row],[Planned (units)]])))</f>
        <v>4</v>
      </c>
      <c r="K66" s="36">
        <f>IF(tblLog[[#This Row],[Date]]="","",IF(N(tblLog[[#This Row],[Planned (units)]])&gt;0,tblLog[[#This Row],[Credited (units)]]/tblLog[[#This Row],[Planned (units)]],""))</f>
        <v>1</v>
      </c>
      <c r="L66" s="35">
        <f>IF(tblLog[[#This Row],[Date]]="","",IF(N(tblLog[[#This Row],[Planned (units)]])&gt;0,IF(tblLog[[#This Row],[Actual (units)]]&gt;=tblLog[[#This Row],[Planned (units)]],1,0),""))</f>
        <v>1</v>
      </c>
      <c r="M66" s="37" t="str">
        <f>IF(NOT(ISNUMBER(tblLog[[#This Row],[Attainment]])),"",IF(tblLog[[#This Row],[Attainment]]&gt;=TargetAttain,"On target",IF(tblLog[[#This Row],[Attainment]]&gt;=TargetAttain*(1-0.05),"Near target","Below target")))</f>
        <v>On target</v>
      </c>
      <c r="N66" s="38">
        <f>IF(tblLog[[#This Row],[Date]]="","",IF(AND(tblLog[[#This Row],[Date]]&gt;=FFrom,tblLog[[#This Row],[Date]]&lt;=FTo,OR(DashLine="",tblLog[[#This Row],[Line]]=DashLine)),tblLog[[#This Row],[Date]],""))</f>
        <v>46309</v>
      </c>
      <c r="O6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6" s="40" t="s">
        <v>118</v>
      </c>
    </row>
    <row r="67" spans="2:16" x14ac:dyDescent="0.25">
      <c r="B67" s="33">
        <v>46309</v>
      </c>
      <c r="C67" s="28" t="s">
        <v>77</v>
      </c>
      <c r="D67" s="28" t="s">
        <v>85</v>
      </c>
      <c r="E67" s="34">
        <v>45</v>
      </c>
      <c r="F67" s="34">
        <v>43</v>
      </c>
      <c r="G67" s="28" t="s">
        <v>93</v>
      </c>
      <c r="H67" s="35">
        <f>IF(tblLog[[#This Row],[Date]]="","",IF(tblLog[[#This Row],[Planned (units)]]="","",MIN(tblLog[[#This Row],[Actual (units)]],tblLog[[#This Row],[Planned (units)]])))</f>
        <v>43</v>
      </c>
      <c r="I67" s="35">
        <f>IF(tblLog[[#This Row],[Date]]="","",IF(tblLog[[#This Row],[Planned (units)]]="","",MAX(0,tblLog[[#This Row],[Planned (units)]]-tblLog[[#This Row],[Actual (units)]])))</f>
        <v>2</v>
      </c>
      <c r="J67" s="35">
        <f>IF(tblLog[[#This Row],[Date]]="","",IF(tblLog[[#This Row],[Planned (units)]]="","",MAX(0,tblLog[[#This Row],[Actual (units)]]-tblLog[[#This Row],[Planned (units)]])))</f>
        <v>0</v>
      </c>
      <c r="K67" s="36">
        <f>IF(tblLog[[#This Row],[Date]]="","",IF(N(tblLog[[#This Row],[Planned (units)]])&gt;0,tblLog[[#This Row],[Credited (units)]]/tblLog[[#This Row],[Planned (units)]],""))</f>
        <v>0.955555555555556</v>
      </c>
      <c r="L67" s="35">
        <f>IF(tblLog[[#This Row],[Date]]="","",IF(N(tblLog[[#This Row],[Planned (units)]])&gt;0,IF(tblLog[[#This Row],[Actual (units)]]&gt;=tblLog[[#This Row],[Planned (units)]],1,0),""))</f>
        <v>0</v>
      </c>
      <c r="M67" s="37" t="str">
        <f>IF(NOT(ISNUMBER(tblLog[[#This Row],[Attainment]])),"",IF(tblLog[[#This Row],[Attainment]]&gt;=TargetAttain,"On target",IF(tblLog[[#This Row],[Attainment]]&gt;=TargetAttain*(1-0.05),"Near target","Below target")))</f>
        <v>On target</v>
      </c>
      <c r="N67" s="38">
        <f>IF(tblLog[[#This Row],[Date]]="","",IF(AND(tblLog[[#This Row],[Date]]&gt;=FFrom,tblLog[[#This Row],[Date]]&lt;=FTo,OR(DashLine="",tblLog[[#This Row],[Line]]=DashLine)),tblLog[[#This Row],[Date]],""))</f>
        <v>46309</v>
      </c>
      <c r="O6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7" s="40" t="s">
        <v>118</v>
      </c>
    </row>
    <row r="68" spans="2:16" x14ac:dyDescent="0.25">
      <c r="B68" s="33">
        <v>46309</v>
      </c>
      <c r="C68" s="28" t="s">
        <v>77</v>
      </c>
      <c r="D68" s="28" t="s">
        <v>86</v>
      </c>
      <c r="E68" s="34">
        <v>25</v>
      </c>
      <c r="F68" s="34">
        <v>24</v>
      </c>
      <c r="G68" s="28" t="s">
        <v>93</v>
      </c>
      <c r="H68" s="35">
        <f>IF(tblLog[[#This Row],[Date]]="","",IF(tblLog[[#This Row],[Planned (units)]]="","",MIN(tblLog[[#This Row],[Actual (units)]],tblLog[[#This Row],[Planned (units)]])))</f>
        <v>24</v>
      </c>
      <c r="I68" s="35">
        <f>IF(tblLog[[#This Row],[Date]]="","",IF(tblLog[[#This Row],[Planned (units)]]="","",MAX(0,tblLog[[#This Row],[Planned (units)]]-tblLog[[#This Row],[Actual (units)]])))</f>
        <v>1</v>
      </c>
      <c r="J68" s="35">
        <f>IF(tblLog[[#This Row],[Date]]="","",IF(tblLog[[#This Row],[Planned (units)]]="","",MAX(0,tblLog[[#This Row],[Actual (units)]]-tblLog[[#This Row],[Planned (units)]])))</f>
        <v>0</v>
      </c>
      <c r="K68" s="36">
        <f>IF(tblLog[[#This Row],[Date]]="","",IF(N(tblLog[[#This Row],[Planned (units)]])&gt;0,tblLog[[#This Row],[Credited (units)]]/tblLog[[#This Row],[Planned (units)]],""))</f>
        <v>0.96</v>
      </c>
      <c r="L68" s="35">
        <f>IF(tblLog[[#This Row],[Date]]="","",IF(N(tblLog[[#This Row],[Planned (units)]])&gt;0,IF(tblLog[[#This Row],[Actual (units)]]&gt;=tblLog[[#This Row],[Planned (units)]],1,0),""))</f>
        <v>0</v>
      </c>
      <c r="M68" s="37" t="str">
        <f>IF(NOT(ISNUMBER(tblLog[[#This Row],[Attainment]])),"",IF(tblLog[[#This Row],[Attainment]]&gt;=TargetAttain,"On target",IF(tblLog[[#This Row],[Attainment]]&gt;=TargetAttain*(1-0.05),"Near target","Below target")))</f>
        <v>On target</v>
      </c>
      <c r="N68" s="38">
        <f>IF(tblLog[[#This Row],[Date]]="","",IF(AND(tblLog[[#This Row],[Date]]&gt;=FFrom,tblLog[[#This Row],[Date]]&lt;=FTo,OR(DashLine="",tblLog[[#This Row],[Line]]=DashLine)),tblLog[[#This Row],[Date]],""))</f>
        <v>46309</v>
      </c>
      <c r="O6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8" s="40" t="s">
        <v>118</v>
      </c>
    </row>
    <row r="69" spans="2:16" x14ac:dyDescent="0.25">
      <c r="B69" s="33">
        <v>46309</v>
      </c>
      <c r="C69" s="28" t="s">
        <v>77</v>
      </c>
      <c r="D69" s="28" t="s">
        <v>87</v>
      </c>
      <c r="E69" s="34">
        <v>80</v>
      </c>
      <c r="F69" s="34">
        <v>77</v>
      </c>
      <c r="G69" s="28" t="s">
        <v>97</v>
      </c>
      <c r="H69" s="35">
        <f>IF(tblLog[[#This Row],[Date]]="","",IF(tblLog[[#This Row],[Planned (units)]]="","",MIN(tblLog[[#This Row],[Actual (units)]],tblLog[[#This Row],[Planned (units)]])))</f>
        <v>77</v>
      </c>
      <c r="I69" s="35">
        <f>IF(tblLog[[#This Row],[Date]]="","",IF(tblLog[[#This Row],[Planned (units)]]="","",MAX(0,tblLog[[#This Row],[Planned (units)]]-tblLog[[#This Row],[Actual (units)]])))</f>
        <v>3</v>
      </c>
      <c r="J69" s="35">
        <f>IF(tblLog[[#This Row],[Date]]="","",IF(tblLog[[#This Row],[Planned (units)]]="","",MAX(0,tblLog[[#This Row],[Actual (units)]]-tblLog[[#This Row],[Planned (units)]])))</f>
        <v>0</v>
      </c>
      <c r="K69" s="36">
        <f>IF(tblLog[[#This Row],[Date]]="","",IF(N(tblLog[[#This Row],[Planned (units)]])&gt;0,tblLog[[#This Row],[Credited (units)]]/tblLog[[#This Row],[Planned (units)]],""))</f>
        <v>0.9625</v>
      </c>
      <c r="L69" s="35">
        <f>IF(tblLog[[#This Row],[Date]]="","",IF(N(tblLog[[#This Row],[Planned (units)]])&gt;0,IF(tblLog[[#This Row],[Actual (units)]]&gt;=tblLog[[#This Row],[Planned (units)]],1,0),""))</f>
        <v>0</v>
      </c>
      <c r="M69" s="37" t="str">
        <f>IF(NOT(ISNUMBER(tblLog[[#This Row],[Attainment]])),"",IF(tblLog[[#This Row],[Attainment]]&gt;=TargetAttain,"On target",IF(tblLog[[#This Row],[Attainment]]&gt;=TargetAttain*(1-0.05),"Near target","Below target")))</f>
        <v>On target</v>
      </c>
      <c r="N69" s="38">
        <f>IF(tblLog[[#This Row],[Date]]="","",IF(AND(tblLog[[#This Row],[Date]]&gt;=FFrom,tblLog[[#This Row],[Date]]&lt;=FTo,OR(DashLine="",tblLog[[#This Row],[Line]]=DashLine)),tblLog[[#This Row],[Date]],""))</f>
        <v>46309</v>
      </c>
      <c r="O6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69" s="40" t="s">
        <v>118</v>
      </c>
    </row>
    <row r="70" spans="2:16" x14ac:dyDescent="0.25">
      <c r="B70" s="33">
        <v>46310</v>
      </c>
      <c r="C70" s="28" t="s">
        <v>73</v>
      </c>
      <c r="D70" s="28" t="s">
        <v>80</v>
      </c>
      <c r="E70" s="34">
        <v>60</v>
      </c>
      <c r="F70" s="34">
        <v>65</v>
      </c>
      <c r="G70" s="28"/>
      <c r="H70" s="35">
        <f>IF(tblLog[[#This Row],[Date]]="","",IF(tblLog[[#This Row],[Planned (units)]]="","",MIN(tblLog[[#This Row],[Actual (units)]],tblLog[[#This Row],[Planned (units)]])))</f>
        <v>60</v>
      </c>
      <c r="I70" s="35">
        <f>IF(tblLog[[#This Row],[Date]]="","",IF(tblLog[[#This Row],[Planned (units)]]="","",MAX(0,tblLog[[#This Row],[Planned (units)]]-tblLog[[#This Row],[Actual (units)]])))</f>
        <v>0</v>
      </c>
      <c r="J70" s="35">
        <f>IF(tblLog[[#This Row],[Date]]="","",IF(tblLog[[#This Row],[Planned (units)]]="","",MAX(0,tblLog[[#This Row],[Actual (units)]]-tblLog[[#This Row],[Planned (units)]])))</f>
        <v>5</v>
      </c>
      <c r="K70" s="36">
        <f>IF(tblLog[[#This Row],[Date]]="","",IF(N(tblLog[[#This Row],[Planned (units)]])&gt;0,tblLog[[#This Row],[Credited (units)]]/tblLog[[#This Row],[Planned (units)]],""))</f>
        <v>1</v>
      </c>
      <c r="L70" s="35">
        <f>IF(tblLog[[#This Row],[Date]]="","",IF(N(tblLog[[#This Row],[Planned (units)]])&gt;0,IF(tblLog[[#This Row],[Actual (units)]]&gt;=tblLog[[#This Row],[Planned (units)]],1,0),""))</f>
        <v>1</v>
      </c>
      <c r="M70" s="37" t="str">
        <f>IF(NOT(ISNUMBER(tblLog[[#This Row],[Attainment]])),"",IF(tblLog[[#This Row],[Attainment]]&gt;=TargetAttain,"On target",IF(tblLog[[#This Row],[Attainment]]&gt;=TargetAttain*(1-0.05),"Near target","Below target")))</f>
        <v>On target</v>
      </c>
      <c r="N70" s="38">
        <f>IF(tblLog[[#This Row],[Date]]="","",IF(AND(tblLog[[#This Row],[Date]]&gt;=FFrom,tblLog[[#This Row],[Date]]&lt;=FTo,OR(DashLine="",tblLog[[#This Row],[Line]]=DashLine)),tblLog[[#This Row],[Date]],""))</f>
        <v>46310</v>
      </c>
      <c r="O7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0" s="40" t="s">
        <v>118</v>
      </c>
    </row>
    <row r="71" spans="2:16" x14ac:dyDescent="0.25">
      <c r="B71" s="33">
        <v>46310</v>
      </c>
      <c r="C71" s="28" t="s">
        <v>73</v>
      </c>
      <c r="D71" s="28" t="s">
        <v>81</v>
      </c>
      <c r="E71" s="34">
        <v>60</v>
      </c>
      <c r="F71" s="34">
        <v>54</v>
      </c>
      <c r="G71" s="28" t="s">
        <v>95</v>
      </c>
      <c r="H71" s="35">
        <f>IF(tblLog[[#This Row],[Date]]="","",IF(tblLog[[#This Row],[Planned (units)]]="","",MIN(tblLog[[#This Row],[Actual (units)]],tblLog[[#This Row],[Planned (units)]])))</f>
        <v>54</v>
      </c>
      <c r="I71" s="35">
        <f>IF(tblLog[[#This Row],[Date]]="","",IF(tblLog[[#This Row],[Planned (units)]]="","",MAX(0,tblLog[[#This Row],[Planned (units)]]-tblLog[[#This Row],[Actual (units)]])))</f>
        <v>6</v>
      </c>
      <c r="J71" s="35">
        <f>IF(tblLog[[#This Row],[Date]]="","",IF(tblLog[[#This Row],[Planned (units)]]="","",MAX(0,tblLog[[#This Row],[Actual (units)]]-tblLog[[#This Row],[Planned (units)]])))</f>
        <v>0</v>
      </c>
      <c r="K71" s="36">
        <f>IF(tblLog[[#This Row],[Date]]="","",IF(N(tblLog[[#This Row],[Planned (units)]])&gt;0,tblLog[[#This Row],[Credited (units)]]/tblLog[[#This Row],[Planned (units)]],""))</f>
        <v>0.9</v>
      </c>
      <c r="L71" s="35">
        <f>IF(tblLog[[#This Row],[Date]]="","",IF(N(tblLog[[#This Row],[Planned (units)]])&gt;0,IF(tblLog[[#This Row],[Actual (units)]]&gt;=tblLog[[#This Row],[Planned (units)]],1,0),""))</f>
        <v>0</v>
      </c>
      <c r="M71" s="37" t="str">
        <f>IF(NOT(ISNUMBER(tblLog[[#This Row],[Attainment]])),"",IF(tblLog[[#This Row],[Attainment]]&gt;=TargetAttain,"On target",IF(tblLog[[#This Row],[Attainment]]&gt;=TargetAttain*(1-0.05),"Near target","Below target")))</f>
        <v>Below target</v>
      </c>
      <c r="N71" s="38">
        <f>IF(tblLog[[#This Row],[Date]]="","",IF(AND(tblLog[[#This Row],[Date]]&gt;=FFrom,tblLog[[#This Row],[Date]]&lt;=FTo,OR(DashLine="",tblLog[[#This Row],[Line]]=DashLine)),tblLog[[#This Row],[Date]],""))</f>
        <v>46310</v>
      </c>
      <c r="O7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1" s="40" t="s">
        <v>118</v>
      </c>
    </row>
    <row r="72" spans="2:16" x14ac:dyDescent="0.25">
      <c r="B72" s="33">
        <v>46310</v>
      </c>
      <c r="C72" s="28" t="s">
        <v>73</v>
      </c>
      <c r="D72" s="28" t="s">
        <v>82</v>
      </c>
      <c r="E72" s="34">
        <v>30</v>
      </c>
      <c r="F72" s="34">
        <v>25</v>
      </c>
      <c r="G72" s="28" t="s">
        <v>93</v>
      </c>
      <c r="H72" s="35">
        <f>IF(tblLog[[#This Row],[Date]]="","",IF(tblLog[[#This Row],[Planned (units)]]="","",MIN(tblLog[[#This Row],[Actual (units)]],tblLog[[#This Row],[Planned (units)]])))</f>
        <v>25</v>
      </c>
      <c r="I72" s="35">
        <f>IF(tblLog[[#This Row],[Date]]="","",IF(tblLog[[#This Row],[Planned (units)]]="","",MAX(0,tblLog[[#This Row],[Planned (units)]]-tblLog[[#This Row],[Actual (units)]])))</f>
        <v>5</v>
      </c>
      <c r="J72" s="35">
        <f>IF(tblLog[[#This Row],[Date]]="","",IF(tblLog[[#This Row],[Planned (units)]]="","",MAX(0,tblLog[[#This Row],[Actual (units)]]-tblLog[[#This Row],[Planned (units)]])))</f>
        <v>0</v>
      </c>
      <c r="K72" s="36">
        <f>IF(tblLog[[#This Row],[Date]]="","",IF(N(tblLog[[#This Row],[Planned (units)]])&gt;0,tblLog[[#This Row],[Credited (units)]]/tblLog[[#This Row],[Planned (units)]],""))</f>
        <v>0.833333333333333</v>
      </c>
      <c r="L72" s="35">
        <f>IF(tblLog[[#This Row],[Date]]="","",IF(N(tblLog[[#This Row],[Planned (units)]])&gt;0,IF(tblLog[[#This Row],[Actual (units)]]&gt;=tblLog[[#This Row],[Planned (units)]],1,0),""))</f>
        <v>0</v>
      </c>
      <c r="M72" s="37" t="str">
        <f>IF(NOT(ISNUMBER(tblLog[[#This Row],[Attainment]])),"",IF(tblLog[[#This Row],[Attainment]]&gt;=TargetAttain,"On target",IF(tblLog[[#This Row],[Attainment]]&gt;=TargetAttain*(1-0.05),"Near target","Below target")))</f>
        <v>Below target</v>
      </c>
      <c r="N72" s="38">
        <f>IF(tblLog[[#This Row],[Date]]="","",IF(AND(tblLog[[#This Row],[Date]]&gt;=FFrom,tblLog[[#This Row],[Date]]&lt;=FTo,OR(DashLine="",tblLog[[#This Row],[Line]]=DashLine)),tblLog[[#This Row],[Date]],""))</f>
        <v>46310</v>
      </c>
      <c r="O7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2" s="40" t="s">
        <v>118</v>
      </c>
    </row>
    <row r="73" spans="2:16" x14ac:dyDescent="0.25">
      <c r="B73" s="33">
        <v>46310</v>
      </c>
      <c r="C73" s="28" t="s">
        <v>75</v>
      </c>
      <c r="D73" s="28" t="s">
        <v>83</v>
      </c>
      <c r="E73" s="34">
        <v>140</v>
      </c>
      <c r="F73" s="34">
        <v>133</v>
      </c>
      <c r="G73" s="28" t="s">
        <v>103</v>
      </c>
      <c r="H73" s="35">
        <f>IF(tblLog[[#This Row],[Date]]="","",IF(tblLog[[#This Row],[Planned (units)]]="","",MIN(tblLog[[#This Row],[Actual (units)]],tblLog[[#This Row],[Planned (units)]])))</f>
        <v>133</v>
      </c>
      <c r="I73" s="35">
        <f>IF(tblLog[[#This Row],[Date]]="","",IF(tblLog[[#This Row],[Planned (units)]]="","",MAX(0,tblLog[[#This Row],[Planned (units)]]-tblLog[[#This Row],[Actual (units)]])))</f>
        <v>7</v>
      </c>
      <c r="J73" s="35">
        <f>IF(tblLog[[#This Row],[Date]]="","",IF(tblLog[[#This Row],[Planned (units)]]="","",MAX(0,tblLog[[#This Row],[Actual (units)]]-tblLog[[#This Row],[Planned (units)]])))</f>
        <v>0</v>
      </c>
      <c r="K73" s="36">
        <f>IF(tblLog[[#This Row],[Date]]="","",IF(N(tblLog[[#This Row],[Planned (units)]])&gt;0,tblLog[[#This Row],[Credited (units)]]/tblLog[[#This Row],[Planned (units)]],""))</f>
        <v>0.95</v>
      </c>
      <c r="L73" s="35">
        <f>IF(tblLog[[#This Row],[Date]]="","",IF(N(tblLog[[#This Row],[Planned (units)]])&gt;0,IF(tblLog[[#This Row],[Actual (units)]]&gt;=tblLog[[#This Row],[Planned (units)]],1,0),""))</f>
        <v>0</v>
      </c>
      <c r="M73" s="37" t="str">
        <f>IF(NOT(ISNUMBER(tblLog[[#This Row],[Attainment]])),"",IF(tblLog[[#This Row],[Attainment]]&gt;=TargetAttain,"On target",IF(tblLog[[#This Row],[Attainment]]&gt;=TargetAttain*(1-0.05),"Near target","Below target")))</f>
        <v>On target</v>
      </c>
      <c r="N73" s="38">
        <f>IF(tblLog[[#This Row],[Date]]="","",IF(AND(tblLog[[#This Row],[Date]]&gt;=FFrom,tblLog[[#This Row],[Date]]&lt;=FTo,OR(DashLine="",tblLog[[#This Row],[Line]]=DashLine)),tblLog[[#This Row],[Date]],""))</f>
        <v>46310</v>
      </c>
      <c r="O7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3" s="40" t="s">
        <v>118</v>
      </c>
    </row>
    <row r="74" spans="2:16" x14ac:dyDescent="0.25">
      <c r="B74" s="33">
        <v>46310</v>
      </c>
      <c r="C74" s="28" t="s">
        <v>75</v>
      </c>
      <c r="D74" s="28" t="s">
        <v>84</v>
      </c>
      <c r="E74" s="34">
        <v>140</v>
      </c>
      <c r="F74" s="34">
        <v>140</v>
      </c>
      <c r="G74" s="28"/>
      <c r="H74" s="35">
        <f>IF(tblLog[[#This Row],[Date]]="","",IF(tblLog[[#This Row],[Planned (units)]]="","",MIN(tblLog[[#This Row],[Actual (units)]],tblLog[[#This Row],[Planned (units)]])))</f>
        <v>140</v>
      </c>
      <c r="I74" s="35">
        <f>IF(tblLog[[#This Row],[Date]]="","",IF(tblLog[[#This Row],[Planned (units)]]="","",MAX(0,tblLog[[#This Row],[Planned (units)]]-tblLog[[#This Row],[Actual (units)]])))</f>
        <v>0</v>
      </c>
      <c r="J74" s="35">
        <f>IF(tblLog[[#This Row],[Date]]="","",IF(tblLog[[#This Row],[Planned (units)]]="","",MAX(0,tblLog[[#This Row],[Actual (units)]]-tblLog[[#This Row],[Planned (units)]])))</f>
        <v>0</v>
      </c>
      <c r="K74" s="36">
        <f>IF(tblLog[[#This Row],[Date]]="","",IF(N(tblLog[[#This Row],[Planned (units)]])&gt;0,tblLog[[#This Row],[Credited (units)]]/tblLog[[#This Row],[Planned (units)]],""))</f>
        <v>1</v>
      </c>
      <c r="L74" s="35">
        <f>IF(tblLog[[#This Row],[Date]]="","",IF(N(tblLog[[#This Row],[Planned (units)]])&gt;0,IF(tblLog[[#This Row],[Actual (units)]]&gt;=tblLog[[#This Row],[Planned (units)]],1,0),""))</f>
        <v>1</v>
      </c>
      <c r="M74" s="37" t="str">
        <f>IF(NOT(ISNUMBER(tblLog[[#This Row],[Attainment]])),"",IF(tblLog[[#This Row],[Attainment]]&gt;=TargetAttain,"On target",IF(tblLog[[#This Row],[Attainment]]&gt;=TargetAttain*(1-0.05),"Near target","Below target")))</f>
        <v>On target</v>
      </c>
      <c r="N74" s="38">
        <f>IF(tblLog[[#This Row],[Date]]="","",IF(AND(tblLog[[#This Row],[Date]]&gt;=FFrom,tblLog[[#This Row],[Date]]&lt;=FTo,OR(DashLine="",tblLog[[#This Row],[Line]]=DashLine)),tblLog[[#This Row],[Date]],""))</f>
        <v>46310</v>
      </c>
      <c r="O7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4" s="40" t="s">
        <v>118</v>
      </c>
    </row>
    <row r="75" spans="2:16" x14ac:dyDescent="0.25">
      <c r="B75" s="33">
        <v>46310</v>
      </c>
      <c r="C75" s="28" t="s">
        <v>77</v>
      </c>
      <c r="D75" s="28" t="s">
        <v>85</v>
      </c>
      <c r="E75" s="34">
        <v>45</v>
      </c>
      <c r="F75" s="34">
        <v>43</v>
      </c>
      <c r="G75" s="28" t="s">
        <v>101</v>
      </c>
      <c r="H75" s="35">
        <f>IF(tblLog[[#This Row],[Date]]="","",IF(tblLog[[#This Row],[Planned (units)]]="","",MIN(tblLog[[#This Row],[Actual (units)]],tblLog[[#This Row],[Planned (units)]])))</f>
        <v>43</v>
      </c>
      <c r="I75" s="35">
        <f>IF(tblLog[[#This Row],[Date]]="","",IF(tblLog[[#This Row],[Planned (units)]]="","",MAX(0,tblLog[[#This Row],[Planned (units)]]-tblLog[[#This Row],[Actual (units)]])))</f>
        <v>2</v>
      </c>
      <c r="J75" s="35">
        <f>IF(tblLog[[#This Row],[Date]]="","",IF(tblLog[[#This Row],[Planned (units)]]="","",MAX(0,tblLog[[#This Row],[Actual (units)]]-tblLog[[#This Row],[Planned (units)]])))</f>
        <v>0</v>
      </c>
      <c r="K75" s="36">
        <f>IF(tblLog[[#This Row],[Date]]="","",IF(N(tblLog[[#This Row],[Planned (units)]])&gt;0,tblLog[[#This Row],[Credited (units)]]/tblLog[[#This Row],[Planned (units)]],""))</f>
        <v>0.955555555555556</v>
      </c>
      <c r="L75" s="35">
        <f>IF(tblLog[[#This Row],[Date]]="","",IF(N(tblLog[[#This Row],[Planned (units)]])&gt;0,IF(tblLog[[#This Row],[Actual (units)]]&gt;=tblLog[[#This Row],[Planned (units)]],1,0),""))</f>
        <v>0</v>
      </c>
      <c r="M75" s="37" t="str">
        <f>IF(NOT(ISNUMBER(tblLog[[#This Row],[Attainment]])),"",IF(tblLog[[#This Row],[Attainment]]&gt;=TargetAttain,"On target",IF(tblLog[[#This Row],[Attainment]]&gt;=TargetAttain*(1-0.05),"Near target","Below target")))</f>
        <v>On target</v>
      </c>
      <c r="N75" s="38">
        <f>IF(tblLog[[#This Row],[Date]]="","",IF(AND(tblLog[[#This Row],[Date]]&gt;=FFrom,tblLog[[#This Row],[Date]]&lt;=FTo,OR(DashLine="",tblLog[[#This Row],[Line]]=DashLine)),tblLog[[#This Row],[Date]],""))</f>
        <v>46310</v>
      </c>
      <c r="O7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5" s="40" t="s">
        <v>118</v>
      </c>
    </row>
    <row r="76" spans="2:16" x14ac:dyDescent="0.25">
      <c r="B76" s="33">
        <v>46310</v>
      </c>
      <c r="C76" s="28" t="s">
        <v>77</v>
      </c>
      <c r="D76" s="28" t="s">
        <v>86</v>
      </c>
      <c r="E76" s="34">
        <v>25</v>
      </c>
      <c r="F76" s="34">
        <v>26</v>
      </c>
      <c r="G76" s="28"/>
      <c r="H76" s="35">
        <f>IF(tblLog[[#This Row],[Date]]="","",IF(tblLog[[#This Row],[Planned (units)]]="","",MIN(tblLog[[#This Row],[Actual (units)]],tblLog[[#This Row],[Planned (units)]])))</f>
        <v>25</v>
      </c>
      <c r="I76" s="35">
        <f>IF(tblLog[[#This Row],[Date]]="","",IF(tblLog[[#This Row],[Planned (units)]]="","",MAX(0,tblLog[[#This Row],[Planned (units)]]-tblLog[[#This Row],[Actual (units)]])))</f>
        <v>0</v>
      </c>
      <c r="J76" s="35">
        <f>IF(tblLog[[#This Row],[Date]]="","",IF(tblLog[[#This Row],[Planned (units)]]="","",MAX(0,tblLog[[#This Row],[Actual (units)]]-tblLog[[#This Row],[Planned (units)]])))</f>
        <v>1</v>
      </c>
      <c r="K76" s="36">
        <f>IF(tblLog[[#This Row],[Date]]="","",IF(N(tblLog[[#This Row],[Planned (units)]])&gt;0,tblLog[[#This Row],[Credited (units)]]/tblLog[[#This Row],[Planned (units)]],""))</f>
        <v>1</v>
      </c>
      <c r="L76" s="35">
        <f>IF(tblLog[[#This Row],[Date]]="","",IF(N(tblLog[[#This Row],[Planned (units)]])&gt;0,IF(tblLog[[#This Row],[Actual (units)]]&gt;=tblLog[[#This Row],[Planned (units)]],1,0),""))</f>
        <v>1</v>
      </c>
      <c r="M76" s="37" t="str">
        <f>IF(NOT(ISNUMBER(tblLog[[#This Row],[Attainment]])),"",IF(tblLog[[#This Row],[Attainment]]&gt;=TargetAttain,"On target",IF(tblLog[[#This Row],[Attainment]]&gt;=TargetAttain*(1-0.05),"Near target","Below target")))</f>
        <v>On target</v>
      </c>
      <c r="N76" s="38">
        <f>IF(tblLog[[#This Row],[Date]]="","",IF(AND(tblLog[[#This Row],[Date]]&gt;=FFrom,tblLog[[#This Row],[Date]]&lt;=FTo,OR(DashLine="",tblLog[[#This Row],[Line]]=DashLine)),tblLog[[#This Row],[Date]],""))</f>
        <v>46310</v>
      </c>
      <c r="O76"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6" s="40" t="s">
        <v>118</v>
      </c>
    </row>
    <row r="77" spans="2:16" x14ac:dyDescent="0.25">
      <c r="B77" s="33">
        <v>46310</v>
      </c>
      <c r="C77" s="28" t="s">
        <v>77</v>
      </c>
      <c r="D77" s="28" t="s">
        <v>87</v>
      </c>
      <c r="E77" s="34">
        <v>80</v>
      </c>
      <c r="F77" s="34">
        <v>77</v>
      </c>
      <c r="G77" s="28" t="s">
        <v>93</v>
      </c>
      <c r="H77" s="35">
        <f>IF(tblLog[[#This Row],[Date]]="","",IF(tblLog[[#This Row],[Planned (units)]]="","",MIN(tblLog[[#This Row],[Actual (units)]],tblLog[[#This Row],[Planned (units)]])))</f>
        <v>77</v>
      </c>
      <c r="I77" s="35">
        <f>IF(tblLog[[#This Row],[Date]]="","",IF(tblLog[[#This Row],[Planned (units)]]="","",MAX(0,tblLog[[#This Row],[Planned (units)]]-tblLog[[#This Row],[Actual (units)]])))</f>
        <v>3</v>
      </c>
      <c r="J77" s="35">
        <f>IF(tblLog[[#This Row],[Date]]="","",IF(tblLog[[#This Row],[Planned (units)]]="","",MAX(0,tblLog[[#This Row],[Actual (units)]]-tblLog[[#This Row],[Planned (units)]])))</f>
        <v>0</v>
      </c>
      <c r="K77" s="36">
        <f>IF(tblLog[[#This Row],[Date]]="","",IF(N(tblLog[[#This Row],[Planned (units)]])&gt;0,tblLog[[#This Row],[Credited (units)]]/tblLog[[#This Row],[Planned (units)]],""))</f>
        <v>0.9625</v>
      </c>
      <c r="L77" s="35">
        <f>IF(tblLog[[#This Row],[Date]]="","",IF(N(tblLog[[#This Row],[Planned (units)]])&gt;0,IF(tblLog[[#This Row],[Actual (units)]]&gt;=tblLog[[#This Row],[Planned (units)]],1,0),""))</f>
        <v>0</v>
      </c>
      <c r="M77" s="37" t="str">
        <f>IF(NOT(ISNUMBER(tblLog[[#This Row],[Attainment]])),"",IF(tblLog[[#This Row],[Attainment]]&gt;=TargetAttain,"On target",IF(tblLog[[#This Row],[Attainment]]&gt;=TargetAttain*(1-0.05),"Near target","Below target")))</f>
        <v>On target</v>
      </c>
      <c r="N77" s="38">
        <f>IF(tblLog[[#This Row],[Date]]="","",IF(AND(tblLog[[#This Row],[Date]]&gt;=FFrom,tblLog[[#This Row],[Date]]&lt;=FTo,OR(DashLine="",tblLog[[#This Row],[Line]]=DashLine)),tblLog[[#This Row],[Date]],""))</f>
        <v>46310</v>
      </c>
      <c r="O77"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7" s="40" t="s">
        <v>118</v>
      </c>
    </row>
    <row r="78" spans="2:16" x14ac:dyDescent="0.25">
      <c r="B78" s="33">
        <v>46311</v>
      </c>
      <c r="C78" s="28" t="s">
        <v>73</v>
      </c>
      <c r="D78" s="28" t="s">
        <v>80</v>
      </c>
      <c r="E78" s="34">
        <v>60</v>
      </c>
      <c r="F78" s="34">
        <v>65</v>
      </c>
      <c r="G78" s="28"/>
      <c r="H78" s="35">
        <f>IF(tblLog[[#This Row],[Date]]="","",IF(tblLog[[#This Row],[Planned (units)]]="","",MIN(tblLog[[#This Row],[Actual (units)]],tblLog[[#This Row],[Planned (units)]])))</f>
        <v>60</v>
      </c>
      <c r="I78" s="35">
        <f>IF(tblLog[[#This Row],[Date]]="","",IF(tblLog[[#This Row],[Planned (units)]]="","",MAX(0,tblLog[[#This Row],[Planned (units)]]-tblLog[[#This Row],[Actual (units)]])))</f>
        <v>0</v>
      </c>
      <c r="J78" s="35">
        <f>IF(tblLog[[#This Row],[Date]]="","",IF(tblLog[[#This Row],[Planned (units)]]="","",MAX(0,tblLog[[#This Row],[Actual (units)]]-tblLog[[#This Row],[Planned (units)]])))</f>
        <v>5</v>
      </c>
      <c r="K78" s="36">
        <f>IF(tblLog[[#This Row],[Date]]="","",IF(N(tblLog[[#This Row],[Planned (units)]])&gt;0,tblLog[[#This Row],[Credited (units)]]/tblLog[[#This Row],[Planned (units)]],""))</f>
        <v>1</v>
      </c>
      <c r="L78" s="35">
        <f>IF(tblLog[[#This Row],[Date]]="","",IF(N(tblLog[[#This Row],[Planned (units)]])&gt;0,IF(tblLog[[#This Row],[Actual (units)]]&gt;=tblLog[[#This Row],[Planned (units)]],1,0),""))</f>
        <v>1</v>
      </c>
      <c r="M78" s="37" t="str">
        <f>IF(NOT(ISNUMBER(tblLog[[#This Row],[Attainment]])),"",IF(tblLog[[#This Row],[Attainment]]&gt;=TargetAttain,"On target",IF(tblLog[[#This Row],[Attainment]]&gt;=TargetAttain*(1-0.05),"Near target","Below target")))</f>
        <v>On target</v>
      </c>
      <c r="N78" s="38">
        <f>IF(tblLog[[#This Row],[Date]]="","",IF(AND(tblLog[[#This Row],[Date]]&gt;=FFrom,tblLog[[#This Row],[Date]]&lt;=FTo,OR(DashLine="",tblLog[[#This Row],[Line]]=DashLine)),tblLog[[#This Row],[Date]],""))</f>
        <v>46311</v>
      </c>
      <c r="O78"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8" s="40" t="s">
        <v>118</v>
      </c>
    </row>
    <row r="79" spans="2:16" x14ac:dyDescent="0.25">
      <c r="B79" s="33">
        <v>46311</v>
      </c>
      <c r="C79" s="28" t="s">
        <v>73</v>
      </c>
      <c r="D79" s="28" t="s">
        <v>81</v>
      </c>
      <c r="E79" s="34">
        <v>60</v>
      </c>
      <c r="F79" s="34">
        <v>59</v>
      </c>
      <c r="G79" s="28" t="s">
        <v>93</v>
      </c>
      <c r="H79" s="35">
        <f>IF(tblLog[[#This Row],[Date]]="","",IF(tblLog[[#This Row],[Planned (units)]]="","",MIN(tblLog[[#This Row],[Actual (units)]],tblLog[[#This Row],[Planned (units)]])))</f>
        <v>59</v>
      </c>
      <c r="I79" s="35">
        <f>IF(tblLog[[#This Row],[Date]]="","",IF(tblLog[[#This Row],[Planned (units)]]="","",MAX(0,tblLog[[#This Row],[Planned (units)]]-tblLog[[#This Row],[Actual (units)]])))</f>
        <v>1</v>
      </c>
      <c r="J79" s="35">
        <f>IF(tblLog[[#This Row],[Date]]="","",IF(tblLog[[#This Row],[Planned (units)]]="","",MAX(0,tblLog[[#This Row],[Actual (units)]]-tblLog[[#This Row],[Planned (units)]])))</f>
        <v>0</v>
      </c>
      <c r="K79" s="36">
        <f>IF(tblLog[[#This Row],[Date]]="","",IF(N(tblLog[[#This Row],[Planned (units)]])&gt;0,tblLog[[#This Row],[Credited (units)]]/tblLog[[#This Row],[Planned (units)]],""))</f>
        <v>0.983333333333333</v>
      </c>
      <c r="L79" s="35">
        <f>IF(tblLog[[#This Row],[Date]]="","",IF(N(tblLog[[#This Row],[Planned (units)]])&gt;0,IF(tblLog[[#This Row],[Actual (units)]]&gt;=tblLog[[#This Row],[Planned (units)]],1,0),""))</f>
        <v>0</v>
      </c>
      <c r="M79" s="37" t="str">
        <f>IF(NOT(ISNUMBER(tblLog[[#This Row],[Attainment]])),"",IF(tblLog[[#This Row],[Attainment]]&gt;=TargetAttain,"On target",IF(tblLog[[#This Row],[Attainment]]&gt;=TargetAttain*(1-0.05),"Near target","Below target")))</f>
        <v>On target</v>
      </c>
      <c r="N79" s="38">
        <f>IF(tblLog[[#This Row],[Date]]="","",IF(AND(tblLog[[#This Row],[Date]]&gt;=FFrom,tblLog[[#This Row],[Date]]&lt;=FTo,OR(DashLine="",tblLog[[#This Row],[Line]]=DashLine)),tblLog[[#This Row],[Date]],""))</f>
        <v>46311</v>
      </c>
      <c r="O79"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79" s="40" t="s">
        <v>118</v>
      </c>
    </row>
    <row r="80" spans="2:16" x14ac:dyDescent="0.25">
      <c r="B80" s="33">
        <v>46311</v>
      </c>
      <c r="C80" s="28" t="s">
        <v>73</v>
      </c>
      <c r="D80" s="28" t="s">
        <v>82</v>
      </c>
      <c r="E80" s="34">
        <v>30</v>
      </c>
      <c r="F80" s="34">
        <v>25</v>
      </c>
      <c r="G80" s="28" t="s">
        <v>93</v>
      </c>
      <c r="H80" s="35">
        <f>IF(tblLog[[#This Row],[Date]]="","",IF(tblLog[[#This Row],[Planned (units)]]="","",MIN(tblLog[[#This Row],[Actual (units)]],tblLog[[#This Row],[Planned (units)]])))</f>
        <v>25</v>
      </c>
      <c r="I80" s="35">
        <f>IF(tblLog[[#This Row],[Date]]="","",IF(tblLog[[#This Row],[Planned (units)]]="","",MAX(0,tblLog[[#This Row],[Planned (units)]]-tblLog[[#This Row],[Actual (units)]])))</f>
        <v>5</v>
      </c>
      <c r="J80" s="35">
        <f>IF(tblLog[[#This Row],[Date]]="","",IF(tblLog[[#This Row],[Planned (units)]]="","",MAX(0,tblLog[[#This Row],[Actual (units)]]-tblLog[[#This Row],[Planned (units)]])))</f>
        <v>0</v>
      </c>
      <c r="K80" s="36">
        <f>IF(tblLog[[#This Row],[Date]]="","",IF(N(tblLog[[#This Row],[Planned (units)]])&gt;0,tblLog[[#This Row],[Credited (units)]]/tblLog[[#This Row],[Planned (units)]],""))</f>
        <v>0.833333333333333</v>
      </c>
      <c r="L80" s="35">
        <f>IF(tblLog[[#This Row],[Date]]="","",IF(N(tblLog[[#This Row],[Planned (units)]])&gt;0,IF(tblLog[[#This Row],[Actual (units)]]&gt;=tblLog[[#This Row],[Planned (units)]],1,0),""))</f>
        <v>0</v>
      </c>
      <c r="M80" s="37" t="str">
        <f>IF(NOT(ISNUMBER(tblLog[[#This Row],[Attainment]])),"",IF(tblLog[[#This Row],[Attainment]]&gt;=TargetAttain,"On target",IF(tblLog[[#This Row],[Attainment]]&gt;=TargetAttain*(1-0.05),"Near target","Below target")))</f>
        <v>Below target</v>
      </c>
      <c r="N80" s="38">
        <f>IF(tblLog[[#This Row],[Date]]="","",IF(AND(tblLog[[#This Row],[Date]]&gt;=FFrom,tblLog[[#This Row],[Date]]&lt;=FTo,OR(DashLine="",tblLog[[#This Row],[Line]]=DashLine)),tblLog[[#This Row],[Date]],""))</f>
        <v>46311</v>
      </c>
      <c r="O80"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80" s="40" t="s">
        <v>118</v>
      </c>
    </row>
    <row r="81" spans="2:16" x14ac:dyDescent="0.25">
      <c r="B81" s="33">
        <v>46311</v>
      </c>
      <c r="C81" s="28" t="s">
        <v>75</v>
      </c>
      <c r="D81" s="28" t="s">
        <v>83</v>
      </c>
      <c r="E81" s="34">
        <v>140</v>
      </c>
      <c r="F81" s="34">
        <v>136</v>
      </c>
      <c r="G81" s="28" t="s">
        <v>103</v>
      </c>
      <c r="H81" s="35">
        <f>IF(tblLog[[#This Row],[Date]]="","",IF(tblLog[[#This Row],[Planned (units)]]="","",MIN(tblLog[[#This Row],[Actual (units)]],tblLog[[#This Row],[Planned (units)]])))</f>
        <v>136</v>
      </c>
      <c r="I81" s="35">
        <f>IF(tblLog[[#This Row],[Date]]="","",IF(tblLog[[#This Row],[Planned (units)]]="","",MAX(0,tblLog[[#This Row],[Planned (units)]]-tblLog[[#This Row],[Actual (units)]])))</f>
        <v>4</v>
      </c>
      <c r="J81" s="35">
        <f>IF(tblLog[[#This Row],[Date]]="","",IF(tblLog[[#This Row],[Planned (units)]]="","",MAX(0,tblLog[[#This Row],[Actual (units)]]-tblLog[[#This Row],[Planned (units)]])))</f>
        <v>0</v>
      </c>
      <c r="K81" s="36">
        <f>IF(tblLog[[#This Row],[Date]]="","",IF(N(tblLog[[#This Row],[Planned (units)]])&gt;0,tblLog[[#This Row],[Credited (units)]]/tblLog[[#This Row],[Planned (units)]],""))</f>
        <v>0.971428571428571</v>
      </c>
      <c r="L81" s="35">
        <f>IF(tblLog[[#This Row],[Date]]="","",IF(N(tblLog[[#This Row],[Planned (units)]])&gt;0,IF(tblLog[[#This Row],[Actual (units)]]&gt;=tblLog[[#This Row],[Planned (units)]],1,0),""))</f>
        <v>0</v>
      </c>
      <c r="M81" s="37" t="str">
        <f>IF(NOT(ISNUMBER(tblLog[[#This Row],[Attainment]])),"",IF(tblLog[[#This Row],[Attainment]]&gt;=TargetAttain,"On target",IF(tblLog[[#This Row],[Attainment]]&gt;=TargetAttain*(1-0.05),"Near target","Below target")))</f>
        <v>On target</v>
      </c>
      <c r="N81" s="38">
        <f>IF(tblLog[[#This Row],[Date]]="","",IF(AND(tblLog[[#This Row],[Date]]&gt;=FFrom,tblLog[[#This Row],[Date]]&lt;=FTo,OR(DashLine="",tblLog[[#This Row],[Line]]=DashLine)),tblLog[[#This Row],[Date]],""))</f>
        <v>46311</v>
      </c>
      <c r="O81"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81" s="40" t="s">
        <v>118</v>
      </c>
    </row>
    <row r="82" spans="2:16" x14ac:dyDescent="0.25">
      <c r="B82" s="33">
        <v>46311</v>
      </c>
      <c r="C82" s="28" t="s">
        <v>75</v>
      </c>
      <c r="D82" s="28" t="s">
        <v>84</v>
      </c>
      <c r="E82" s="34">
        <v>140</v>
      </c>
      <c r="F82" s="34">
        <v>129</v>
      </c>
      <c r="G82" s="28" t="s">
        <v>97</v>
      </c>
      <c r="H82" s="35">
        <f>IF(tblLog[[#This Row],[Date]]="","",IF(tblLog[[#This Row],[Planned (units)]]="","",MIN(tblLog[[#This Row],[Actual (units)]],tblLog[[#This Row],[Planned (units)]])))</f>
        <v>129</v>
      </c>
      <c r="I82" s="35">
        <f>IF(tblLog[[#This Row],[Date]]="","",IF(tblLog[[#This Row],[Planned (units)]]="","",MAX(0,tblLog[[#This Row],[Planned (units)]]-tblLog[[#This Row],[Actual (units)]])))</f>
        <v>11</v>
      </c>
      <c r="J82" s="35">
        <f>IF(tblLog[[#This Row],[Date]]="","",IF(tblLog[[#This Row],[Planned (units)]]="","",MAX(0,tblLog[[#This Row],[Actual (units)]]-tblLog[[#This Row],[Planned (units)]])))</f>
        <v>0</v>
      </c>
      <c r="K82" s="36">
        <f>IF(tblLog[[#This Row],[Date]]="","",IF(N(tblLog[[#This Row],[Planned (units)]])&gt;0,tblLog[[#This Row],[Credited (units)]]/tblLog[[#This Row],[Planned (units)]],""))</f>
        <v>0.921428571428571</v>
      </c>
      <c r="L82" s="35">
        <f>IF(tblLog[[#This Row],[Date]]="","",IF(N(tblLog[[#This Row],[Planned (units)]])&gt;0,IF(tblLog[[#This Row],[Actual (units)]]&gt;=tblLog[[#This Row],[Planned (units)]],1,0),""))</f>
        <v>0</v>
      </c>
      <c r="M82" s="37" t="str">
        <f>IF(NOT(ISNUMBER(tblLog[[#This Row],[Attainment]])),"",IF(tblLog[[#This Row],[Attainment]]&gt;=TargetAttain,"On target",IF(tblLog[[#This Row],[Attainment]]&gt;=TargetAttain*(1-0.05),"Near target","Below target")))</f>
        <v>Near target</v>
      </c>
      <c r="N82" s="38">
        <f>IF(tblLog[[#This Row],[Date]]="","",IF(AND(tblLog[[#This Row],[Date]]&gt;=FFrom,tblLog[[#This Row],[Date]]&lt;=FTo,OR(DashLine="",tblLog[[#This Row],[Line]]=DashLine)),tblLog[[#This Row],[Date]],""))</f>
        <v>46311</v>
      </c>
      <c r="O82"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82" s="40" t="s">
        <v>118</v>
      </c>
    </row>
    <row r="83" spans="2:16" x14ac:dyDescent="0.25">
      <c r="B83" s="33">
        <v>46311</v>
      </c>
      <c r="C83" s="28" t="s">
        <v>77</v>
      </c>
      <c r="D83" s="28" t="s">
        <v>85</v>
      </c>
      <c r="E83" s="34">
        <v>45</v>
      </c>
      <c r="F83" s="34">
        <v>43</v>
      </c>
      <c r="G83" s="28" t="s">
        <v>97</v>
      </c>
      <c r="H83" s="35">
        <f>IF(tblLog[[#This Row],[Date]]="","",IF(tblLog[[#This Row],[Planned (units)]]="","",MIN(tblLog[[#This Row],[Actual (units)]],tblLog[[#This Row],[Planned (units)]])))</f>
        <v>43</v>
      </c>
      <c r="I83" s="35">
        <f>IF(tblLog[[#This Row],[Date]]="","",IF(tblLog[[#This Row],[Planned (units)]]="","",MAX(0,tblLog[[#This Row],[Planned (units)]]-tblLog[[#This Row],[Actual (units)]])))</f>
        <v>2</v>
      </c>
      <c r="J83" s="35">
        <f>IF(tblLog[[#This Row],[Date]]="","",IF(tblLog[[#This Row],[Planned (units)]]="","",MAX(0,tblLog[[#This Row],[Actual (units)]]-tblLog[[#This Row],[Planned (units)]])))</f>
        <v>0</v>
      </c>
      <c r="K83" s="36">
        <f>IF(tblLog[[#This Row],[Date]]="","",IF(N(tblLog[[#This Row],[Planned (units)]])&gt;0,tblLog[[#This Row],[Credited (units)]]/tblLog[[#This Row],[Planned (units)]],""))</f>
        <v>0.955555555555556</v>
      </c>
      <c r="L83" s="35">
        <f>IF(tblLog[[#This Row],[Date]]="","",IF(N(tblLog[[#This Row],[Planned (units)]])&gt;0,IF(tblLog[[#This Row],[Actual (units)]]&gt;=tblLog[[#This Row],[Planned (units)]],1,0),""))</f>
        <v>0</v>
      </c>
      <c r="M83" s="37" t="str">
        <f>IF(NOT(ISNUMBER(tblLog[[#This Row],[Attainment]])),"",IF(tblLog[[#This Row],[Attainment]]&gt;=TargetAttain,"On target",IF(tblLog[[#This Row],[Attainment]]&gt;=TargetAttain*(1-0.05),"Near target","Below target")))</f>
        <v>On target</v>
      </c>
      <c r="N83" s="38">
        <f>IF(tblLog[[#This Row],[Date]]="","",IF(AND(tblLog[[#This Row],[Date]]&gt;=FFrom,tblLog[[#This Row],[Date]]&lt;=FTo,OR(DashLine="",tblLog[[#This Row],[Line]]=DashLine)),tblLog[[#This Row],[Date]],""))</f>
        <v>46311</v>
      </c>
      <c r="O83"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83" s="40" t="s">
        <v>118</v>
      </c>
    </row>
    <row r="84" spans="2:16" x14ac:dyDescent="0.25">
      <c r="B84" s="33">
        <v>46311</v>
      </c>
      <c r="C84" s="28" t="s">
        <v>77</v>
      </c>
      <c r="D84" s="28" t="s">
        <v>86</v>
      </c>
      <c r="E84" s="34">
        <v>25</v>
      </c>
      <c r="F84" s="34">
        <v>24</v>
      </c>
      <c r="G84" s="28" t="s">
        <v>101</v>
      </c>
      <c r="H84" s="35">
        <f>IF(tblLog[[#This Row],[Date]]="","",IF(tblLog[[#This Row],[Planned (units)]]="","",MIN(tblLog[[#This Row],[Actual (units)]],tblLog[[#This Row],[Planned (units)]])))</f>
        <v>24</v>
      </c>
      <c r="I84" s="35">
        <f>IF(tblLog[[#This Row],[Date]]="","",IF(tblLog[[#This Row],[Planned (units)]]="","",MAX(0,tblLog[[#This Row],[Planned (units)]]-tblLog[[#This Row],[Actual (units)]])))</f>
        <v>1</v>
      </c>
      <c r="J84" s="35">
        <f>IF(tblLog[[#This Row],[Date]]="","",IF(tblLog[[#This Row],[Planned (units)]]="","",MAX(0,tblLog[[#This Row],[Actual (units)]]-tblLog[[#This Row],[Planned (units)]])))</f>
        <v>0</v>
      </c>
      <c r="K84" s="36">
        <f>IF(tblLog[[#This Row],[Date]]="","",IF(N(tblLog[[#This Row],[Planned (units)]])&gt;0,tblLog[[#This Row],[Credited (units)]]/tblLog[[#This Row],[Planned (units)]],""))</f>
        <v>0.96</v>
      </c>
      <c r="L84" s="35">
        <f>IF(tblLog[[#This Row],[Date]]="","",IF(N(tblLog[[#This Row],[Planned (units)]])&gt;0,IF(tblLog[[#This Row],[Actual (units)]]&gt;=tblLog[[#This Row],[Planned (units)]],1,0),""))</f>
        <v>0</v>
      </c>
      <c r="M84" s="37" t="str">
        <f>IF(NOT(ISNUMBER(tblLog[[#This Row],[Attainment]])),"",IF(tblLog[[#This Row],[Attainment]]&gt;=TargetAttain,"On target",IF(tblLog[[#This Row],[Attainment]]&gt;=TargetAttain*(1-0.05),"Near target","Below target")))</f>
        <v>On target</v>
      </c>
      <c r="N84" s="38">
        <f>IF(tblLog[[#This Row],[Date]]="","",IF(AND(tblLog[[#This Row],[Date]]&gt;=FFrom,tblLog[[#This Row],[Date]]&lt;=FTo,OR(DashLine="",tblLog[[#This Row],[Line]]=DashLine)),tblLog[[#This Row],[Date]],""))</f>
        <v>46311</v>
      </c>
      <c r="O84"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84" s="40" t="s">
        <v>118</v>
      </c>
    </row>
    <row r="85" spans="2:16" x14ac:dyDescent="0.25">
      <c r="B85" s="33">
        <v>46311</v>
      </c>
      <c r="C85" s="28" t="s">
        <v>77</v>
      </c>
      <c r="D85" s="28" t="s">
        <v>87</v>
      </c>
      <c r="E85" s="34">
        <v>80</v>
      </c>
      <c r="F85" s="34">
        <v>73</v>
      </c>
      <c r="G85" s="28" t="s">
        <v>91</v>
      </c>
      <c r="H85" s="35">
        <f>IF(tblLog[[#This Row],[Date]]="","",IF(tblLog[[#This Row],[Planned (units)]]="","",MIN(tblLog[[#This Row],[Actual (units)]],tblLog[[#This Row],[Planned (units)]])))</f>
        <v>73</v>
      </c>
      <c r="I85" s="35">
        <f>IF(tblLog[[#This Row],[Date]]="","",IF(tblLog[[#This Row],[Planned (units)]]="","",MAX(0,tblLog[[#This Row],[Planned (units)]]-tblLog[[#This Row],[Actual (units)]])))</f>
        <v>7</v>
      </c>
      <c r="J85" s="35">
        <f>IF(tblLog[[#This Row],[Date]]="","",IF(tblLog[[#This Row],[Planned (units)]]="","",MAX(0,tblLog[[#This Row],[Actual (units)]]-tblLog[[#This Row],[Planned (units)]])))</f>
        <v>0</v>
      </c>
      <c r="K85" s="36">
        <f>IF(tblLog[[#This Row],[Date]]="","",IF(N(tblLog[[#This Row],[Planned (units)]])&gt;0,tblLog[[#This Row],[Credited (units)]]/tblLog[[#This Row],[Planned (units)]],""))</f>
        <v>0.9125</v>
      </c>
      <c r="L85" s="35">
        <f>IF(tblLog[[#This Row],[Date]]="","",IF(N(tblLog[[#This Row],[Planned (units)]])&gt;0,IF(tblLog[[#This Row],[Actual (units)]]&gt;=tblLog[[#This Row],[Planned (units)]],1,0),""))</f>
        <v>0</v>
      </c>
      <c r="M85" s="37" t="str">
        <f>IF(NOT(ISNUMBER(tblLog[[#This Row],[Attainment]])),"",IF(tblLog[[#This Row],[Attainment]]&gt;=TargetAttain,"On target",IF(tblLog[[#This Row],[Attainment]]&gt;=TargetAttain*(1-0.05),"Near target","Below target")))</f>
        <v>Near target</v>
      </c>
      <c r="N85" s="38">
        <f>IF(tblLog[[#This Row],[Date]]="","",IF(AND(tblLog[[#This Row],[Date]]&gt;=FFrom,tblLog[[#This Row],[Date]]&lt;=FTo,OR(DashLine="",tblLog[[#This Row],[Line]]=DashLine)),tblLog[[#This Row],[Date]],""))</f>
        <v>46311</v>
      </c>
      <c r="O85" s="39" t="str">
        <f>IF(tblLog[[#This Row],[Date]]="","",IF(tblLog[[#This Row],[Line]]="","Missing line",IF(tblLog[[#This Row],[Item]]="","Missing item",IF(tblLog[[#This Row],[Planned (units)]]="","Missing planned",IF(tblLog[[#This Row],[Actual (units)]]="","Missing actual",IF(ISNA(MATCH(tblLog[[#This Row],[Item]],tblItems[Item],0)),"Item not on Setup list",IF(AND(N(tblLog[[#This Row],[Short (units)]])&gt;0,tblLog[[#This Row],[Miss reason]]=""),"Give the miss reason",IF(COUNTIFS(tblLog[Date],tblLog[[#This Row],[Date]],tblLog[Line],tblLog[[#This Row],[Line]],tblLog[Item],tblLog[[#This Row],[Item]])&gt;1,"Duplicate line, day and item",IF(tblLog[[#This Row],[Actual (units)]]&gt;tblLog[[#This Row],[Planned (units)]]*1.5,"Far above plan: check the plan or count","OK")))))))))</f>
        <v>OK</v>
      </c>
      <c r="P85" s="40" t="s">
        <v>118</v>
      </c>
    </row>
  </sheetData>
  <mergeCells count="3">
    <mergeCell ref="A1:P1"/>
    <mergeCell ref="B2:O2"/>
    <mergeCell ref="B4:P4"/>
  </mergeCells>
  <conditionalFormatting sqref="K6:K585">
    <cfRule type="expression" dxfId="3" priority="1" stopIfTrue="1">
      <formula>AND(ISNUMBER(K6),K6&gt;=(TargetAttain))</formula>
    </cfRule>
    <cfRule type="expression" dxfId="4" priority="2" stopIfTrue="1">
      <formula>AND(ISNUMBER(K6),K6&gt;=(TargetAttain)*(1-0.05))</formula>
    </cfRule>
    <cfRule type="expression" dxfId="5" priority="3">
      <formula>ISNUMBER(K6)</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M6:M585">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O6:O585">
    <cfRule type="expression" dxfId="3" priority="25">
      <formula>$O6="OK"</formula>
    </cfRule>
    <cfRule type="expression" dxfId="1" priority="26">
      <formula>AND($O6&lt;&gt;"",$O6&lt;&gt;"OK")</formula>
    </cfRule>
  </conditionalFormatting>
  <dataValidations count="7">
    <dataValidation type="date" allowBlank="1" showInputMessage="1" showErrorMessage="1" errorTitle="Check this entry" error="Enter a date between 01 Jan 2000 and 31 Dec 2100." promptTitle="Date" prompt="Enter a date between 01 Jan 2000 and 31 Dec 2100." sqref="B6:B585">
      <formula1>36526</formula1>
      <formula2>73415</formula2>
    </dataValidation>
    <dataValidation type="list" allowBlank="1" showInputMessage="1" showErrorMessage="1" errorTitle="Check this entry" error="Pick from the list (edit the list on Setup: Lines)." promptTitle="Line" prompt="Pick from the list (edit the list on Setup: Lines)." sqref="C6:C585">
      <formula1>Lines</formula1>
    </dataValidation>
    <dataValidation type="list" allowBlank="1" showInputMessage="1" showErrorMessage="1" errorTitle="Check this entry" error="Pick from the list (edit the list on Setup: Items)." promptTitle="Item" prompt="Pick from the list (edit the list on Setup: Items)." sqref="D6:D585">
      <formula1>Items</formula1>
    </dataValidation>
    <dataValidation type="whole" allowBlank="1" showInputMessage="1" showErrorMessage="1" errorTitle="Check this entry" error="Enter a whole number from 0 to 10,000,000." promptTitle="Planned (units)" prompt="Units the frozen schedule called for on this line, day and item. Enter a whole number from 0 to 10,000,000." sqref="E6:E585">
      <formula1>0</formula1>
      <formula2>10000000</formula2>
    </dataValidation>
    <dataValidation type="whole" allowBlank="1" showInputMessage="1" showErrorMessage="1" errorTitle="Check this entry" error="Enter a whole number from 0 to 10,000,000." promptTitle="Actual (units)" prompt="Good units completed against this schedule line. Enter a whole number from 0 to 10,000,000." sqref="F6:F585">
      <formula1>0</formula1>
      <formula2>10000000</formula2>
    </dataValidation>
    <dataValidation type="list" allowBlank="1" showInputMessage="1" showErrorMessage="1" errorTitle="Check this entry" error="Pick from the list (edit the list on Setup: Reasons)." promptTitle="Miss reason" prompt="Why the item fell short. Leave blank when it made its plan. Pick from the list (edit the list on Setup: Reasons)." sqref="G6:G585">
      <formula1>Reasons</formula1>
    </dataValidation>
    <dataValidation type="textLength" allowBlank="1" showInputMessage="1" showErrorMessage="1" errorTitle="Check this entry" error="Text up to 255 characters." promptTitle="Note" prompt="Text up to 255 characters." sqref="P6:P585">
      <formula1>0</formula1>
      <formula2>255</formula2>
    </dataValidation>
  </dataValidations>
  <hyperlinks>
    <hyperlink ref="P2" r:id="rId1" tooltip="Free manufacturing calculators and templates"/>
  </hyperlinks>
  <pageMargins left="0.4" right="0.4" top="0.7" bottom="0.65" header="0.3" footer="0.3"/>
  <pageSetup fitToHeight="0" orientation="landscape"/>
  <headerFooter>
    <oddHeader>&amp;L&amp;8MFG Calcs - Schedule Attainment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K6:K585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89"/>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27" t="s">
        <v>60</v>
      </c>
      <c r="C4" s="28"/>
      <c r="D4" s="28"/>
      <c r="F4" s="27" t="s">
        <v>120</v>
      </c>
      <c r="G4" s="41"/>
      <c r="H4" s="41"/>
      <c r="J4" s="27" t="s">
        <v>121</v>
      </c>
      <c r="K4" s="41"/>
      <c r="L4" s="41"/>
    </row>
    <row r="5" spans="1:12" x14ac:dyDescent="0.25">
      <c r="B5" s="42" t="str">
        <f>PlantName&amp;": "&amp;COUNTIFS(tblLog[View date],"&gt;0",tblLog[Planned (units)],"&gt;0")&amp;" schedule lines in view. Leave the filters blank to include everything; dates are inclusive."</f>
        <v>Halden Valve Components (example): 80 schedule lines in view. Leave the filters blank to include everything; dates are inclusive.</v>
      </c>
      <c r="C5" s="42"/>
      <c r="D5" s="42"/>
      <c r="E5" s="42"/>
      <c r="F5" s="42"/>
      <c r="G5" s="42"/>
      <c r="H5" s="42"/>
      <c r="I5" s="42"/>
      <c r="J5" s="42"/>
      <c r="K5" s="42"/>
      <c r="L5" s="42"/>
    </row>
    <row r="7" spans="1:12" ht="18" customHeight="1" x14ac:dyDescent="0.25">
      <c r="B7" s="43" t="s">
        <v>122</v>
      </c>
      <c r="C7" s="43"/>
      <c r="D7" s="43" t="s">
        <v>123</v>
      </c>
      <c r="E7" s="43"/>
      <c r="F7" s="43"/>
      <c r="G7" s="43" t="s">
        <v>124</v>
      </c>
      <c r="H7" s="43"/>
      <c r="I7" s="43"/>
      <c r="J7" s="43" t="s">
        <v>125</v>
      </c>
      <c r="K7" s="43"/>
      <c r="L7" s="43"/>
    </row>
    <row r="8" spans="1:12" ht="21" customHeight="1" x14ac:dyDescent="0.25">
      <c r="B8" s="44">
        <f>IF((SUMIFS(tblLog[Planned (units)],tblLog[View date],"&gt;0"))=0,"",(SUMIFS(tblLog[Credited (units)],tblLog[View date],"&gt;0"))/(SUMIFS(tblLog[Planned (units)],tblLog[View date],"&gt;0")))</f>
        <v>0.946034482758621</v>
      </c>
      <c r="C8" s="44"/>
      <c r="D8" s="44">
        <f>IF((SUMIFS(tblLog[Planned (units)],tblLog[View date],"&gt;0"))=0,"",(SUMIFS(tblLog[Actual (units)],tblLog[View date],"&gt;0"))/(SUMIFS(tblLog[Planned (units)],tblLog[View date],"&gt;0")))</f>
        <v>0.965344827586207</v>
      </c>
      <c r="E8" s="44"/>
      <c r="F8" s="44"/>
      <c r="G8" s="44">
        <f>IF((COUNTIFS(tblLog[View date],"&gt;0",tblLog[Planned (units)],"&gt;0"))=0,"",(SUMIFS(tblLog[Hit],tblLog[View date],"&gt;0"))/(COUNTIFS(tblLog[View date],"&gt;0",tblLog[Planned (units)],"&gt;0")))</f>
        <v>0.3625</v>
      </c>
      <c r="H8" s="44"/>
      <c r="I8" s="44"/>
      <c r="J8" s="45">
        <f>SUMIFS(tblLog[Short (units)],tblLog[View date],"&gt;0")</f>
        <v>313</v>
      </c>
      <c r="K8" s="45"/>
      <c r="L8" s="45"/>
    </row>
    <row r="9" spans="1:12" ht="21" customHeight="1" x14ac:dyDescent="0.25">
      <c r="B9" s="44"/>
      <c r="C9" s="44"/>
      <c r="D9" s="44"/>
      <c r="E9" s="44"/>
      <c r="F9" s="44"/>
      <c r="G9" s="44"/>
      <c r="H9" s="44"/>
      <c r="I9" s="44"/>
      <c r="J9" s="45"/>
      <c r="K9" s="45"/>
      <c r="L9" s="45"/>
    </row>
    <row r="10" spans="1:12" x14ac:dyDescent="0.25">
      <c r="B10" s="46">
        <f>TargetAttain</f>
        <v>0.95</v>
      </c>
      <c r="C10" s="46"/>
      <c r="D10" s="47" t="s">
        <v>126</v>
      </c>
      <c r="E10" s="47"/>
      <c r="F10" s="47"/>
      <c r="G10" s="47" t="s">
        <v>127</v>
      </c>
      <c r="H10" s="47"/>
      <c r="I10" s="47"/>
      <c r="J10" s="47" t="s">
        <v>128</v>
      </c>
      <c r="K10" s="47"/>
      <c r="L10" s="47"/>
    </row>
    <row r="11" spans="1:12" ht="18" customHeight="1" x14ac:dyDescent="0.25">
      <c r="B11" s="48" t="str">
        <f>IF(NOT(ISNUMBER(KpiAttain)),"No data",IF(KpiAttain&gt;=(TargetAttain),"On target",IF(KpiAttain&gt;=(TargetAttain)*(1-0.05),"Near target","Below target")))</f>
        <v>Near target</v>
      </c>
      <c r="C11" s="48"/>
      <c r="D11" s="48"/>
      <c r="E11" s="48"/>
      <c r="F11" s="48"/>
      <c r="G11" s="48"/>
      <c r="H11" s="48"/>
      <c r="I11" s="48"/>
      <c r="J11" s="48"/>
      <c r="K11" s="48"/>
      <c r="L11" s="48"/>
    </row>
    <row r="29" spans="2:12" ht="18" customHeight="1" x14ac:dyDescent="0.25">
      <c r="B29" s="43" t="s">
        <v>129</v>
      </c>
      <c r="C29" s="43"/>
      <c r="D29" s="43" t="s">
        <v>130</v>
      </c>
      <c r="E29" s="43"/>
      <c r="F29" s="43"/>
      <c r="G29" s="43" t="s">
        <v>131</v>
      </c>
      <c r="H29" s="43"/>
      <c r="I29" s="43"/>
      <c r="J29" s="43" t="s">
        <v>132</v>
      </c>
      <c r="K29" s="43"/>
      <c r="L29" s="43"/>
    </row>
    <row r="30" spans="2:12" ht="21" customHeight="1" x14ac:dyDescent="0.25">
      <c r="B30" s="45">
        <f>SUMIFS(tblLog[Over plan (units)],tblLog[View date],"&gt;0")</f>
        <v>112</v>
      </c>
      <c r="C30" s="45"/>
      <c r="D30" s="49" t="str">
        <f>IF(COUNT($D$77:$D$79)=0,"None in view",INDEX($B$77:$B$79,MATCH(MIN($D$77:$D$79),$D$77:$D$79,0)))</f>
        <v>C2</v>
      </c>
      <c r="E30" s="49"/>
      <c r="F30" s="49"/>
      <c r="G30" s="49" t="str">
        <f>IF(INDEX($J$78:$J$85,1)&gt;0,INDEX($H$78:$H$85,1),"None logged")</f>
        <v>Changeover overrun</v>
      </c>
      <c r="H30" s="49"/>
      <c r="I30" s="49"/>
      <c r="J30" s="45">
        <f>COUNTIFS(tblLog[View date],"&gt;0",tblLog[Planned (units)],"&gt;0")</f>
        <v>80</v>
      </c>
      <c r="K30" s="45"/>
      <c r="L30" s="45"/>
    </row>
    <row r="31" spans="2:12" ht="21" customHeight="1" x14ac:dyDescent="0.25">
      <c r="B31" s="45"/>
      <c r="C31" s="45"/>
      <c r="D31" s="49"/>
      <c r="E31" s="49"/>
      <c r="F31" s="49"/>
      <c r="G31" s="49"/>
      <c r="H31" s="49"/>
      <c r="I31" s="49"/>
      <c r="J31" s="45"/>
      <c r="K31" s="45"/>
      <c r="L31" s="45"/>
    </row>
    <row r="32" spans="2:12" x14ac:dyDescent="0.25">
      <c r="B32" s="47" t="s">
        <v>133</v>
      </c>
      <c r="C32" s="47"/>
      <c r="D32" s="47" t="s">
        <v>134</v>
      </c>
      <c r="E32" s="47"/>
      <c r="F32" s="47"/>
      <c r="G32" s="47" t="s">
        <v>135</v>
      </c>
      <c r="H32" s="47"/>
      <c r="I32" s="47"/>
      <c r="J32" s="47" t="s">
        <v>136</v>
      </c>
      <c r="K32" s="47"/>
      <c r="L32" s="47"/>
    </row>
    <row r="33" spans="2:12" ht="18" customHeight="1" x14ac:dyDescent="0.25">
      <c r="B33" s="48"/>
      <c r="C33" s="48"/>
      <c r="D33" s="48"/>
      <c r="E33" s="48"/>
      <c r="F33" s="48"/>
      <c r="G33" s="48"/>
      <c r="H33" s="48"/>
      <c r="I33" s="48"/>
      <c r="J33" s="48"/>
      <c r="K33" s="48"/>
      <c r="L33" s="48"/>
    </row>
    <row r="51" spans="2:8" x14ac:dyDescent="0.25">
      <c r="B51" s="30" t="s">
        <v>137</v>
      </c>
      <c r="C51" s="30"/>
      <c r="D51" s="30"/>
      <c r="E51" s="30"/>
      <c r="F51" s="30"/>
      <c r="G51" s="30"/>
      <c r="H51" s="30"/>
    </row>
    <row r="52" spans="2:8" ht="32" customHeight="1" x14ac:dyDescent="0.25">
      <c r="B52" s="50" t="s">
        <v>105</v>
      </c>
      <c r="C52" s="31" t="s">
        <v>106</v>
      </c>
      <c r="D52" s="31" t="s">
        <v>107</v>
      </c>
      <c r="E52" s="31" t="s">
        <v>110</v>
      </c>
      <c r="F52" s="31" t="s">
        <v>138</v>
      </c>
      <c r="G52" s="31" t="s">
        <v>139</v>
      </c>
      <c r="H52" s="31" t="s">
        <v>140</v>
      </c>
    </row>
    <row r="53" spans="2:8" x14ac:dyDescent="0.25">
      <c r="B53" s="51">
        <f>IF($B$54="","",IFERROR(LARGE(tblLog[View date],COUNTIF(tblLog[View date],"&gt;="&amp;$B$54)+1),""))</f>
        <v>46300</v>
      </c>
      <c r="C53" s="35">
        <f>IF($B$53="","",SUMIFS(tblLog[Planned (units)],tblLog[View date],$B$53))</f>
        <v>580</v>
      </c>
      <c r="D53" s="35">
        <f>IF($B$53="","",SUMIFS(tblLog[Actual (units)],tblLog[View date],$B$53))</f>
        <v>572</v>
      </c>
      <c r="E53" s="35">
        <f>IF($B$53="","",SUMIFS(tblLog[Short (units)],tblLog[View date],$B$53))</f>
        <v>20</v>
      </c>
      <c r="F53" s="36">
        <f>IF($B$53="","",IF((SUMIFS(tblLog[Planned (units)],tblLog[View date],$B$53))=0,"",(SUMIFS(tblLog[Credited (units)],tblLog[View date],$B$53))/(SUMIFS(tblLog[Planned (units)],tblLog[View date],$B$53))))</f>
        <v>0.96551724137931</v>
      </c>
      <c r="G53" s="36">
        <f>IF($B$53="","",IF((SUMIFS(tblLog[Planned (units)],tblLog[View date],$B$53))=0,"",(SUMIFS(tblLog[Actual (units)],tblLog[View date],$B$53))/(SUMIFS(tblLog[Planned (units)],tblLog[View date],$B$53))))</f>
        <v>0.986206896551724</v>
      </c>
      <c r="H53" s="52">
        <f>TargetAttain</f>
        <v>0.95</v>
      </c>
    </row>
    <row r="54" spans="2:8" x14ac:dyDescent="0.25">
      <c r="B54" s="51">
        <f>IF($B$55="","",IFERROR(LARGE(tblLog[View date],COUNTIF(tblLog[View date],"&gt;="&amp;$B$55)+1),""))</f>
        <v>46301</v>
      </c>
      <c r="C54" s="35">
        <f>IF($B$54="","",SUMIFS(tblLog[Planned (units)],tblLog[View date],$B$54))</f>
        <v>580</v>
      </c>
      <c r="D54" s="35">
        <f>IF($B$54="","",SUMIFS(tblLog[Actual (units)],tblLog[View date],$B$54))</f>
        <v>565</v>
      </c>
      <c r="E54" s="35">
        <f>IF($B$54="","",SUMIFS(tblLog[Short (units)],tblLog[View date],$B$54))</f>
        <v>26</v>
      </c>
      <c r="F54" s="36">
        <f>IF($B$54="","",IF((SUMIFS(tblLog[Planned (units)],tblLog[View date],$B$54))=0,"",(SUMIFS(tblLog[Credited (units)],tblLog[View date],$B$54))/(SUMIFS(tblLog[Planned (units)],tblLog[View date],$B$54))))</f>
        <v>0.955172413793104</v>
      </c>
      <c r="G54" s="36">
        <f>IF($B$54="","",IF((SUMIFS(tblLog[Planned (units)],tblLog[View date],$B$54))=0,"",(SUMIFS(tblLog[Actual (units)],tblLog[View date],$B$54))/(SUMIFS(tblLog[Planned (units)],tblLog[View date],$B$54))))</f>
        <v>0.974137931034483</v>
      </c>
      <c r="H54" s="52">
        <f>TargetAttain</f>
        <v>0.95</v>
      </c>
    </row>
    <row r="55" spans="2:8" x14ac:dyDescent="0.25">
      <c r="B55" s="51">
        <f>IF($B$56="","",IFERROR(LARGE(tblLog[View date],COUNTIF(tblLog[View date],"&gt;="&amp;$B$56)+1),""))</f>
        <v>46302</v>
      </c>
      <c r="C55" s="35">
        <f>IF($B$55="","",SUMIFS(tblLog[Planned (units)],tblLog[View date],$B$55))</f>
        <v>580</v>
      </c>
      <c r="D55" s="35">
        <f>IF($B$55="","",SUMIFS(tblLog[Actual (units)],tblLog[View date],$B$55))</f>
        <v>555</v>
      </c>
      <c r="E55" s="35">
        <f>IF($B$55="","",SUMIFS(tblLog[Short (units)],tblLog[View date],$B$55))</f>
        <v>35</v>
      </c>
      <c r="F55" s="36">
        <f>IF($B$55="","",IF((SUMIFS(tblLog[Planned (units)],tblLog[View date],$B$55))=0,"",(SUMIFS(tblLog[Credited (units)],tblLog[View date],$B$55))/(SUMIFS(tblLog[Planned (units)],tblLog[View date],$B$55))))</f>
        <v>0.939655172413793</v>
      </c>
      <c r="G55" s="36">
        <f>IF($B$55="","",IF((SUMIFS(tblLog[Planned (units)],tblLog[View date],$B$55))=0,"",(SUMIFS(tblLog[Actual (units)],tblLog[View date],$B$55))/(SUMIFS(tblLog[Planned (units)],tblLog[View date],$B$55))))</f>
        <v>0.956896551724138</v>
      </c>
      <c r="H55" s="52">
        <f>TargetAttain</f>
        <v>0.95</v>
      </c>
    </row>
    <row r="56" spans="2:8" x14ac:dyDescent="0.25">
      <c r="B56" s="51">
        <f>IF($B$57="","",IFERROR(LARGE(tblLog[View date],COUNTIF(tblLog[View date],"&gt;="&amp;$B$57)+1),""))</f>
        <v>46303</v>
      </c>
      <c r="C56" s="35">
        <f>IF($B$56="","",SUMIFS(tblLog[Planned (units)],tblLog[View date],$B$56))</f>
        <v>580</v>
      </c>
      <c r="D56" s="35">
        <f>IF($B$56="","",SUMIFS(tblLog[Actual (units)],tblLog[View date],$B$56))</f>
        <v>552</v>
      </c>
      <c r="E56" s="35">
        <f>IF($B$56="","",SUMIFS(tblLog[Short (units)],tblLog[View date],$B$56))</f>
        <v>48</v>
      </c>
      <c r="F56" s="36">
        <f>IF($B$56="","",IF((SUMIFS(tblLog[Planned (units)],tblLog[View date],$B$56))=0,"",(SUMIFS(tblLog[Credited (units)],tblLog[View date],$B$56))/(SUMIFS(tblLog[Planned (units)],tblLog[View date],$B$56))))</f>
        <v>0.917241379310345</v>
      </c>
      <c r="G56" s="36">
        <f>IF($B$56="","",IF((SUMIFS(tblLog[Planned (units)],tblLog[View date],$B$56))=0,"",(SUMIFS(tblLog[Actual (units)],tblLog[View date],$B$56))/(SUMIFS(tblLog[Planned (units)],tblLog[View date],$B$56))))</f>
        <v>0.951724137931035</v>
      </c>
      <c r="H56" s="52">
        <f>TargetAttain</f>
        <v>0.95</v>
      </c>
    </row>
    <row r="57" spans="2:8" x14ac:dyDescent="0.25">
      <c r="B57" s="51">
        <f>IF($B$58="","",IFERROR(LARGE(tblLog[View date],COUNTIF(tblLog[View date],"&gt;="&amp;$B$58)+1),""))</f>
        <v>46304</v>
      </c>
      <c r="C57" s="35">
        <f>IF($B$57="","",SUMIFS(tblLog[Planned (units)],tblLog[View date],$B$57))</f>
        <v>580</v>
      </c>
      <c r="D57" s="35">
        <f>IF($B$57="","",SUMIFS(tblLog[Actual (units)],tblLog[View date],$B$57))</f>
        <v>525</v>
      </c>
      <c r="E57" s="35">
        <f>IF($B$57="","",SUMIFS(tblLog[Short (units)],tblLog[View date],$B$57))</f>
        <v>62</v>
      </c>
      <c r="F57" s="36">
        <f>IF($B$57="","",IF((SUMIFS(tblLog[Planned (units)],tblLog[View date],$B$57))=0,"",(SUMIFS(tblLog[Credited (units)],tblLog[View date],$B$57))/(SUMIFS(tblLog[Planned (units)],tblLog[View date],$B$57))))</f>
        <v>0.893103448275862</v>
      </c>
      <c r="G57" s="36">
        <f>IF($B$57="","",IF((SUMIFS(tblLog[Planned (units)],tblLog[View date],$B$57))=0,"",(SUMIFS(tblLog[Actual (units)],tblLog[View date],$B$57))/(SUMIFS(tblLog[Planned (units)],tblLog[View date],$B$57))))</f>
        <v>0.905172413793103</v>
      </c>
      <c r="H57" s="52">
        <f>TargetAttain</f>
        <v>0.95</v>
      </c>
    </row>
    <row r="58" spans="2:8" x14ac:dyDescent="0.25">
      <c r="B58" s="51">
        <f>IF($B$59="","",IFERROR(LARGE(tblLog[View date],COUNTIF(tblLog[View date],"&gt;="&amp;$B$59)+1),""))</f>
        <v>46307</v>
      </c>
      <c r="C58" s="35">
        <f>IF($B$58="","",SUMIFS(tblLog[Planned (units)],tblLog[View date],$B$58))</f>
        <v>580</v>
      </c>
      <c r="D58" s="35">
        <f>IF($B$58="","",SUMIFS(tblLog[Actual (units)],tblLog[View date],$B$58))</f>
        <v>572</v>
      </c>
      <c r="E58" s="35">
        <f>IF($B$58="","",SUMIFS(tblLog[Short (units)],tblLog[View date],$B$58))</f>
        <v>23</v>
      </c>
      <c r="F58" s="36">
        <f>IF($B$58="","",IF((SUMIFS(tblLog[Planned (units)],tblLog[View date],$B$58))=0,"",(SUMIFS(tblLog[Credited (units)],tblLog[View date],$B$58))/(SUMIFS(tblLog[Planned (units)],tblLog[View date],$B$58))))</f>
        <v>0.960344827586207</v>
      </c>
      <c r="G58" s="36">
        <f>IF($B$58="","",IF((SUMIFS(tblLog[Planned (units)],tblLog[View date],$B$58))=0,"",(SUMIFS(tblLog[Actual (units)],tblLog[View date],$B$58))/(SUMIFS(tblLog[Planned (units)],tblLog[View date],$B$58))))</f>
        <v>0.986206896551724</v>
      </c>
      <c r="H58" s="52">
        <f>TargetAttain</f>
        <v>0.95</v>
      </c>
    </row>
    <row r="59" spans="2:8" x14ac:dyDescent="0.25">
      <c r="B59" s="51">
        <f>IF($B$60="","",IFERROR(LARGE(tblLog[View date],COUNTIF(tblLog[View date],"&gt;="&amp;$B$60)+1),""))</f>
        <v>46308</v>
      </c>
      <c r="C59" s="35">
        <f>IF($B$59="","",SUMIFS(tblLog[Planned (units)],tblLog[View date],$B$59))</f>
        <v>580</v>
      </c>
      <c r="D59" s="35">
        <f>IF($B$59="","",SUMIFS(tblLog[Actual (units)],tblLog[View date],$B$59))</f>
        <v>566</v>
      </c>
      <c r="E59" s="35">
        <f>IF($B$59="","",SUMIFS(tblLog[Short (units)],tblLog[View date],$B$59))</f>
        <v>28</v>
      </c>
      <c r="F59" s="36">
        <f>IF($B$59="","",IF((SUMIFS(tblLog[Planned (units)],tblLog[View date],$B$59))=0,"",(SUMIFS(tblLog[Credited (units)],tblLog[View date],$B$59))/(SUMIFS(tblLog[Planned (units)],tblLog[View date],$B$59))))</f>
        <v>0.951724137931035</v>
      </c>
      <c r="G59" s="36">
        <f>IF($B$59="","",IF((SUMIFS(tblLog[Planned (units)],tblLog[View date],$B$59))=0,"",(SUMIFS(tblLog[Actual (units)],tblLog[View date],$B$59))/(SUMIFS(tblLog[Planned (units)],tblLog[View date],$B$59))))</f>
        <v>0.975862068965517</v>
      </c>
      <c r="H59" s="52">
        <f>TargetAttain</f>
        <v>0.95</v>
      </c>
    </row>
    <row r="60" spans="2:8" x14ac:dyDescent="0.25">
      <c r="B60" s="51">
        <f>IF($B$61="","",IFERROR(LARGE(tblLog[View date],COUNTIF(tblLog[View date],"&gt;="&amp;$B$61)+1),""))</f>
        <v>46309</v>
      </c>
      <c r="C60" s="35">
        <f>IF($B$60="","",SUMIFS(tblLog[Planned (units)],tblLog[View date],$B$60))</f>
        <v>580</v>
      </c>
      <c r="D60" s="35">
        <f>IF($B$60="","",SUMIFS(tblLog[Actual (units)],tblLog[View date],$B$60))</f>
        <v>575</v>
      </c>
      <c r="E60" s="35">
        <f>IF($B$60="","",SUMIFS(tblLog[Short (units)],tblLog[View date],$B$60))</f>
        <v>17</v>
      </c>
      <c r="F60" s="36">
        <f>IF($B$60="","",IF((SUMIFS(tblLog[Planned (units)],tblLog[View date],$B$60))=0,"",(SUMIFS(tblLog[Credited (units)],tblLog[View date],$B$60))/(SUMIFS(tblLog[Planned (units)],tblLog[View date],$B$60))))</f>
        <v>0.970689655172414</v>
      </c>
      <c r="G60" s="36">
        <f>IF($B$60="","",IF((SUMIFS(tblLog[Planned (units)],tblLog[View date],$B$60))=0,"",(SUMIFS(tblLog[Actual (units)],tblLog[View date],$B$60))/(SUMIFS(tblLog[Planned (units)],tblLog[View date],$B$60))))</f>
        <v>0.991379310344828</v>
      </c>
      <c r="H60" s="52">
        <f>TargetAttain</f>
        <v>0.95</v>
      </c>
    </row>
    <row r="61" spans="2:8" x14ac:dyDescent="0.25">
      <c r="B61" s="51">
        <f>IF($B$62="","",IFERROR(LARGE(tblLog[View date],COUNTIF(tblLog[View date],"&gt;="&amp;$B$62)+1),""))</f>
        <v>46310</v>
      </c>
      <c r="C61" s="35">
        <f>IF($B$61="","",SUMIFS(tblLog[Planned (units)],tblLog[View date],$B$61))</f>
        <v>580</v>
      </c>
      <c r="D61" s="35">
        <f>IF($B$61="","",SUMIFS(tblLog[Actual (units)],tblLog[View date],$B$61))</f>
        <v>563</v>
      </c>
      <c r="E61" s="35">
        <f>IF($B$61="","",SUMIFS(tblLog[Short (units)],tblLog[View date],$B$61))</f>
        <v>23</v>
      </c>
      <c r="F61" s="36">
        <f>IF($B$61="","",IF((SUMIFS(tblLog[Planned (units)],tblLog[View date],$B$61))=0,"",(SUMIFS(tblLog[Credited (units)],tblLog[View date],$B$61))/(SUMIFS(tblLog[Planned (units)],tblLog[View date],$B$61))))</f>
        <v>0.960344827586207</v>
      </c>
      <c r="G61" s="36">
        <f>IF($B$61="","",IF((SUMIFS(tblLog[Planned (units)],tblLog[View date],$B$61))=0,"",(SUMIFS(tblLog[Actual (units)],tblLog[View date],$B$61))/(SUMIFS(tblLog[Planned (units)],tblLog[View date],$B$61))))</f>
        <v>0.970689655172414</v>
      </c>
      <c r="H61" s="52">
        <f>TargetAttain</f>
        <v>0.95</v>
      </c>
    </row>
    <row r="62" spans="2:8" x14ac:dyDescent="0.25">
      <c r="B62" s="51">
        <f>IF(COUNT(tblLog[View date])=0,"",MAX(tblLog[View date]))</f>
        <v>46311</v>
      </c>
      <c r="C62" s="35">
        <f>IF($B$62="","",SUMIFS(tblLog[Planned (units)],tblLog[View date],$B$62))</f>
        <v>580</v>
      </c>
      <c r="D62" s="35">
        <f>IF($B$62="","",SUMIFS(tblLog[Actual (units)],tblLog[View date],$B$62))</f>
        <v>554</v>
      </c>
      <c r="E62" s="35">
        <f>IF($B$62="","",SUMIFS(tblLog[Short (units)],tblLog[View date],$B$62))</f>
        <v>31</v>
      </c>
      <c r="F62" s="36">
        <f>IF($B$62="","",IF((SUMIFS(tblLog[Planned (units)],tblLog[View date],$B$62))=0,"",(SUMIFS(tblLog[Credited (units)],tblLog[View date],$B$62))/(SUMIFS(tblLog[Planned (units)],tblLog[View date],$B$62))))</f>
        <v>0.946551724137931</v>
      </c>
      <c r="G62" s="36">
        <f>IF($B$62="","",IF((SUMIFS(tblLog[Planned (units)],tblLog[View date],$B$62))=0,"",(SUMIFS(tblLog[Actual (units)],tblLog[View date],$B$62))/(SUMIFS(tblLog[Planned (units)],tblLog[View date],$B$62))))</f>
        <v>0.955172413793104</v>
      </c>
      <c r="H62" s="52">
        <f>TargetAttain</f>
        <v>0.95</v>
      </c>
    </row>
    <row r="64" spans="2:8" x14ac:dyDescent="0.25">
      <c r="B64" s="30" t="s">
        <v>141</v>
      </c>
      <c r="C64" s="30"/>
      <c r="D64" s="30"/>
      <c r="E64" s="30"/>
      <c r="F64" s="30"/>
      <c r="G64" s="30"/>
    </row>
    <row r="65" spans="2:43" ht="32" customHeight="1" x14ac:dyDescent="0.25">
      <c r="B65" s="50" t="s">
        <v>62</v>
      </c>
      <c r="C65" s="31" t="s">
        <v>106</v>
      </c>
      <c r="D65" s="31" t="s">
        <v>109</v>
      </c>
      <c r="E65" s="31" t="s">
        <v>107</v>
      </c>
      <c r="F65" s="31" t="s">
        <v>110</v>
      </c>
      <c r="G65" s="31" t="s">
        <v>138</v>
      </c>
    </row>
    <row r="66" spans="2:43" x14ac:dyDescent="0.25">
      <c r="B66" s="53" t="str">
        <f>IFERROR(INDEX(tblItems[Item],1)&amp;"","")</f>
        <v>VB-200 body</v>
      </c>
      <c r="C66" s="35">
        <f>IF($B$66="","",SUMIFS(tblLog[Planned (units)],tblLog[Item],$B$66,tblLog[View date],"&gt;0"))</f>
        <v>600</v>
      </c>
      <c r="D66" s="35">
        <f>IF($B$66="","",SUMIFS(tblLog[Credited (units)],tblLog[Item],$B$66,tblLog[View date],"&gt;0"))</f>
        <v>600</v>
      </c>
      <c r="E66" s="35">
        <f>IF($B$66="","",SUMIFS(tblLog[Actual (units)],tblLog[Item],$B$66,tblLog[View date],"&gt;0"))</f>
        <v>678</v>
      </c>
      <c r="F66" s="35">
        <f>IF($B$66="","",SUMIFS(tblLog[Short (units)],tblLog[Item],$B$66,tblLog[View date],"&gt;0"))</f>
        <v>0</v>
      </c>
      <c r="G66" s="36">
        <f>IF($B$66="","",IF((SUMIFS(tblLog[Planned (units)],tblLog[Item],$B$66,tblLog[View date],"&gt;0"))=0,"",(SUMIFS(tblLog[Credited (units)],tblLog[Item],$B$66,tblLog[View date],"&gt;0"))/(SUMIFS(tblLog[Planned (units)],tblLog[Item],$B$66,tblLog[View date],"&gt;0"))))</f>
        <v>1</v>
      </c>
    </row>
    <row r="67" spans="2:43" x14ac:dyDescent="0.25">
      <c r="B67" s="53" t="str">
        <f>IFERROR(INDEX(tblItems[Item],2)&amp;"","")</f>
        <v>BN-200 bonnet</v>
      </c>
      <c r="C67" s="35">
        <f>IF($B$67="","",SUMIFS(tblLog[Planned (units)],tblLog[Item],$B$67,tblLog[View date],"&gt;0"))</f>
        <v>600</v>
      </c>
      <c r="D67" s="35">
        <f>IF($B$67="","",SUMIFS(tblLog[Credited (units)],tblLog[Item],$B$67,tblLog[View date],"&gt;0"))</f>
        <v>571</v>
      </c>
      <c r="E67" s="35">
        <f>IF($B$67="","",SUMIFS(tblLog[Actual (units)],tblLog[Item],$B$67,tblLog[View date],"&gt;0"))</f>
        <v>573</v>
      </c>
      <c r="F67" s="35">
        <f>IF($B$67="","",SUMIFS(tblLog[Short (units)],tblLog[Item],$B$67,tblLog[View date],"&gt;0"))</f>
        <v>29</v>
      </c>
      <c r="G67" s="36">
        <f>IF($B$67="","",IF((SUMIFS(tblLog[Planned (units)],tblLog[Item],$B$67,tblLog[View date],"&gt;0"))=0,"",(SUMIFS(tblLog[Credited (units)],tblLog[Item],$B$67,tblLog[View date],"&gt;0"))/(SUMIFS(tblLog[Planned (units)],tblLog[Item],$B$67,tblLog[View date],"&gt;0"))))</f>
        <v>0.951666666666667</v>
      </c>
    </row>
    <row r="68" spans="2:43" x14ac:dyDescent="0.25">
      <c r="B68" s="53" t="str">
        <f>IFERROR(INDEX(tblItems[Item],3)&amp;"","")</f>
        <v>VB-300 body</v>
      </c>
      <c r="C68" s="35">
        <f>IF($B$68="","",SUMIFS(tblLog[Planned (units)],tblLog[Item],$B$68,tblLog[View date],"&gt;0"))</f>
        <v>300</v>
      </c>
      <c r="D68" s="35">
        <f>IF($B$68="","",SUMIFS(tblLog[Credited (units)],tblLog[Item],$B$68,tblLog[View date],"&gt;0"))</f>
        <v>249</v>
      </c>
      <c r="E68" s="35">
        <f>IF($B$68="","",SUMIFS(tblLog[Actual (units)],tblLog[Item],$B$68,tblLog[View date],"&gt;0"))</f>
        <v>249</v>
      </c>
      <c r="F68" s="35">
        <f>IF($B$68="","",SUMIFS(tblLog[Short (units)],tblLog[Item],$B$68,tblLog[View date],"&gt;0"))</f>
        <v>51</v>
      </c>
      <c r="G68" s="36">
        <f>IF($B$68="","",IF((SUMIFS(tblLog[Planned (units)],tblLog[Item],$B$68,tblLog[View date],"&gt;0"))=0,"",(SUMIFS(tblLog[Credited (units)],tblLog[Item],$B$68,tblLog[View date],"&gt;0"))/(SUMIFS(tblLog[Planned (units)],tblLog[Item],$B$68,tblLog[View date],"&gt;0"))))</f>
        <v>0.83</v>
      </c>
    </row>
    <row r="69" spans="2:43" x14ac:dyDescent="0.25">
      <c r="B69" s="53" t="str">
        <f>IFERROR(INDEX(tblItems[Item],4)&amp;"","")</f>
        <v>ST-20 stem</v>
      </c>
      <c r="C69" s="35">
        <f>IF($B$69="","",SUMIFS(tblLog[Planned (units)],tblLog[Item],$B$69,tblLog[View date],"&gt;0"))</f>
        <v>1400</v>
      </c>
      <c r="D69" s="35">
        <f>IF($B$69="","",SUMIFS(tblLog[Credited (units)],tblLog[Item],$B$69,tblLog[View date],"&gt;0"))</f>
        <v>1318</v>
      </c>
      <c r="E69" s="35">
        <f>IF($B$69="","",SUMIFS(tblLog[Actual (units)],tblLog[Item],$B$69,tblLog[View date],"&gt;0"))</f>
        <v>1320</v>
      </c>
      <c r="F69" s="35">
        <f>IF($B$69="","",SUMIFS(tblLog[Short (units)],tblLog[Item],$B$69,tblLog[View date],"&gt;0"))</f>
        <v>82</v>
      </c>
      <c r="G69" s="36">
        <f>IF($B$69="","",IF((SUMIFS(tblLog[Planned (units)],tblLog[Item],$B$69,tblLog[View date],"&gt;0"))=0,"",(SUMIFS(tblLog[Credited (units)],tblLog[Item],$B$69,tblLog[View date],"&gt;0"))/(SUMIFS(tblLog[Planned (units)],tblLog[Item],$B$69,tblLog[View date],"&gt;0"))))</f>
        <v>0.941428571428571</v>
      </c>
    </row>
    <row r="70" spans="2:43" x14ac:dyDescent="0.25">
      <c r="B70" s="53" t="str">
        <f>IFERROR(INDEX(tblItems[Item],5)&amp;"","")</f>
        <v>SE-20 seat</v>
      </c>
      <c r="C70" s="35">
        <f>IF($B$70="","",SUMIFS(tblLog[Planned (units)],tblLog[Item],$B$70,tblLog[View date],"&gt;0"))</f>
        <v>1400</v>
      </c>
      <c r="D70" s="35">
        <f>IF($B$70="","",SUMIFS(tblLog[Credited (units)],tblLog[Item],$B$70,tblLog[View date],"&gt;0"))</f>
        <v>1374</v>
      </c>
      <c r="E70" s="35">
        <f>IF($B$70="","",SUMIFS(tblLog[Actual (units)],tblLog[Item],$B$70,tblLog[View date],"&gt;0"))</f>
        <v>1399</v>
      </c>
      <c r="F70" s="35">
        <f>IF($B$70="","",SUMIFS(tblLog[Short (units)],tblLog[Item],$B$70,tblLog[View date],"&gt;0"))</f>
        <v>26</v>
      </c>
      <c r="G70" s="36">
        <f>IF($B$70="","",IF((SUMIFS(tblLog[Planned (units)],tblLog[Item],$B$70,tblLog[View date],"&gt;0"))=0,"",(SUMIFS(tblLog[Credited (units)],tblLog[Item],$B$70,tblLog[View date],"&gt;0"))/(SUMIFS(tblLog[Planned (units)],tblLog[Item],$B$70,tblLog[View date],"&gt;0"))))</f>
        <v>0.981428571428571</v>
      </c>
    </row>
    <row r="71" spans="2:43" x14ac:dyDescent="0.25">
      <c r="B71" s="53" t="str">
        <f>IFERROR(INDEX(tblItems[Item],6)&amp;"","")</f>
        <v>GV-200 gate valve</v>
      </c>
      <c r="C71" s="35">
        <f>IF($B$71="","",SUMIFS(tblLog[Planned (units)],tblLog[Item],$B$71,tblLog[View date],"&gt;0"))</f>
        <v>450</v>
      </c>
      <c r="D71" s="35">
        <f>IF($B$71="","",SUMIFS(tblLog[Credited (units)],tblLog[Item],$B$71,tblLog[View date],"&gt;0"))</f>
        <v>386</v>
      </c>
      <c r="E71" s="35">
        <f>IF($B$71="","",SUMIFS(tblLog[Actual (units)],tblLog[Item],$B$71,tblLog[View date],"&gt;0"))</f>
        <v>387</v>
      </c>
      <c r="F71" s="35">
        <f>IF($B$71="","",SUMIFS(tblLog[Short (units)],tblLog[Item],$B$71,tblLog[View date],"&gt;0"))</f>
        <v>64</v>
      </c>
      <c r="G71" s="36">
        <f>IF($B$71="","",IF((SUMIFS(tblLog[Planned (units)],tblLog[Item],$B$71,tblLog[View date],"&gt;0"))=0,"",(SUMIFS(tblLog[Credited (units)],tblLog[Item],$B$71,tblLog[View date],"&gt;0"))/(SUMIFS(tblLog[Planned (units)],tblLog[Item],$B$71,tblLog[View date],"&gt;0"))))</f>
        <v>0.857777777777778</v>
      </c>
    </row>
    <row r="72" spans="2:43" x14ac:dyDescent="0.25">
      <c r="B72" s="53" t="str">
        <f>IFERROR(INDEX(tblItems[Item],7)&amp;"","")</f>
        <v>GV-300 gate valve</v>
      </c>
      <c r="C72" s="35">
        <f>IF($B$72="","",SUMIFS(tblLog[Planned (units)],tblLog[Item],$B$72,tblLog[View date],"&gt;0"))</f>
        <v>250</v>
      </c>
      <c r="D72" s="35">
        <f>IF($B$72="","",SUMIFS(tblLog[Credited (units)],tblLog[Item],$B$72,tblLog[View date],"&gt;0"))</f>
        <v>220</v>
      </c>
      <c r="E72" s="35">
        <f>IF($B$72="","",SUMIFS(tblLog[Actual (units)],tblLog[Item],$B$72,tblLog[View date],"&gt;0"))</f>
        <v>222</v>
      </c>
      <c r="F72" s="35">
        <f>IF($B$72="","",SUMIFS(tblLog[Short (units)],tblLog[Item],$B$72,tblLog[View date],"&gt;0"))</f>
        <v>30</v>
      </c>
      <c r="G72" s="36">
        <f>IF($B$72="","",IF((SUMIFS(tblLog[Planned (units)],tblLog[Item],$B$72,tblLog[View date],"&gt;0"))=0,"",(SUMIFS(tblLog[Credited (units)],tblLog[Item],$B$72,tblLog[View date],"&gt;0"))/(SUMIFS(tblLog[Planned (units)],tblLog[Item],$B$72,tblLog[View date],"&gt;0"))))</f>
        <v>0.88</v>
      </c>
    </row>
    <row r="73" spans="2:43" x14ac:dyDescent="0.25">
      <c r="B73" s="53" t="str">
        <f>IFERROR(INDEX(tblItems[Item],8)&amp;"","")</f>
        <v>BV-50 ball valve</v>
      </c>
      <c r="C73" s="35">
        <f>IF($B$73="","",SUMIFS(tblLog[Planned (units)],tblLog[Item],$B$73,tblLog[View date],"&gt;0"))</f>
        <v>800</v>
      </c>
      <c r="D73" s="35">
        <f>IF($B$73="","",SUMIFS(tblLog[Credited (units)],tblLog[Item],$B$73,tblLog[View date],"&gt;0"))</f>
        <v>769</v>
      </c>
      <c r="E73" s="35">
        <f>IF($B$73="","",SUMIFS(tblLog[Actual (units)],tblLog[Item],$B$73,tblLog[View date],"&gt;0"))</f>
        <v>771</v>
      </c>
      <c r="F73" s="35">
        <f>IF($B$73="","",SUMIFS(tblLog[Short (units)],tblLog[Item],$B$73,tblLog[View date],"&gt;0"))</f>
        <v>31</v>
      </c>
      <c r="G73" s="36">
        <f>IF($B$73="","",IF((SUMIFS(tblLog[Planned (units)],tblLog[Item],$B$73,tblLog[View date],"&gt;0"))=0,"",(SUMIFS(tblLog[Credited (units)],tblLog[Item],$B$73,tblLog[View date],"&gt;0"))/(SUMIFS(tblLog[Planned (units)],tblLog[Item],$B$73,tblLog[View date],"&gt;0"))))</f>
        <v>0.96125</v>
      </c>
    </row>
    <row r="75" spans="2:43" x14ac:dyDescent="0.25">
      <c r="B75" s="30" t="s">
        <v>142</v>
      </c>
      <c r="C75" s="30"/>
      <c r="D75" s="30"/>
      <c r="E75" s="30"/>
      <c r="F75" s="30"/>
      <c r="G75" s="30" t="s">
        <v>143</v>
      </c>
      <c r="H75" s="30"/>
      <c r="I75" s="30"/>
      <c r="J75" s="30"/>
      <c r="K75" s="30"/>
      <c r="L75" s="30"/>
    </row>
    <row r="76" spans="2:43" ht="20" customHeight="1" x14ac:dyDescent="0.25">
      <c r="B76" s="50" t="s">
        <v>60</v>
      </c>
      <c r="C76" s="31" t="s">
        <v>144</v>
      </c>
      <c r="D76" s="31" t="s">
        <v>145</v>
      </c>
      <c r="E76" s="31" t="s">
        <v>146</v>
      </c>
      <c r="F76" s="31" t="s">
        <v>140</v>
      </c>
      <c r="G76" s="31" t="s">
        <v>147</v>
      </c>
      <c r="H76" s="50" t="s">
        <v>108</v>
      </c>
      <c r="I76" s="50"/>
      <c r="J76" s="31" t="s">
        <v>148</v>
      </c>
      <c r="K76" s="31" t="s">
        <v>149</v>
      </c>
      <c r="L76" s="31" t="s">
        <v>150</v>
      </c>
      <c r="AO76" s="7" t="s">
        <v>151</v>
      </c>
      <c r="AP76" s="7" t="s">
        <v>152</v>
      </c>
      <c r="AQ76" s="7" t="s">
        <v>153</v>
      </c>
    </row>
    <row r="77" spans="2:43" x14ac:dyDescent="0.25">
      <c r="B77" s="53" t="str">
        <f>IFERROR(INDEX(tblLines[Line],1)&amp;"","")</f>
        <v>M1</v>
      </c>
      <c r="C77" s="35">
        <f>IF($B$77="","",SUMIFS(tblLog[Planned (units)],tblLog[Line],$B$77,tblLog[View date],"&gt;0"))</f>
        <v>1500</v>
      </c>
      <c r="D77" s="36">
        <f>IF($B$77="","",IF((SUMIFS(tblLog[Planned (units)],tblLog[Line],$B$77,tblLog[View date],"&gt;0"))=0,"",(SUMIFS(tblLog[Credited (units)],tblLog[Line],$B$77,tblLog[View date],"&gt;0"))/(SUMIFS(tblLog[Planned (units)],tblLog[Line],$B$77,tblLog[View date],"&gt;0"))))</f>
        <v>0.946666666666667</v>
      </c>
      <c r="E77" s="36">
        <f>IF($B$77="","",IF((SUMIFS(tblLog[Planned (units)],tblLog[Line],$B$77,tblLog[View date],"&gt;0"))=0,"",(SUMIFS(tblLog[Actual (units)],tblLog[Line],$B$77,tblLog[View date],"&gt;0"))/(SUMIFS(tblLog[Planned (units)],tblLog[Line],$B$77,tblLog[View date],"&gt;0"))))</f>
        <v>1</v>
      </c>
      <c r="F77" s="52">
        <f>TargetAttain</f>
        <v>0.95</v>
      </c>
      <c r="G77" s="54"/>
      <c r="H77" s="54"/>
      <c r="I77" s="54"/>
      <c r="J77" s="54" t="s">
        <v>154</v>
      </c>
      <c r="K77" s="54" t="s">
        <v>155</v>
      </c>
      <c r="L77" s="54" t="s">
        <v>155</v>
      </c>
    </row>
    <row r="78" spans="2:43" x14ac:dyDescent="0.25">
      <c r="B78" s="53" t="str">
        <f>IFERROR(INDEX(tblLines[Line],2)&amp;"","")</f>
        <v>M2</v>
      </c>
      <c r="C78" s="35">
        <f>IF($B$78="","",SUMIFS(tblLog[Planned (units)],tblLog[Line],$B$78,tblLog[View date],"&gt;0"))</f>
        <v>2800</v>
      </c>
      <c r="D78" s="36">
        <f>IF($B$78="","",IF((SUMIFS(tblLog[Planned (units)],tblLog[Line],$B$78,tblLog[View date],"&gt;0"))=0,"",(SUMIFS(tblLog[Credited (units)],tblLog[Line],$B$78,tblLog[View date],"&gt;0"))/(SUMIFS(tblLog[Planned (units)],tblLog[Line],$B$78,tblLog[View date],"&gt;0"))))</f>
        <v>0.961428571428571</v>
      </c>
      <c r="E78" s="36">
        <f>IF($B$78="","",IF((SUMIFS(tblLog[Planned (units)],tblLog[Line],$B$78,tblLog[View date],"&gt;0"))=0,"",(SUMIFS(tblLog[Actual (units)],tblLog[Line],$B$78,tblLog[View date],"&gt;0"))/(SUMIFS(tblLog[Planned (units)],tblLog[Line],$B$78,tblLog[View date],"&gt;0"))))</f>
        <v>0.971071428571429</v>
      </c>
      <c r="F78" s="52">
        <f>TargetAttain</f>
        <v>0.95</v>
      </c>
      <c r="G78" s="55">
        <v>1</v>
      </c>
      <c r="H78" s="56" t="str">
        <f>IF(INDEX($AP$78:$AP$85,MATCH(1,$AQ$78:$AQ$85,0))&lt;0,"",INDEX($AO$78:$AO$85,MATCH(1,$AQ$78:$AQ$85,0)))</f>
        <v>Changeover overrun</v>
      </c>
      <c r="I78" s="56"/>
      <c r="J78" s="35">
        <f>IF($H$78="","",INDEX($AP$78:$AP$85,MATCH(1,$AQ$78:$AQ$85,0)))</f>
        <v>115</v>
      </c>
      <c r="K78" s="36">
        <f>IF(OR($H$78="",$J$86=0),"",$J$78/$J$86)</f>
        <v>0.36741214057508</v>
      </c>
      <c r="L78" s="36">
        <f>IF(OR($H$78="",$J$86=0),"",SUM($J$78:$J$78)/$J$86)</f>
        <v>0.36741214057508</v>
      </c>
      <c r="AO78" s="11" t="str">
        <f>IFERROR(INDEX(tblReasons[Reason],1)&amp;"","")</f>
        <v>Material shortage</v>
      </c>
      <c r="AP78" s="57">
        <f>IF($AO$78="",-1,SUMIFS(tblLog[Short (units)],tblLog[Miss reason],$AO$78,tblLog[View date],"&gt;0"))</f>
        <v>71</v>
      </c>
      <c r="AQ78" s="57">
        <f>COUNTIF($AP$78:$AP$85,"&gt;"&amp;$AP$78)+COUNTIF($AP$78:$AP$78,$AP$78)</f>
        <v>2</v>
      </c>
    </row>
    <row r="79" spans="2:43" x14ac:dyDescent="0.25">
      <c r="B79" s="53" t="str">
        <f>IFERROR(INDEX(tblLines[Line],3)&amp;"","")</f>
        <v>C2</v>
      </c>
      <c r="C79" s="35">
        <f>IF($B$79="","",SUMIFS(tblLog[Planned (units)],tblLog[Line],$B$79,tblLog[View date],"&gt;0"))</f>
        <v>1500</v>
      </c>
      <c r="D79" s="36">
        <f>IF($B$79="","",IF((SUMIFS(tblLog[Planned (units)],tblLog[Line],$B$79,tblLog[View date],"&gt;0"))=0,"",(SUMIFS(tblLog[Credited (units)],tblLog[Line],$B$79,tblLog[View date],"&gt;0"))/(SUMIFS(tblLog[Planned (units)],tblLog[Line],$B$79,tblLog[View date],"&gt;0"))))</f>
        <v>0.916666666666667</v>
      </c>
      <c r="E79" s="36">
        <f>IF($B$79="","",IF((SUMIFS(tblLog[Planned (units)],tblLog[Line],$B$79,tblLog[View date],"&gt;0"))=0,"",(SUMIFS(tblLog[Actual (units)],tblLog[Line],$B$79,tblLog[View date],"&gt;0"))/(SUMIFS(tblLog[Planned (units)],tblLog[Line],$B$79,tblLog[View date],"&gt;0"))))</f>
        <v>0.92</v>
      </c>
      <c r="F79" s="52">
        <f>TargetAttain</f>
        <v>0.95</v>
      </c>
      <c r="G79" s="55">
        <v>2</v>
      </c>
      <c r="H79" s="56" t="str">
        <f>IF(INDEX($AP$78:$AP$85,MATCH(2,$AQ$78:$AQ$85,0))&lt;0,"",INDEX($AO$78:$AO$85,MATCH(2,$AQ$78:$AQ$85,0)))</f>
        <v>Material shortage</v>
      </c>
      <c r="I79" s="56"/>
      <c r="J79" s="35">
        <f>IF($H$79="","",INDEX($AP$78:$AP$85,MATCH(2,$AQ$78:$AQ$85,0)))</f>
        <v>71</v>
      </c>
      <c r="K79" s="36">
        <f>IF(OR($H$79="",$J$86=0),"",$J$79/$J$86)</f>
        <v>0.226837060702875</v>
      </c>
      <c r="L79" s="36">
        <f>IF(OR($H$79="",$J$86=0),"",SUM($J$78:$J$79)/$J$86)</f>
        <v>0.594249201277955</v>
      </c>
      <c r="AO79" s="11" t="str">
        <f>IFERROR(INDEX(tblReasons[Reason],2)&amp;"","")</f>
        <v>Machine breakdown</v>
      </c>
      <c r="AP79" s="57">
        <f>IF($AO$79="",-1,SUMIFS(tblLog[Short (units)],tblLog[Miss reason],$AO$79,tblLog[View date],"&gt;0"))</f>
        <v>43</v>
      </c>
      <c r="AQ79" s="57">
        <f>COUNTIF($AP$78:$AP$85,"&gt;"&amp;$AP$79)+COUNTIF($AP$78:$AP$79,$AP$79)</f>
        <v>3</v>
      </c>
    </row>
    <row r="80" spans="2:43" x14ac:dyDescent="0.25">
      <c r="G80" s="55">
        <v>3</v>
      </c>
      <c r="H80" s="56" t="str">
        <f>IF(INDEX($AP$78:$AP$85,MATCH(3,$AQ$78:$AQ$85,0))&lt;0,"",INDEX($AO$78:$AO$85,MATCH(3,$AQ$78:$AQ$85,0)))</f>
        <v>Machine breakdown</v>
      </c>
      <c r="I80" s="56"/>
      <c r="J80" s="35">
        <f>IF($H$80="","",INDEX($AP$78:$AP$85,MATCH(3,$AQ$78:$AQ$85,0)))</f>
        <v>43</v>
      </c>
      <c r="K80" s="36">
        <f>IF(OR($H$80="",$J$86=0),"",$J$80/$J$86)</f>
        <v>0.137380191693291</v>
      </c>
      <c r="L80" s="36">
        <f>IF(OR($H$80="",$J$86=0),"",SUM($J$78:$J$80)/$J$86)</f>
        <v>0.731629392971246</v>
      </c>
      <c r="AO80" s="11" t="str">
        <f>IFERROR(INDEX(tblReasons[Reason],3)&amp;"","")</f>
        <v>Changeover overrun</v>
      </c>
      <c r="AP80" s="57">
        <f>IF($AO$80="",-1,SUMIFS(tblLog[Short (units)],tblLog[Miss reason],$AO$80,tblLog[View date],"&gt;0"))</f>
        <v>115</v>
      </c>
      <c r="AQ80" s="57">
        <f>COUNTIF($AP$78:$AP$85,"&gt;"&amp;$AP$80)+COUNTIF($AP$78:$AP$80,$AP$80)</f>
        <v>1</v>
      </c>
    </row>
    <row r="81" spans="2:43" x14ac:dyDescent="0.25">
      <c r="G81" s="55">
        <v>4</v>
      </c>
      <c r="H81" s="56" t="str">
        <f>IF(INDEX($AP$78:$AP$85,MATCH(4,$AQ$78:$AQ$85,0))&lt;0,"",INDEX($AO$78:$AO$85,MATCH(4,$AQ$78:$AQ$85,0)))</f>
        <v>Labour shortage</v>
      </c>
      <c r="I81" s="56"/>
      <c r="J81" s="35">
        <f>IF($H$81="","",INDEX($AP$78:$AP$85,MATCH(4,$AQ$78:$AQ$85,0)))</f>
        <v>31</v>
      </c>
      <c r="K81" s="36">
        <f>IF(OR($H$81="",$J$86=0),"",$J$81/$J$86)</f>
        <v>0.0990415335463259</v>
      </c>
      <c r="L81" s="36">
        <f>IF(OR($H$81="",$J$86=0),"",SUM($J$78:$J$81)/$J$86)</f>
        <v>0.830670926517572</v>
      </c>
      <c r="AO81" s="11" t="str">
        <f>IFERROR(INDEX(tblReasons[Reason],4)&amp;"","")</f>
        <v>Quality hold</v>
      </c>
      <c r="AP81" s="57">
        <f>IF($AO$81="",-1,SUMIFS(tblLog[Short (units)],tblLog[Miss reason],$AO$81,tblLog[View date],"&gt;0"))</f>
        <v>23</v>
      </c>
      <c r="AQ81" s="57">
        <f>COUNTIF($AP$78:$AP$85,"&gt;"&amp;$AP$81)+COUNTIF($AP$78:$AP$81,$AP$81)</f>
        <v>5</v>
      </c>
    </row>
    <row r="82" spans="2:43" x14ac:dyDescent="0.25">
      <c r="G82" s="55">
        <v>5</v>
      </c>
      <c r="H82" s="56" t="str">
        <f>IF(INDEX($AP$78:$AP$85,MATCH(5,$AQ$78:$AQ$85,0))&lt;0,"",INDEX($AO$78:$AO$85,MATCH(5,$AQ$78:$AQ$85,0)))</f>
        <v>Quality hold</v>
      </c>
      <c r="I82" s="56"/>
      <c r="J82" s="35">
        <f>IF($H$82="","",INDEX($AP$78:$AP$85,MATCH(5,$AQ$78:$AQ$85,0)))</f>
        <v>23</v>
      </c>
      <c r="K82" s="36">
        <f>IF(OR($H$82="",$J$86=0),"",$J$82/$J$86)</f>
        <v>0.073482428115016</v>
      </c>
      <c r="L82" s="36">
        <f>IF(OR($H$82="",$J$86=0),"",SUM($J$78:$J$82)/$J$86)</f>
        <v>0.904153354632588</v>
      </c>
      <c r="AO82" s="11" t="str">
        <f>IFERROR(INDEX(tblReasons[Reason],5)&amp;"","")</f>
        <v>Labour shortage</v>
      </c>
      <c r="AP82" s="57">
        <f>IF($AO$82="",-1,SUMIFS(tblLog[Short (units)],tblLog[Miss reason],$AO$82,tblLog[View date],"&gt;0"))</f>
        <v>31</v>
      </c>
      <c r="AQ82" s="57">
        <f>COUNTIF($AP$78:$AP$85,"&gt;"&amp;$AP$82)+COUNTIF($AP$78:$AP$82,$AP$82)</f>
        <v>4</v>
      </c>
    </row>
    <row r="83" spans="2:43" x14ac:dyDescent="0.25">
      <c r="G83" s="55">
        <v>6</v>
      </c>
      <c r="H83" s="56" t="str">
        <f>IF(INDEX($AP$78:$AP$85,MATCH(6,$AQ$78:$AQ$85,0))&lt;0,"",INDEX($AO$78:$AO$85,MATCH(6,$AQ$78:$AQ$85,0)))</f>
        <v>Other</v>
      </c>
      <c r="I83" s="56"/>
      <c r="J83" s="35">
        <f>IF($H$83="","",INDEX($AP$78:$AP$85,MATCH(6,$AQ$78:$AQ$85,0)))</f>
        <v>16</v>
      </c>
      <c r="K83" s="36">
        <f>IF(OR($H$83="",$J$86=0),"",$J$83/$J$86)</f>
        <v>0.0511182108626198</v>
      </c>
      <c r="L83" s="36">
        <f>IF(OR($H$83="",$J$86=0),"",SUM($J$78:$J$83)/$J$86)</f>
        <v>0.955271565495208</v>
      </c>
      <c r="AO83" s="11" t="str">
        <f>IFERROR(INDEX(tblReasons[Reason],6)&amp;"","")</f>
        <v>Schedule change</v>
      </c>
      <c r="AP83" s="57">
        <f>IF($AO$83="",-1,SUMIFS(tblLog[Short (units)],tblLog[Miss reason],$AO$83,tblLog[View date],"&gt;0"))</f>
        <v>0</v>
      </c>
      <c r="AQ83" s="57">
        <f>COUNTIF($AP$78:$AP$85,"&gt;"&amp;$AP$83)+COUNTIF($AP$78:$AP$83,$AP$83)</f>
        <v>8</v>
      </c>
    </row>
    <row r="84" spans="2:43" x14ac:dyDescent="0.25">
      <c r="G84" s="55">
        <v>7</v>
      </c>
      <c r="H84" s="56" t="str">
        <f>IF(INDEX($AP$78:$AP$85,MATCH(7,$AQ$78:$AQ$85,0))&lt;0,"",INDEX($AO$78:$AO$85,MATCH(7,$AQ$78:$AQ$85,0)))</f>
        <v>Upstream delay</v>
      </c>
      <c r="I84" s="56"/>
      <c r="J84" s="35">
        <f>IF($H$84="","",INDEX($AP$78:$AP$85,MATCH(7,$AQ$78:$AQ$85,0)))</f>
        <v>14</v>
      </c>
      <c r="K84" s="36">
        <f>IF(OR($H$84="",$J$86=0),"",$J$84/$J$86)</f>
        <v>0.0447284345047923</v>
      </c>
      <c r="L84" s="36">
        <f>IF(OR($H$84="",$J$86=0),"",SUM($J$78:$J$84)/$J$86)</f>
        <v>1</v>
      </c>
      <c r="AO84" s="11" t="str">
        <f>IFERROR(INDEX(tblReasons[Reason],7)&amp;"","")</f>
        <v>Upstream delay</v>
      </c>
      <c r="AP84" s="57">
        <f>IF($AO$84="",-1,SUMIFS(tblLog[Short (units)],tblLog[Miss reason],$AO$84,tblLog[View date],"&gt;0"))</f>
        <v>14</v>
      </c>
      <c r="AQ84" s="57">
        <f>COUNTIF($AP$78:$AP$85,"&gt;"&amp;$AP$84)+COUNTIF($AP$78:$AP$84,$AP$84)</f>
        <v>7</v>
      </c>
    </row>
    <row r="85" spans="2:43" x14ac:dyDescent="0.25">
      <c r="G85" s="55">
        <v>8</v>
      </c>
      <c r="H85" s="56" t="str">
        <f>IF(INDEX($AP$78:$AP$85,MATCH(8,$AQ$78:$AQ$85,0))&lt;0,"",INDEX($AO$78:$AO$85,MATCH(8,$AQ$78:$AQ$85,0)))</f>
        <v>Schedule change</v>
      </c>
      <c r="I85" s="56"/>
      <c r="J85" s="35">
        <f>IF($H$85="","",INDEX($AP$78:$AP$85,MATCH(8,$AQ$78:$AQ$85,0)))</f>
        <v>0</v>
      </c>
      <c r="K85" s="36">
        <f>IF(OR($H$85="",$J$86=0),"",$J$85/$J$86)</f>
        <v>0</v>
      </c>
      <c r="L85" s="36">
        <f>IF(OR($H$85="",$J$86=0),"",SUM($J$78:$J$85)/$J$86)</f>
        <v>1</v>
      </c>
      <c r="AO85" s="11" t="str">
        <f>IFERROR(INDEX(tblReasons[Reason],8)&amp;"","")</f>
        <v>Other</v>
      </c>
      <c r="AP85" s="57">
        <f>IF($AO$85="",-1,SUMIFS(tblLog[Short (units)],tblLog[Miss reason],$AO$85,tblLog[View date],"&gt;0"))</f>
        <v>16</v>
      </c>
      <c r="AQ85" s="57">
        <f>COUNTIF($AP$78:$AP$85,"&gt;"&amp;$AP$85)+COUNTIF($AP$78:$AP$85,$AP$85)</f>
        <v>6</v>
      </c>
    </row>
    <row r="86" spans="2:43" x14ac:dyDescent="0.25">
      <c r="G86" s="58"/>
      <c r="H86" s="58" t="s">
        <v>156</v>
      </c>
      <c r="I86" s="58"/>
      <c r="J86" s="59">
        <f>SUMIF($AP$78:$AP$85,"&gt;0")</f>
        <v>313</v>
      </c>
      <c r="K86" s="58"/>
      <c r="L86" s="58"/>
    </row>
    <row r="87" spans="2:43" ht="8" customHeight="1" x14ac:dyDescent="0.25"/>
    <row r="88" spans="2:43" ht="26.76" customHeight="1" x14ac:dyDescent="0.25">
      <c r="B88" s="21" t="s">
        <v>157</v>
      </c>
      <c r="C88" s="21"/>
      <c r="D88" s="21"/>
      <c r="E88" s="21"/>
      <c r="F88" s="21"/>
      <c r="G88" s="21"/>
      <c r="H88" s="21"/>
      <c r="I88" s="21"/>
      <c r="J88" s="21"/>
      <c r="K88" s="21"/>
      <c r="L88" s="21"/>
    </row>
    <row r="89" spans="2:43" x14ac:dyDescent="0.25">
      <c r="B89" s="60">
        <f>IF(OR(COUNTA(tblLines[Line])&gt;3,COUNTA(tblItems[Item])&gt;8,COUNTA(tblReasons[Reason])&gt;8),"Setup lists are longer than the Dashboard blocks: some lines, items or reasons are not shown.","")</f>
        <v/>
      </c>
      <c r="C89" s="60"/>
      <c r="D89" s="60"/>
      <c r="E89" s="60"/>
      <c r="F89" s="60"/>
      <c r="G89" s="60"/>
      <c r="H89" s="60"/>
      <c r="I89" s="60"/>
      <c r="J89" s="60"/>
      <c r="K89" s="60"/>
      <c r="L89" s="60"/>
    </row>
  </sheetData>
  <sheetProtection sheet="1" formatColumns="0" formatRows="0"/>
  <mergeCells count="56">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H51"/>
    <mergeCell ref="B64:G64"/>
    <mergeCell ref="B75:F75"/>
    <mergeCell ref="G75:L75"/>
    <mergeCell ref="H76:I76"/>
    <mergeCell ref="H77:I77"/>
    <mergeCell ref="H78:I78"/>
    <mergeCell ref="H79:I79"/>
    <mergeCell ref="H80:I80"/>
    <mergeCell ref="H81:I81"/>
    <mergeCell ref="H82:I82"/>
    <mergeCell ref="H83:I83"/>
    <mergeCell ref="H84:I84"/>
    <mergeCell ref="H85:I85"/>
    <mergeCell ref="H86:I86"/>
    <mergeCell ref="B88:L88"/>
    <mergeCell ref="B89:L89"/>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77:D79">
    <cfRule type="expression" dxfId="3" priority="27" stopIfTrue="1">
      <formula>AND(ISNUMBER(D77),D77&gt;=(TargetAttain))</formula>
    </cfRule>
    <cfRule type="expression" dxfId="4" priority="28" stopIfTrue="1">
      <formula>AND(ISNUMBER(D77),D77&gt;=(TargetAttain)*(1-0.05))</formula>
    </cfRule>
    <cfRule type="expression" dxfId="5" priority="29">
      <formula>ISNUMBER(D77)</formula>
    </cfRule>
  </conditionalFormatting>
  <conditionalFormatting sqref="F53:F62">
    <cfRule type="expression" dxfId="3" priority="21" stopIfTrue="1">
      <formula>AND(ISNUMBER(F53),F53&gt;=(TargetAttain))</formula>
    </cfRule>
    <cfRule type="expression" dxfId="4" priority="22" stopIfTrue="1">
      <formula>AND(ISNUMBER(F53),F53&gt;=(TargetAttain)*(1-0.05))</formula>
    </cfRule>
    <cfRule type="expression" dxfId="5" priority="23">
      <formula>ISNUMBER(F53)</formula>
    </cfRule>
  </conditionalFormatting>
  <conditionalFormatting sqref="G66:G73">
    <cfRule type="expression" dxfId="3" priority="24" stopIfTrue="1">
      <formula>AND(ISNUMBER(G66),G66&gt;=(TargetAttain))</formula>
    </cfRule>
    <cfRule type="expression" dxfId="4" priority="25" stopIfTrue="1">
      <formula>AND(ISNUMBER(G66),G66&gt;=(TargetAttain)*(1-0.05))</formula>
    </cfRule>
    <cfRule type="expression" dxfId="5" priority="26">
      <formula>ISNUMBER(G66)</formula>
    </cfRule>
  </conditionalFormatting>
  <conditionalFormatting sqref="J78:J85">
    <cfRule type="dataBar" priority="30">
      <dataBar>
        <cfvo type="num" val="0"/>
        <cfvo type="max"/>
        <color rgb="FFA8BDF0"/>
      </dataBar>
      <extLst>
        <ext xmlns:x14="http://schemas.microsoft.com/office/spreadsheetml/2009/9/main" uri="{B025F937-C7B1-47D3-B67F-A62EFF666E3E}">
          <x14:id>{DA7ABA51-AAAA-BBBB-0004-000000000001}</x14:id>
        </ext>
      </extLst>
    </cfRule>
  </conditionalFormatting>
  <dataValidations count="3">
    <dataValidation type="list" allowBlank="1" showInputMessage="1" showErrorMessage="1" errorTitle="Check this entry" error="Pick from the list (edit the list on Setup: Lines)." promptTitle="Line" prompt="Leave blank for all lines. Pick from the list (edit the list on Setup: Lines)." sqref="C4">
      <formula1>Lines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Schedule Attainment Tracker&amp;R&amp;8&amp;A</oddHeader>
    <oddFooter>&amp;L&amp;8mfgcalcs.com - free manufacturing templates&amp;R&amp;8Page &amp;P of &amp;N</oddFooter>
  </headerFooter>
  <rowBreaks count="3" manualBreakCount="3">
    <brk id="28" max="16383" man="1"/>
    <brk id="50" max="16383" man="1"/>
    <brk id="7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J78:J85</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158</v>
      </c>
      <c r="C4" s="8"/>
      <c r="D4" s="8"/>
    </row>
    <row r="5" spans="1:4" ht="5" customHeight="1"/>
    <row r="6" spans="1:4" ht="42.6" customHeight="1">
      <c r="B6" s="10" t="s">
        <v>159</v>
      </c>
      <c r="C6" s="10"/>
      <c r="D6" s="10"/>
    </row>
    <row r="8" spans="1:4" ht="21" customHeight="1">
      <c r="B8" s="8" t="s">
        <v>160</v>
      </c>
      <c r="C8" s="8"/>
      <c r="D8" s="8"/>
    </row>
    <row r="9" spans="1:4" ht="5" customHeight="1"/>
    <row r="10" spans="1:4" ht="20" customHeight="1">
      <c r="B10" s="50" t="s">
        <v>161</v>
      </c>
      <c r="C10" s="50" t="s">
        <v>162</v>
      </c>
      <c r="D10" s="31" t="s">
        <v>163</v>
      </c>
    </row>
    <row r="11" spans="1:4" ht="17.2" customHeight="1">
      <c r="B11" s="61" t="s">
        <v>164</v>
      </c>
      <c r="C11" s="62" t="s">
        <v>165</v>
      </c>
      <c r="D11" s="63" t="s">
        <v>154</v>
      </c>
    </row>
    <row r="12" spans="1:4" ht="17.2" customHeight="1">
      <c r="B12" s="61" t="s">
        <v>166</v>
      </c>
      <c r="C12" s="62" t="s">
        <v>167</v>
      </c>
      <c r="D12" s="63" t="s">
        <v>154</v>
      </c>
    </row>
    <row r="13" spans="1:4" ht="17.2" customHeight="1">
      <c r="B13" s="61" t="s">
        <v>168</v>
      </c>
      <c r="C13" s="62" t="s">
        <v>169</v>
      </c>
      <c r="D13" s="63" t="s">
        <v>154</v>
      </c>
    </row>
    <row r="14" spans="1:4" ht="17.2" customHeight="1">
      <c r="B14" s="61" t="s">
        <v>138</v>
      </c>
      <c r="C14" s="62" t="s">
        <v>170</v>
      </c>
      <c r="D14" s="63" t="s">
        <v>155</v>
      </c>
    </row>
    <row r="15" spans="1:4" ht="30.4" customHeight="1">
      <c r="B15" s="61" t="s">
        <v>139</v>
      </c>
      <c r="C15" s="62" t="s">
        <v>171</v>
      </c>
      <c r="D15" s="63" t="s">
        <v>155</v>
      </c>
    </row>
    <row r="16" spans="1:4" ht="30.4" customHeight="1">
      <c r="B16" s="61" t="s">
        <v>172</v>
      </c>
      <c r="C16" s="62" t="s">
        <v>173</v>
      </c>
      <c r="D16" s="63" t="s">
        <v>174</v>
      </c>
    </row>
    <row r="17" spans="2:4" ht="30.4" customHeight="1">
      <c r="B17" s="61" t="s">
        <v>114</v>
      </c>
      <c r="C17" s="62" t="s">
        <v>175</v>
      </c>
      <c r="D17" s="63" t="s">
        <v>174</v>
      </c>
    </row>
    <row r="18" spans="2:4" ht="30.4" customHeight="1">
      <c r="B18" s="61" t="s">
        <v>176</v>
      </c>
      <c r="C18" s="62" t="s">
        <v>177</v>
      </c>
      <c r="D18" s="63" t="s">
        <v>178</v>
      </c>
    </row>
    <row r="19" spans="2:4" ht="30.4" customHeight="1">
      <c r="B19" s="61" t="s">
        <v>179</v>
      </c>
      <c r="C19" s="62" t="s">
        <v>180</v>
      </c>
      <c r="D19" s="63" t="s">
        <v>174</v>
      </c>
    </row>
    <row r="21" spans="2:4" ht="21" customHeight="1">
      <c r="B21" s="8" t="s">
        <v>181</v>
      </c>
      <c r="C21" s="8"/>
      <c r="D21" s="8"/>
    </row>
    <row r="22" spans="2:4" ht="5" customHeight="1"/>
    <row r="23" spans="2:4" ht="29.4" customHeight="1">
      <c r="B23" s="26" t="s">
        <v>53</v>
      </c>
      <c r="C23" s="10" t="s">
        <v>182</v>
      </c>
      <c r="D23" s="10"/>
    </row>
    <row r="24" spans="2:4" ht="16.2" customHeight="1">
      <c r="B24" s="26" t="s">
        <v>53</v>
      </c>
      <c r="C24" s="10" t="s">
        <v>183</v>
      </c>
      <c r="D24" s="10"/>
    </row>
    <row r="25" spans="2:4" ht="29.4" customHeight="1">
      <c r="B25" s="26" t="s">
        <v>53</v>
      </c>
      <c r="C25" s="10" t="s">
        <v>184</v>
      </c>
      <c r="D25" s="10"/>
    </row>
    <row r="27" spans="2:4" ht="21" customHeight="1">
      <c r="B27" s="8" t="s">
        <v>185</v>
      </c>
      <c r="C27" s="8"/>
      <c r="D27" s="8"/>
    </row>
    <row r="28" spans="2:4" ht="5" customHeight="1"/>
    <row r="29" spans="2:4" ht="29.4" customHeight="1">
      <c r="B29" s="26" t="s">
        <v>53</v>
      </c>
      <c r="C29" s="10" t="s">
        <v>186</v>
      </c>
      <c r="D29" s="10"/>
    </row>
    <row r="30" spans="2:4" ht="16.2" customHeight="1">
      <c r="B30" s="26" t="s">
        <v>53</v>
      </c>
      <c r="C30" s="10" t="s">
        <v>187</v>
      </c>
      <c r="D30" s="10"/>
    </row>
    <row r="31" spans="2:4" ht="16.2" customHeight="1">
      <c r="B31" s="26" t="s">
        <v>53</v>
      </c>
      <c r="C31" s="10" t="s">
        <v>188</v>
      </c>
      <c r="D31" s="10"/>
    </row>
    <row r="32" spans="2:4" ht="29.4" customHeight="1">
      <c r="B32" s="26" t="s">
        <v>53</v>
      </c>
      <c r="C32" s="10" t="s">
        <v>189</v>
      </c>
      <c r="D32" s="10"/>
    </row>
    <row r="34" spans="2:4" ht="21" customHeight="1">
      <c r="B34" s="8" t="s">
        <v>190</v>
      </c>
      <c r="C34" s="8"/>
      <c r="D34" s="8"/>
    </row>
    <row r="35" spans="2:4" ht="5" customHeight="1"/>
    <row r="36" spans="2:4" ht="55.8" customHeight="1">
      <c r="B36" s="10" t="s">
        <v>191</v>
      </c>
      <c r="C36" s="10"/>
      <c r="D36" s="10"/>
    </row>
    <row r="37" spans="2:4">
      <c r="B37" s="24" t="s">
        <v>192</v>
      </c>
      <c r="C37" s="24"/>
      <c r="D37" s="24"/>
    </row>
    <row r="39" spans="2:4" ht="21" customHeight="1">
      <c r="B39" s="8" t="s">
        <v>40</v>
      </c>
      <c r="C39" s="8"/>
      <c r="D39" s="8"/>
    </row>
    <row r="40" spans="2:4" ht="5" customHeight="1"/>
    <row r="41" spans="2:4" ht="42.6" customHeight="1">
      <c r="B41" s="10" t="s">
        <v>193</v>
      </c>
      <c r="C41" s="10"/>
      <c r="D41" s="10"/>
    </row>
    <row r="43" spans="2:4" ht="21" customHeight="1">
      <c r="B43" s="8" t="s">
        <v>194</v>
      </c>
      <c r="C43" s="8"/>
      <c r="D43" s="8"/>
    </row>
    <row r="44" spans="2:4" ht="5" customHeight="1"/>
    <row r="45" spans="2:4" ht="29.4" customHeight="1">
      <c r="B45" s="26" t="s">
        <v>53</v>
      </c>
      <c r="C45" s="10" t="s">
        <v>195</v>
      </c>
      <c r="D45" s="10"/>
    </row>
    <row r="46" spans="2:4" ht="16.2" customHeight="1">
      <c r="B46" s="26" t="s">
        <v>53</v>
      </c>
      <c r="C46" s="10" t="s">
        <v>196</v>
      </c>
      <c r="D46" s="10"/>
    </row>
    <row r="47" spans="2:4" ht="29.4" customHeight="1">
      <c r="B47" s="26" t="s">
        <v>53</v>
      </c>
      <c r="C47" s="10" t="s">
        <v>197</v>
      </c>
      <c r="D47" s="10"/>
    </row>
    <row r="48" spans="2:4">
      <c r="B48" s="21" t="s">
        <v>198</v>
      </c>
      <c r="C48" s="21"/>
      <c r="D48" s="21"/>
    </row>
    <row r="50" spans="2:4" ht="21" customHeight="1">
      <c r="B50" s="8" t="s">
        <v>199</v>
      </c>
      <c r="C50" s="8"/>
      <c r="D50" s="8"/>
    </row>
    <row r="51" spans="2:4" ht="5" customHeight="1"/>
    <row r="52" spans="2:4">
      <c r="B52" s="50" t="s">
        <v>48</v>
      </c>
      <c r="C52" s="50" t="s">
        <v>200</v>
      </c>
      <c r="D52" s="31" t="s">
        <v>105</v>
      </c>
    </row>
    <row r="53" spans="2:4" ht="16.2" customHeight="1">
      <c r="B53" s="64" t="s">
        <v>201</v>
      </c>
      <c r="C53" s="65" t="s">
        <v>202</v>
      </c>
      <c r="D53" s="66" t="s">
        <v>203</v>
      </c>
    </row>
    <row r="55" spans="2:4">
      <c r="B55" s="21" t="s">
        <v>59</v>
      </c>
      <c r="C55" s="21"/>
      <c r="D55" s="21"/>
    </row>
  </sheetData>
  <sheetProtection sheet="1" formatColumns="0" formatRows="0"/>
  <mergeCells count="26">
    <mergeCell ref="A1:D1"/>
    <mergeCell ref="B2:C2"/>
    <mergeCell ref="B4:D4"/>
    <mergeCell ref="B6:D6"/>
    <mergeCell ref="B8:D8"/>
    <mergeCell ref="B21:D21"/>
    <mergeCell ref="C23:D23"/>
    <mergeCell ref="C24:D24"/>
    <mergeCell ref="C25:D25"/>
    <mergeCell ref="B27:D27"/>
    <mergeCell ref="C29:D29"/>
    <mergeCell ref="C30:D30"/>
    <mergeCell ref="C31:D31"/>
    <mergeCell ref="C32:D32"/>
    <mergeCell ref="B34:D34"/>
    <mergeCell ref="B36:D36"/>
    <mergeCell ref="B37:D37"/>
    <mergeCell ref="B39:D39"/>
    <mergeCell ref="B41:D41"/>
    <mergeCell ref="B43:D43"/>
    <mergeCell ref="C45:D45"/>
    <mergeCell ref="C46:D46"/>
    <mergeCell ref="C47:D47"/>
    <mergeCell ref="B48:D48"/>
    <mergeCell ref="B50:D50"/>
    <mergeCell ref="B55:D55"/>
  </mergeCells>
  <hyperlinks>
    <hyperlink ref="D2" r:id="rId1" tooltip="Free manufacturing calculators and templates"/>
    <hyperlink ref="B37" r:id="rId2"/>
  </hyperlinks>
  <printOptions horizontalCentered="1"/>
  <pageMargins left="0.4" right="0.4" top="0.7" bottom="0.65" header="0.3" footer="0.3"/>
  <pageSetup fitToHeight="0" orientation="portrait"/>
  <headerFooter>
    <oddHeader>&amp;L&amp;8MFG Calcs - Schedule Attainment Tracker&amp;R&amp;8&amp;A</oddHeader>
    <oddFooter>&amp;L&amp;8mfgcalcs.com - free manufacturing templates&amp;R&amp;8Page &amp;P of &amp;N</oddFooter>
  </headerFooter>
  <rowBreaks count="1" manualBreakCount="1">
    <brk id="26"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P44"/>
  <sheetViews>
    <sheetView showGridLines="0" workbookViewId="0"/>
  </sheetViews>
  <sheetFormatPr defaultRowHeight="15"/>
  <cols>
    <col min="1" max="1" width="2.7109375" customWidth="1"/>
    <col min="2" max="19" width="12.7109375" customWidth="1"/>
  </cols>
  <sheetData>
    <row r="1" spans="1:16" ht="30" customHeight="1">
      <c r="A1" s="1" t="s">
        <v>0</v>
      </c>
      <c r="B1" s="1"/>
      <c r="C1" s="1"/>
      <c r="D1" s="1"/>
      <c r="E1" s="1"/>
      <c r="F1" s="1"/>
      <c r="G1" s="1"/>
      <c r="H1" s="1"/>
      <c r="I1" s="1"/>
      <c r="J1" s="1"/>
      <c r="K1" s="1"/>
      <c r="L1" s="1"/>
      <c r="M1" s="1"/>
      <c r="N1" s="1"/>
      <c r="O1" s="1"/>
      <c r="P1" s="1"/>
    </row>
    <row r="2" spans="1:16" ht="21" customHeight="1">
      <c r="B2" s="2" t="s">
        <v>26</v>
      </c>
      <c r="C2" s="2"/>
      <c r="D2" s="2"/>
      <c r="E2" s="2"/>
      <c r="F2" s="2"/>
      <c r="G2" s="2"/>
      <c r="H2" s="2"/>
      <c r="I2" s="2"/>
      <c r="J2" s="2"/>
      <c r="K2" s="2"/>
      <c r="L2" s="2"/>
      <c r="M2" s="2"/>
      <c r="N2" s="2"/>
      <c r="O2" s="2"/>
      <c r="P2" s="3" t="s">
        <v>2</v>
      </c>
    </row>
    <row r="3" spans="1:16" ht="6" customHeight="1"/>
    <row r="4" spans="1:16" ht="30" customHeight="1">
      <c r="B4" s="67" t="s">
        <v>204</v>
      </c>
      <c r="C4" s="67"/>
      <c r="D4" s="22" t="str">
        <f>IF(COUNTIF($K$11:$K$22,"PASS")=12,"PASS","FAIL")</f>
        <v>PASS</v>
      </c>
      <c r="E4" s="22"/>
      <c r="F4" s="23" t="str">
        <f>COUNTIF($K$11:$K$22,"PASS")&amp;" of 12 checks pass"</f>
        <v>12 of 12 checks pass</v>
      </c>
      <c r="G4" s="23"/>
      <c r="H4" s="23"/>
      <c r="I4" s="23"/>
      <c r="J4" s="23"/>
    </row>
    <row r="6" spans="1:16" ht="29.4" customHeight="1">
      <c r="B6" s="10" t="s">
        <v>205</v>
      </c>
      <c r="C6" s="10"/>
      <c r="D6" s="10"/>
      <c r="E6" s="10"/>
      <c r="F6" s="10"/>
      <c r="G6" s="10"/>
      <c r="H6" s="10"/>
      <c r="I6" s="10"/>
      <c r="J6" s="10"/>
      <c r="K6" s="10"/>
      <c r="L6" s="10"/>
    </row>
    <row r="8" spans="1:16" ht="21" customHeight="1">
      <c r="B8" s="8" t="s">
        <v>206</v>
      </c>
      <c r="C8" s="8"/>
      <c r="D8" s="8"/>
      <c r="E8" s="8"/>
      <c r="F8" s="8"/>
      <c r="G8" s="8"/>
      <c r="H8" s="8"/>
      <c r="I8" s="8"/>
      <c r="J8" s="8"/>
      <c r="K8" s="8"/>
      <c r="L8" s="8"/>
    </row>
    <row r="9" spans="1:16" ht="5" customHeight="1"/>
    <row r="10" spans="1:16" ht="30" customHeight="1">
      <c r="B10" s="31" t="s">
        <v>207</v>
      </c>
      <c r="C10" s="50" t="s">
        <v>116</v>
      </c>
      <c r="D10" s="50"/>
      <c r="E10" s="50"/>
      <c r="F10" s="50"/>
      <c r="G10" s="31" t="s">
        <v>208</v>
      </c>
      <c r="H10" s="31" t="s">
        <v>209</v>
      </c>
      <c r="I10" s="31" t="s">
        <v>210</v>
      </c>
      <c r="J10" s="31" t="s">
        <v>211</v>
      </c>
      <c r="K10" s="31" t="s">
        <v>212</v>
      </c>
    </row>
    <row r="11" spans="1:16" ht="16.2" customHeight="1">
      <c r="B11" s="55">
        <v>1</v>
      </c>
      <c r="C11" s="65" t="s">
        <v>213</v>
      </c>
      <c r="D11" s="65"/>
      <c r="E11" s="65"/>
      <c r="F11" s="65"/>
      <c r="G11" s="52">
        <v>0.925</v>
      </c>
      <c r="H11" s="36">
        <f>$K$41</f>
        <v>0.925</v>
      </c>
      <c r="I11" s="68">
        <f>IF(AND(ISNUMBER($G$11),ISNUMBER($H$11)),ABS($H$11-$G$11),"")</f>
        <v>0</v>
      </c>
      <c r="J11" s="69">
        <v>1E-09</v>
      </c>
      <c r="K11" s="37" t="str">
        <f>IF(AND(ISNUMBER($G$11),ISNUMBER($H$11)),IF(ABS($H$11-$G$11)&lt;=$J$11,"PASS","FAIL"),"FAIL")</f>
        <v>PASS</v>
      </c>
    </row>
    <row r="12" spans="1:16" ht="16.2" customHeight="1">
      <c r="B12" s="55">
        <v>2</v>
      </c>
      <c r="C12" s="65" t="s">
        <v>214</v>
      </c>
      <c r="D12" s="65"/>
      <c r="E12" s="65"/>
      <c r="F12" s="65"/>
      <c r="G12" s="70">
        <v>15</v>
      </c>
      <c r="H12" s="35">
        <f>$I$41</f>
        <v>15</v>
      </c>
      <c r="I12" s="68">
        <f>IF(AND(ISNUMBER($G$12),ISNUMBER($H$12)),ABS($H$12-$G$12),"")</f>
        <v>0</v>
      </c>
      <c r="J12" s="69">
        <v>1E-09</v>
      </c>
      <c r="K12" s="37" t="str">
        <f>IF(AND(ISNUMBER($G$12),ISNUMBER($H$12)),IF(ABS($H$12-$G$12)&lt;=$J$12,"PASS","FAIL"),"FAIL")</f>
        <v>PASS</v>
      </c>
    </row>
    <row r="13" spans="1:16" ht="16.2" customHeight="1">
      <c r="B13" s="55">
        <v>3</v>
      </c>
      <c r="C13" s="65" t="s">
        <v>215</v>
      </c>
      <c r="D13" s="65"/>
      <c r="E13" s="65"/>
      <c r="F13" s="65"/>
      <c r="G13" s="64" t="s">
        <v>216</v>
      </c>
      <c r="H13" s="56" t="str">
        <f>$M$41</f>
        <v>Near target</v>
      </c>
      <c r="I13" s="56"/>
      <c r="J13" s="66" t="s">
        <v>217</v>
      </c>
      <c r="K13" s="37" t="str">
        <f>IF($H$13&amp;""=$G$13&amp;"","PASS","FAIL")</f>
        <v>PASS</v>
      </c>
    </row>
    <row r="14" spans="1:16" ht="16.2" customHeight="1">
      <c r="B14" s="55">
        <v>4</v>
      </c>
      <c r="C14" s="65" t="s">
        <v>218</v>
      </c>
      <c r="D14" s="65"/>
      <c r="E14" s="65"/>
      <c r="F14" s="65"/>
      <c r="G14" s="70">
        <v>100</v>
      </c>
      <c r="H14" s="35">
        <f>$H$42</f>
        <v>100</v>
      </c>
      <c r="I14" s="68">
        <f>IF(AND(ISNUMBER($G$14),ISNUMBER($H$14)),ABS($H$14-$G$14),"")</f>
        <v>0</v>
      </c>
      <c r="J14" s="69">
        <v>1E-09</v>
      </c>
      <c r="K14" s="37" t="str">
        <f>IF(AND(ISNUMBER($G$14),ISNUMBER($H$14)),IF(ABS($H$14-$G$14)&lt;=$J$14,"PASS","FAIL"),"FAIL")</f>
        <v>PASS</v>
      </c>
    </row>
    <row r="15" spans="1:16" ht="16.2" customHeight="1">
      <c r="B15" s="55">
        <v>5</v>
      </c>
      <c r="C15" s="65" t="s">
        <v>219</v>
      </c>
      <c r="D15" s="65"/>
      <c r="E15" s="65"/>
      <c r="F15" s="65"/>
      <c r="G15" s="70">
        <v>20</v>
      </c>
      <c r="H15" s="35">
        <f>$J$42</f>
        <v>20</v>
      </c>
      <c r="I15" s="68">
        <f>IF(AND(ISNUMBER($G$15),ISNUMBER($H$15)),ABS($H$15-$G$15),"")</f>
        <v>0</v>
      </c>
      <c r="J15" s="69">
        <v>1E-09</v>
      </c>
      <c r="K15" s="37" t="str">
        <f>IF(AND(ISNUMBER($G$15),ISNUMBER($H$15)),IF(ABS($H$15-$G$15)&lt;=$J$15,"PASS","FAIL"),"FAIL")</f>
        <v>PASS</v>
      </c>
    </row>
    <row r="16" spans="1:16" ht="16.2" customHeight="1">
      <c r="B16" s="55">
        <v>6</v>
      </c>
      <c r="C16" s="65" t="s">
        <v>220</v>
      </c>
      <c r="D16" s="65"/>
      <c r="E16" s="65"/>
      <c r="F16" s="65"/>
      <c r="G16" s="64" t="s">
        <v>221</v>
      </c>
      <c r="H16" s="56" t="str">
        <f>$O$43</f>
        <v>Give the miss reason</v>
      </c>
      <c r="I16" s="56"/>
      <c r="J16" s="66" t="s">
        <v>217</v>
      </c>
      <c r="K16" s="37" t="str">
        <f>IF($H$16&amp;""=$G$16&amp;"","PASS","FAIL")</f>
        <v>PASS</v>
      </c>
    </row>
    <row r="17" spans="2:12" ht="16.2" customHeight="1">
      <c r="B17" s="55">
        <v>7</v>
      </c>
      <c r="C17" s="65" t="s">
        <v>222</v>
      </c>
      <c r="D17" s="65"/>
      <c r="E17" s="65"/>
      <c r="F17" s="65"/>
      <c r="G17" s="64" t="s">
        <v>223</v>
      </c>
      <c r="H17" s="56" t="str">
        <f>$M$44</f>
        <v>On target</v>
      </c>
      <c r="I17" s="56"/>
      <c r="J17" s="66" t="s">
        <v>217</v>
      </c>
      <c r="K17" s="37" t="str">
        <f>IF($H$17&amp;""=$G$17&amp;"","PASS","FAIL")</f>
        <v>PASS</v>
      </c>
    </row>
    <row r="18" spans="2:12" ht="16.2" customHeight="1">
      <c r="B18" s="55">
        <v>8</v>
      </c>
      <c r="C18" s="65" t="s">
        <v>224</v>
      </c>
      <c r="D18" s="65"/>
      <c r="E18" s="65"/>
      <c r="F18" s="65"/>
      <c r="G18" s="52">
        <v>0.9</v>
      </c>
      <c r="H18" s="36">
        <f>IF((SUMIFS(tblVerifyLog[Planned (units)],tblVerifyLog[View date],"&gt;0"))=0,"",(SUMIFS(tblVerifyLog[Credited (units)],tblVerifyLog[View date],"&gt;0"))/(SUMIFS(tblVerifyLog[Planned (units)],tblVerifyLog[View date],"&gt;0")))</f>
        <v>0.9</v>
      </c>
      <c r="I18" s="68">
        <f>IF(AND(ISNUMBER($G$18),ISNUMBER($H$18)),ABS($H$18-$G$18),"")</f>
        <v>0</v>
      </c>
      <c r="J18" s="69">
        <v>1E-09</v>
      </c>
      <c r="K18" s="37" t="str">
        <f>IF(AND(ISNUMBER($G$18),ISNUMBER($H$18)),IF(ABS($H$18-$G$18)&lt;=$J$18,"PASS","FAIL"),"FAIL")</f>
        <v>PASS</v>
      </c>
    </row>
    <row r="19" spans="2:12" ht="16.2" customHeight="1">
      <c r="B19" s="55">
        <v>9</v>
      </c>
      <c r="C19" s="65" t="s">
        <v>225</v>
      </c>
      <c r="D19" s="65"/>
      <c r="E19" s="65"/>
      <c r="F19" s="65"/>
      <c r="G19" s="52">
        <v>0.9444444444444444</v>
      </c>
      <c r="H19" s="36">
        <f>IF((SUMIFS(tblVerifyLog[Planned (units)],tblVerifyLog[View date],"&gt;0"))=0,"",(SUMIFS(tblVerifyLog[Actual (units)],tblVerifyLog[View date],"&gt;0"))/(SUMIFS(tblVerifyLog[Planned (units)],tblVerifyLog[View date],"&gt;0")))</f>
        <v>0.944444444444444</v>
      </c>
      <c r="I19" s="68">
        <f>IF(AND(ISNUMBER($G$19),ISNUMBER($H$19)),ABS($H$19-$G$19),"")</f>
        <v>0</v>
      </c>
      <c r="J19" s="69">
        <v>1E-09</v>
      </c>
      <c r="K19" s="37" t="str">
        <f>IF(AND(ISNUMBER($G$19),ISNUMBER($H$19)),IF(ABS($H$19-$G$19)&lt;=$J$19,"PASS","FAIL"),"FAIL")</f>
        <v>PASS</v>
      </c>
    </row>
    <row r="20" spans="2:12" ht="16.2" customHeight="1">
      <c r="B20" s="55">
        <v>10</v>
      </c>
      <c r="C20" s="65" t="s">
        <v>226</v>
      </c>
      <c r="D20" s="65"/>
      <c r="E20" s="65"/>
      <c r="F20" s="65"/>
      <c r="G20" s="52">
        <v>0.5</v>
      </c>
      <c r="H20" s="36">
        <f>IF((COUNTIFS(tblVerifyLog[View date],"&gt;0",tblVerifyLog[Planned (units)],"&gt;0"))=0,"",(SUMIFS(tblVerifyLog[Hit],tblVerifyLog[View date],"&gt;0"))/(COUNTIFS(tblVerifyLog[View date],"&gt;0",tblVerifyLog[Planned (units)],"&gt;0")))</f>
        <v>0.5</v>
      </c>
      <c r="I20" s="68">
        <f>IF(AND(ISNUMBER($G$20),ISNUMBER($H$20)),ABS($H$20-$G$20),"")</f>
        <v>0</v>
      </c>
      <c r="J20" s="69">
        <v>1E-09</v>
      </c>
      <c r="K20" s="37" t="str">
        <f>IF(AND(ISNUMBER($G$20),ISNUMBER($H$20)),IF(ABS($H$20-$G$20)&lt;=$J$20,"PASS","FAIL"),"FAIL")</f>
        <v>PASS</v>
      </c>
    </row>
    <row r="21" spans="2:12" ht="16.2" customHeight="1">
      <c r="B21" s="55">
        <v>11</v>
      </c>
      <c r="C21" s="65" t="s">
        <v>227</v>
      </c>
      <c r="D21" s="65"/>
      <c r="E21" s="65"/>
      <c r="F21" s="65"/>
      <c r="G21" s="70">
        <v>45</v>
      </c>
      <c r="H21" s="35">
        <f>SUMIFS(tblVerifyLog[Short (units)],tblVerifyLog[View date],"&gt;0")</f>
        <v>45</v>
      </c>
      <c r="I21" s="68">
        <f>IF(AND(ISNUMBER($G$21),ISNUMBER($H$21)),ABS($H$21-$G$21),"")</f>
        <v>0</v>
      </c>
      <c r="J21" s="69">
        <v>1E-09</v>
      </c>
      <c r="K21" s="37" t="str">
        <f>IF(AND(ISNUMBER($G$21),ISNUMBER($H$21)),IF(ABS($H$21-$G$21)&lt;=$J$21,"PASS","FAIL"),"FAIL")</f>
        <v>PASS</v>
      </c>
    </row>
    <row r="22" spans="2:12" ht="16.2" customHeight="1">
      <c r="B22" s="55">
        <v>12</v>
      </c>
      <c r="C22" s="65" t="s">
        <v>228</v>
      </c>
      <c r="D22" s="65"/>
      <c r="E22" s="65"/>
      <c r="F22" s="65"/>
      <c r="G22" s="70">
        <v>20</v>
      </c>
      <c r="H22" s="35">
        <f>SUMIFS(tblVerifyLog[Over plan (units)],tblVerifyLog[View date],"&gt;0")</f>
        <v>20</v>
      </c>
      <c r="I22" s="68">
        <f>IF(AND(ISNUMBER($G$22),ISNUMBER($H$22)),ABS($H$22-$G$22),"")</f>
        <v>0</v>
      </c>
      <c r="J22" s="69">
        <v>1E-09</v>
      </c>
      <c r="K22" s="37" t="str">
        <f>IF(AND(ISNUMBER($G$22),ISNUMBER($H$22)),IF(ABS($H$22-$G$22)&lt;=$J$22,"PASS","FAIL"),"FAIL")</f>
        <v>PASS</v>
      </c>
    </row>
    <row r="24" spans="2:12" ht="21" customHeight="1">
      <c r="B24" s="8" t="s">
        <v>229</v>
      </c>
      <c r="C24" s="8"/>
      <c r="D24" s="8"/>
      <c r="E24" s="8"/>
      <c r="F24" s="8"/>
      <c r="G24" s="8"/>
      <c r="H24" s="8"/>
      <c r="I24" s="8"/>
      <c r="J24" s="8"/>
      <c r="K24" s="8"/>
      <c r="L24" s="8"/>
    </row>
    <row r="25" spans="2:12" ht="5" customHeight="1"/>
    <row r="26" spans="2:12">
      <c r="B26" s="21" t="s">
        <v>230</v>
      </c>
      <c r="C26" s="21"/>
      <c r="D26" s="21"/>
      <c r="E26" s="21"/>
      <c r="F26" s="21"/>
      <c r="G26" s="21"/>
      <c r="H26" s="21"/>
      <c r="I26" s="21"/>
      <c r="J26" s="21"/>
      <c r="K26" s="21"/>
      <c r="L26" s="21"/>
    </row>
    <row r="27" spans="2:12">
      <c r="B27" s="30" t="s">
        <v>231</v>
      </c>
      <c r="C27" s="30"/>
      <c r="D27" s="30"/>
      <c r="E27" s="30"/>
      <c r="F27" s="30"/>
    </row>
    <row r="28" spans="2:12">
      <c r="B28" s="27" t="s">
        <v>232</v>
      </c>
      <c r="C28" s="27"/>
      <c r="D28" s="27"/>
      <c r="E28" s="70">
        <v>0</v>
      </c>
      <c r="F28" s="7"/>
    </row>
    <row r="29" spans="2:12">
      <c r="B29" s="27" t="s">
        <v>233</v>
      </c>
      <c r="C29" s="27"/>
      <c r="D29" s="27"/>
      <c r="E29" s="70">
        <v>2958465</v>
      </c>
      <c r="F29" s="7"/>
    </row>
    <row r="30" spans="2:12">
      <c r="B30" s="27" t="s">
        <v>234</v>
      </c>
      <c r="C30" s="27"/>
      <c r="D30" s="27"/>
      <c r="E30" s="64" t="s">
        <v>118</v>
      </c>
      <c r="F30" s="64"/>
    </row>
    <row r="31" spans="2:12">
      <c r="B31" s="27" t="s">
        <v>68</v>
      </c>
      <c r="C31" s="27"/>
      <c r="D31" s="27"/>
      <c r="E31" s="52">
        <v>0.95</v>
      </c>
      <c r="F31" s="7"/>
    </row>
    <row r="33" spans="2:16">
      <c r="B33" s="30" t="s">
        <v>235</v>
      </c>
      <c r="C33" s="30"/>
      <c r="D33" s="30"/>
      <c r="E33" s="30"/>
      <c r="F33" s="30"/>
      <c r="G33" s="30"/>
      <c r="H33" s="30"/>
      <c r="I33" s="30"/>
      <c r="J33" s="30"/>
      <c r="K33" s="30"/>
      <c r="L33" s="30"/>
    </row>
    <row r="34" spans="2:16" ht="20" customHeight="1">
      <c r="B34" s="31" t="s">
        <v>62</v>
      </c>
      <c r="C34" s="31" t="s">
        <v>60</v>
      </c>
    </row>
    <row r="35" spans="2:16">
      <c r="B35" s="64" t="s">
        <v>236</v>
      </c>
      <c r="C35" s="64" t="s">
        <v>237</v>
      </c>
    </row>
    <row r="36" spans="2:16">
      <c r="B36" s="64" t="s">
        <v>238</v>
      </c>
      <c r="C36" s="64" t="s">
        <v>237</v>
      </c>
    </row>
    <row r="37" spans="2:16">
      <c r="B37" s="64" t="s">
        <v>239</v>
      </c>
      <c r="C37" s="64" t="s">
        <v>240</v>
      </c>
    </row>
    <row r="39" spans="2:16">
      <c r="B39" s="30" t="s">
        <v>241</v>
      </c>
      <c r="C39" s="30"/>
      <c r="D39" s="30"/>
      <c r="E39" s="30"/>
      <c r="F39" s="30"/>
      <c r="G39" s="30"/>
      <c r="H39" s="30"/>
      <c r="I39" s="30"/>
      <c r="J39" s="30"/>
      <c r="K39" s="30"/>
      <c r="L39" s="30"/>
    </row>
    <row r="40" spans="2:16" ht="32" customHeight="1">
      <c r="B40" s="31" t="s">
        <v>105</v>
      </c>
      <c r="C40" s="31" t="s">
        <v>60</v>
      </c>
      <c r="D40" s="31" t="s">
        <v>62</v>
      </c>
      <c r="E40" s="31" t="s">
        <v>106</v>
      </c>
      <c r="F40" s="31" t="s">
        <v>107</v>
      </c>
      <c r="G40" s="31" t="s">
        <v>108</v>
      </c>
      <c r="H40" s="31" t="s">
        <v>109</v>
      </c>
      <c r="I40" s="31" t="s">
        <v>110</v>
      </c>
      <c r="J40" s="31" t="s">
        <v>111</v>
      </c>
      <c r="K40" s="31" t="s">
        <v>112</v>
      </c>
      <c r="L40" s="31" t="s">
        <v>113</v>
      </c>
      <c r="M40" s="31" t="s">
        <v>114</v>
      </c>
      <c r="N40" s="31" t="s">
        <v>115</v>
      </c>
      <c r="O40" s="31" t="s">
        <v>116</v>
      </c>
      <c r="P40" s="31" t="s">
        <v>32</v>
      </c>
    </row>
    <row r="41" spans="2:16">
      <c r="B41" s="71">
        <v>46027</v>
      </c>
      <c r="C41" s="64" t="s">
        <v>237</v>
      </c>
      <c r="D41" s="64" t="s">
        <v>236</v>
      </c>
      <c r="E41" s="70">
        <v>200</v>
      </c>
      <c r="F41" s="70">
        <v>185</v>
      </c>
      <c r="G41" s="64" t="s">
        <v>242</v>
      </c>
      <c r="H41" s="35">
        <f>IF(tblVerifyLog[[#This Row],[Date]]="","",IF(tblVerifyLog[[#This Row],[Planned (units)]]="","",MIN(tblVerifyLog[[#This Row],[Actual (units)]],tblVerifyLog[[#This Row],[Planned (units)]])))</f>
        <v>185</v>
      </c>
      <c r="I41" s="35">
        <f>IF(tblVerifyLog[[#This Row],[Date]]="","",IF(tblVerifyLog[[#This Row],[Planned (units)]]="","",MAX(0,tblVerifyLog[[#This Row],[Planned (units)]]-tblVerifyLog[[#This Row],[Actual (units)]])))</f>
        <v>15</v>
      </c>
      <c r="J41" s="35">
        <f>IF(tblVerifyLog[[#This Row],[Date]]="","",IF(tblVerifyLog[[#This Row],[Planned (units)]]="","",MAX(0,tblVerifyLog[[#This Row],[Actual (units)]]-tblVerifyLog[[#This Row],[Planned (units)]])))</f>
        <v>0</v>
      </c>
      <c r="K41" s="36">
        <f>IF(tblVerifyLog[[#This Row],[Date]]="","",IF(N(tblVerifyLog[[#This Row],[Planned (units)]])&gt;0,tblVerifyLog[[#This Row],[Credited (units)]]/tblVerifyLog[[#This Row],[Planned (units)]],""))</f>
        <v>0.925</v>
      </c>
      <c r="L41" s="35">
        <f>IF(tblVerifyLog[[#This Row],[Date]]="","",IF(N(tblVerifyLog[[#This Row],[Planned (units)]])&gt;0,IF(tblVerifyLog[[#This Row],[Actual (units)]]&gt;=tblVerifyLog[[#This Row],[Planned (units)]],1,0),""))</f>
        <v>0</v>
      </c>
      <c r="M41" s="37" t="str">
        <f>IF(NOT(ISNUMBER(tblVerifyLog[[#This Row],[Attainment]])),"",IF(tblVerifyLog[[#This Row],[Attainment]]&gt;=$E$31,"On target",IF(tblVerifyLog[[#This Row],[Attainment]]&gt;=$E$31*(1-0.05),"Near target","Below target")))</f>
        <v>Near target</v>
      </c>
      <c r="N41" s="38">
        <f>IF(tblVerifyLog[[#This Row],[Date]]="","",IF(AND(tblVerifyLog[[#This Row],[Date]]&gt;=$E$28,tblVerifyLog[[#This Row],[Date]]&lt;=$E$29,OR($E$30="",tblVerifyLog[[#This Row],[Line]]=$E$30)),tblVerifyLog[[#This Row],[Date]],""))</f>
        <v>46027</v>
      </c>
      <c r="O41" s="39" t="str">
        <f>IF(tblVerifyLog[[#This Row],[Date]]="","",IF(tblVerifyLog[[#This Row],[Line]]="","Missing line",IF(tblVerifyLog[[#This Row],[Item]]="","Missing item",IF(tblVerifyLog[[#This Row],[Planned (units)]]="","Missing planned",IF(tblVerifyLog[[#This Row],[Actual (units)]]="","Missing actual",IF(ISNA(MATCH(tblVerifyLog[[#This Row],[Item]],tblVerifyItems[Item],0)),"Item not on Setup list",IF(AND(N(tblVerifyLog[[#This Row],[Short (units)]])&gt;0,tblVerifyLog[[#This Row],[Miss reason]]=""),"Give the miss reason",IF(COUNTIFS(tblVerifyLog[Date],tblVerifyLog[[#This Row],[Date]],tblVerifyLog[Line],tblVerifyLog[[#This Row],[Line]],tblVerifyLog[Item],tblVerifyLog[[#This Row],[Item]])&gt;1,"Duplicate line, day and item",IF(tblVerifyLog[[#This Row],[Actual (units)]]&gt;tblVerifyLog[[#This Row],[Planned (units)]]*1.5,"Far above plan: check the plan or count","OK")))))))))</f>
        <v>OK</v>
      </c>
      <c r="P41" s="64" t="s">
        <v>118</v>
      </c>
    </row>
    <row r="42" spans="2:16">
      <c r="B42" s="71">
        <v>46028</v>
      </c>
      <c r="C42" s="64" t="s">
        <v>237</v>
      </c>
      <c r="D42" s="64" t="s">
        <v>236</v>
      </c>
      <c r="E42" s="70">
        <v>100</v>
      </c>
      <c r="F42" s="70">
        <v>120</v>
      </c>
      <c r="G42" s="64"/>
      <c r="H42" s="35">
        <f>IF(tblVerifyLog[[#This Row],[Date]]="","",IF(tblVerifyLog[[#This Row],[Planned (units)]]="","",MIN(tblVerifyLog[[#This Row],[Actual (units)]],tblVerifyLog[[#This Row],[Planned (units)]])))</f>
        <v>100</v>
      </c>
      <c r="I42" s="35">
        <f>IF(tblVerifyLog[[#This Row],[Date]]="","",IF(tblVerifyLog[[#This Row],[Planned (units)]]="","",MAX(0,tblVerifyLog[[#This Row],[Planned (units)]]-tblVerifyLog[[#This Row],[Actual (units)]])))</f>
        <v>0</v>
      </c>
      <c r="J42" s="35">
        <f>IF(tblVerifyLog[[#This Row],[Date]]="","",IF(tblVerifyLog[[#This Row],[Planned (units)]]="","",MAX(0,tblVerifyLog[[#This Row],[Actual (units)]]-tblVerifyLog[[#This Row],[Planned (units)]])))</f>
        <v>20</v>
      </c>
      <c r="K42" s="36">
        <f>IF(tblVerifyLog[[#This Row],[Date]]="","",IF(N(tblVerifyLog[[#This Row],[Planned (units)]])&gt;0,tblVerifyLog[[#This Row],[Credited (units)]]/tblVerifyLog[[#This Row],[Planned (units)]],""))</f>
        <v>1</v>
      </c>
      <c r="L42" s="35">
        <f>IF(tblVerifyLog[[#This Row],[Date]]="","",IF(N(tblVerifyLog[[#This Row],[Planned (units)]])&gt;0,IF(tblVerifyLog[[#This Row],[Actual (units)]]&gt;=tblVerifyLog[[#This Row],[Planned (units)]],1,0),""))</f>
        <v>1</v>
      </c>
      <c r="M42" s="37" t="str">
        <f>IF(NOT(ISNUMBER(tblVerifyLog[[#This Row],[Attainment]])),"",IF(tblVerifyLog[[#This Row],[Attainment]]&gt;=$E$31,"On target",IF(tblVerifyLog[[#This Row],[Attainment]]&gt;=$E$31*(1-0.05),"Near target","Below target")))</f>
        <v>On target</v>
      </c>
      <c r="N42" s="38">
        <f>IF(tblVerifyLog[[#This Row],[Date]]="","",IF(AND(tblVerifyLog[[#This Row],[Date]]&gt;=$E$28,tblVerifyLog[[#This Row],[Date]]&lt;=$E$29,OR($E$30="",tblVerifyLog[[#This Row],[Line]]=$E$30)),tblVerifyLog[[#This Row],[Date]],""))</f>
        <v>46028</v>
      </c>
      <c r="O42" s="39" t="str">
        <f>IF(tblVerifyLog[[#This Row],[Date]]="","",IF(tblVerifyLog[[#This Row],[Line]]="","Missing line",IF(tblVerifyLog[[#This Row],[Item]]="","Missing item",IF(tblVerifyLog[[#This Row],[Planned (units)]]="","Missing planned",IF(tblVerifyLog[[#This Row],[Actual (units)]]="","Missing actual",IF(ISNA(MATCH(tblVerifyLog[[#This Row],[Item]],tblVerifyItems[Item],0)),"Item not on Setup list",IF(AND(N(tblVerifyLog[[#This Row],[Short (units)]])&gt;0,tblVerifyLog[[#This Row],[Miss reason]]=""),"Give the miss reason",IF(COUNTIFS(tblVerifyLog[Date],tblVerifyLog[[#This Row],[Date]],tblVerifyLog[Line],tblVerifyLog[[#This Row],[Line]],tblVerifyLog[Item],tblVerifyLog[[#This Row],[Item]])&gt;1,"Duplicate line, day and item",IF(tblVerifyLog[[#This Row],[Actual (units)]]&gt;tblVerifyLog[[#This Row],[Planned (units)]]*1.5,"Far above plan: check the plan or count","OK")))))))))</f>
        <v>OK</v>
      </c>
      <c r="P42" s="64" t="s">
        <v>118</v>
      </c>
    </row>
    <row r="43" spans="2:16">
      <c r="B43" s="71">
        <v>46028</v>
      </c>
      <c r="C43" s="64" t="s">
        <v>237</v>
      </c>
      <c r="D43" s="64" t="s">
        <v>238</v>
      </c>
      <c r="E43" s="70">
        <v>100</v>
      </c>
      <c r="F43" s="70">
        <v>70</v>
      </c>
      <c r="G43" s="64"/>
      <c r="H43" s="35">
        <f>IF(tblVerifyLog[[#This Row],[Date]]="","",IF(tblVerifyLog[[#This Row],[Planned (units)]]="","",MIN(tblVerifyLog[[#This Row],[Actual (units)]],tblVerifyLog[[#This Row],[Planned (units)]])))</f>
        <v>70</v>
      </c>
      <c r="I43" s="35">
        <f>IF(tblVerifyLog[[#This Row],[Date]]="","",IF(tblVerifyLog[[#This Row],[Planned (units)]]="","",MAX(0,tblVerifyLog[[#This Row],[Planned (units)]]-tblVerifyLog[[#This Row],[Actual (units)]])))</f>
        <v>30</v>
      </c>
      <c r="J43" s="35">
        <f>IF(tblVerifyLog[[#This Row],[Date]]="","",IF(tblVerifyLog[[#This Row],[Planned (units)]]="","",MAX(0,tblVerifyLog[[#This Row],[Actual (units)]]-tblVerifyLog[[#This Row],[Planned (units)]])))</f>
        <v>0</v>
      </c>
      <c r="K43" s="36">
        <f>IF(tblVerifyLog[[#This Row],[Date]]="","",IF(N(tblVerifyLog[[#This Row],[Planned (units)]])&gt;0,tblVerifyLog[[#This Row],[Credited (units)]]/tblVerifyLog[[#This Row],[Planned (units)]],""))</f>
        <v>0.7</v>
      </c>
      <c r="L43" s="35">
        <f>IF(tblVerifyLog[[#This Row],[Date]]="","",IF(N(tblVerifyLog[[#This Row],[Planned (units)]])&gt;0,IF(tblVerifyLog[[#This Row],[Actual (units)]]&gt;=tblVerifyLog[[#This Row],[Planned (units)]],1,0),""))</f>
        <v>0</v>
      </c>
      <c r="M43" s="37" t="str">
        <f>IF(NOT(ISNUMBER(tblVerifyLog[[#This Row],[Attainment]])),"",IF(tblVerifyLog[[#This Row],[Attainment]]&gt;=$E$31,"On target",IF(tblVerifyLog[[#This Row],[Attainment]]&gt;=$E$31*(1-0.05),"Near target","Below target")))</f>
        <v>Below target</v>
      </c>
      <c r="N43" s="38">
        <f>IF(tblVerifyLog[[#This Row],[Date]]="","",IF(AND(tblVerifyLog[[#This Row],[Date]]&gt;=$E$28,tblVerifyLog[[#This Row],[Date]]&lt;=$E$29,OR($E$30="",tblVerifyLog[[#This Row],[Line]]=$E$30)),tblVerifyLog[[#This Row],[Date]],""))</f>
        <v>46028</v>
      </c>
      <c r="O43" s="39" t="str">
        <f>IF(tblVerifyLog[[#This Row],[Date]]="","",IF(tblVerifyLog[[#This Row],[Line]]="","Missing line",IF(tblVerifyLog[[#This Row],[Item]]="","Missing item",IF(tblVerifyLog[[#This Row],[Planned (units)]]="","Missing planned",IF(tblVerifyLog[[#This Row],[Actual (units)]]="","Missing actual",IF(ISNA(MATCH(tblVerifyLog[[#This Row],[Item]],tblVerifyItems[Item],0)),"Item not on Setup list",IF(AND(N(tblVerifyLog[[#This Row],[Short (units)]])&gt;0,tblVerifyLog[[#This Row],[Miss reason]]=""),"Give the miss reason",IF(COUNTIFS(tblVerifyLog[Date],tblVerifyLog[[#This Row],[Date]],tblVerifyLog[Line],tblVerifyLog[[#This Row],[Line]],tblVerifyLog[Item],tblVerifyLog[[#This Row],[Item]])&gt;1,"Duplicate line, day and item",IF(tblVerifyLog[[#This Row],[Actual (units)]]&gt;tblVerifyLog[[#This Row],[Planned (units)]]*1.5,"Far above plan: check the plan or count","OK")))))))))</f>
        <v>Give the miss reason</v>
      </c>
      <c r="P43" s="64" t="s">
        <v>118</v>
      </c>
    </row>
    <row r="44" spans="2:16">
      <c r="B44" s="71">
        <v>46028</v>
      </c>
      <c r="C44" s="64" t="s">
        <v>240</v>
      </c>
      <c r="D44" s="64" t="s">
        <v>239</v>
      </c>
      <c r="E44" s="70">
        <v>50</v>
      </c>
      <c r="F44" s="70">
        <v>50</v>
      </c>
      <c r="G44" s="64"/>
      <c r="H44" s="35">
        <f>IF(tblVerifyLog[[#This Row],[Date]]="","",IF(tblVerifyLog[[#This Row],[Planned (units)]]="","",MIN(tblVerifyLog[[#This Row],[Actual (units)]],tblVerifyLog[[#This Row],[Planned (units)]])))</f>
        <v>50</v>
      </c>
      <c r="I44" s="35">
        <f>IF(tblVerifyLog[[#This Row],[Date]]="","",IF(tblVerifyLog[[#This Row],[Planned (units)]]="","",MAX(0,tblVerifyLog[[#This Row],[Planned (units)]]-tblVerifyLog[[#This Row],[Actual (units)]])))</f>
        <v>0</v>
      </c>
      <c r="J44" s="35">
        <f>IF(tblVerifyLog[[#This Row],[Date]]="","",IF(tblVerifyLog[[#This Row],[Planned (units)]]="","",MAX(0,tblVerifyLog[[#This Row],[Actual (units)]]-tblVerifyLog[[#This Row],[Planned (units)]])))</f>
        <v>0</v>
      </c>
      <c r="K44" s="36">
        <f>IF(tblVerifyLog[[#This Row],[Date]]="","",IF(N(tblVerifyLog[[#This Row],[Planned (units)]])&gt;0,tblVerifyLog[[#This Row],[Credited (units)]]/tblVerifyLog[[#This Row],[Planned (units)]],""))</f>
        <v>1</v>
      </c>
      <c r="L44" s="35">
        <f>IF(tblVerifyLog[[#This Row],[Date]]="","",IF(N(tblVerifyLog[[#This Row],[Planned (units)]])&gt;0,IF(tblVerifyLog[[#This Row],[Actual (units)]]&gt;=tblVerifyLog[[#This Row],[Planned (units)]],1,0),""))</f>
        <v>1</v>
      </c>
      <c r="M44" s="37" t="str">
        <f>IF(NOT(ISNUMBER(tblVerifyLog[[#This Row],[Attainment]])),"",IF(tblVerifyLog[[#This Row],[Attainment]]&gt;=$E$31,"On target",IF(tblVerifyLog[[#This Row],[Attainment]]&gt;=$E$31*(1-0.05),"Near target","Below target")))</f>
        <v>On target</v>
      </c>
      <c r="N44" s="38">
        <f>IF(tblVerifyLog[[#This Row],[Date]]="","",IF(AND(tblVerifyLog[[#This Row],[Date]]&gt;=$E$28,tblVerifyLog[[#This Row],[Date]]&lt;=$E$29,OR($E$30="",tblVerifyLog[[#This Row],[Line]]=$E$30)),tblVerifyLog[[#This Row],[Date]],""))</f>
        <v>46028</v>
      </c>
      <c r="O44" s="39" t="str">
        <f>IF(tblVerifyLog[[#This Row],[Date]]="","",IF(tblVerifyLog[[#This Row],[Line]]="","Missing line",IF(tblVerifyLog[[#This Row],[Item]]="","Missing item",IF(tblVerifyLog[[#This Row],[Planned (units)]]="","Missing planned",IF(tblVerifyLog[[#This Row],[Actual (units)]]="","Missing actual",IF(ISNA(MATCH(tblVerifyLog[[#This Row],[Item]],tblVerifyItems[Item],0)),"Item not on Setup list",IF(AND(N(tblVerifyLog[[#This Row],[Short (units)]])&gt;0,tblVerifyLog[[#This Row],[Miss reason]]=""),"Give the miss reason",IF(COUNTIFS(tblVerifyLog[Date],tblVerifyLog[[#This Row],[Date]],tblVerifyLog[Line],tblVerifyLog[[#This Row],[Line]],tblVerifyLog[Item],tblVerifyLog[[#This Row],[Item]])&gt;1,"Duplicate line, day and item",IF(tblVerifyLog[[#This Row],[Actual (units)]]&gt;tblVerifyLog[[#This Row],[Planned (units)]]*1.5,"Far above plan: check the plan or count","OK")))))))))</f>
        <v>OK</v>
      </c>
      <c r="P44" s="64" t="s">
        <v>118</v>
      </c>
    </row>
  </sheetData>
  <sheetProtection sheet="1" formatColumns="0" formatRows="0"/>
  <mergeCells count="30">
    <mergeCell ref="A1:P1"/>
    <mergeCell ref="B2:O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B24:L24"/>
    <mergeCell ref="B26:L26"/>
    <mergeCell ref="B27:F27"/>
    <mergeCell ref="B28:D28"/>
    <mergeCell ref="B29:D29"/>
    <mergeCell ref="B30:D30"/>
    <mergeCell ref="E30:F30"/>
    <mergeCell ref="B31:D31"/>
    <mergeCell ref="B33:L33"/>
    <mergeCell ref="B39:L3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41:O44">
    <cfRule type="expression" dxfId="3" priority="41">
      <formula>$O41="OK"</formula>
    </cfRule>
    <cfRule type="expression" dxfId="1" priority="42">
      <formula>AND($O41&lt;&gt;"",$O41&lt;&gt;"OK")</formula>
    </cfRule>
  </conditionalFormatting>
  <hyperlinks>
    <hyperlink ref="P2" r:id="rId1" tooltip="Free manufacturing calculators and templates"/>
  </hyperlinks>
  <printOptions horizontalCentered="1"/>
  <pageMargins left="0.4" right="0.4" top="0.7" bottom="0.65" header="0.3" footer="0.3"/>
  <pageSetup fitToHeight="0" orientation="landscape"/>
  <headerFooter>
    <oddHeader>&amp;L&amp;8MFG Calcs - Schedule Attainment Tracker&amp;R&amp;8&amp;A</oddHeader>
    <oddFooter>&amp;L&amp;8mfgcalcs.com - free manufacturing templates&amp;R&amp;8Page &amp;P of &amp;N</oddFooter>
  </headerFooter>
  <rowBreaks count="1" manualBreakCount="1">
    <brk id="38"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Start Here</vt:lpstr>
      <vt:lpstr>Setup</vt:lpstr>
      <vt:lpstr>Schedule Log</vt:lpstr>
      <vt:lpstr>Dashboard</vt:lpstr>
      <vt:lpstr>Method</vt:lpstr>
      <vt:lpstr>Verify</vt:lpstr>
      <vt:lpstr>DashFrom</vt:lpstr>
      <vt:lpstr>DashLine</vt:lpstr>
      <vt:lpstr>DashTo</vt:lpstr>
      <vt:lpstr>KpiAttain</vt:lpstr>
      <vt:lpstr>KpiHits</vt:lpstr>
      <vt:lpstr>KpiLines</vt:lpstr>
      <vt:lpstr>KpiOver</vt:lpstr>
      <vt:lpstr>KpiShort</vt:lpstr>
      <vt:lpstr>KpiTop</vt:lpstr>
      <vt:lpstr>KpiVolume</vt:lpstr>
      <vt:lpstr>KpiWeak</vt:lpstr>
      <vt:lpstr>PlantName</vt:lpstr>
      <vt:lpstr>Dashboard!Print_Area</vt:lpstr>
      <vt:lpstr>Method!Print_Area</vt:lpstr>
      <vt:lpstr>'Schedule Log'!Print_Area</vt:lpstr>
      <vt:lpstr>Setup!Print_Area</vt:lpstr>
      <vt:lpstr>'Start Here'!Print_Area</vt:lpstr>
      <vt:lpstr>Verify!Print_Area</vt:lpstr>
      <vt:lpstr>Method!Print_Titles</vt:lpstr>
      <vt:lpstr>'Schedule Log'!Print_Titles</vt:lpstr>
      <vt:lpstr>SelfCheck</vt:lpstr>
      <vt:lpstr>SelfCheckSummary</vt:lpstr>
      <vt:lpstr>TargetAttain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Schedule Attainment Tracker - free Excel template from MFG Calcs</dc:title>
  <dc:subject>Log what each line was scheduled to build and what it built, item by item, and see schedule attainment with each item capped at its plan, the misses and their reasons, by day, line and item.</dc:subject>
  <dc:creator>MFG Calcs</dc:creator>
  <cp:keywords>schedule attainment, plan attainment, schedule adherence, production schedule, plan vs actual, daily production meeting, lean</cp:keywords>
  <dc:description>https://www.mfgcalcs.com/templates/schedule-attainment-tracker - version 1.0.0, updated 2026-10-24. Free from MFG Calcs - keep this credit when you share it.</dc:description>
  <cp:lastModifiedBy>MFG Calcs</cp:lastModifiedBy>
  <dcterms:created xsi:type="dcterms:W3CDTF">2026-10-24T12:00:00Z</dcterms:created>
  <dcterms:modified xsi:type="dcterms:W3CDTF">2026-10-24T12:00:00Z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schedule-attainment-tracker</vt:lpwstr>
  </property>
  <property fmtid="{D5CDD505-2E9C-101B-9397-08002B2CF9AE}" pid="3" name="Template version">
    <vt:lpwstr>1.0.0</vt:lpwstr>
  </property>
  <property fmtid="{D5CDD505-2E9C-101B-9397-08002B2CF9AE}" pid="4" name="Template updated">
    <vt:lpwstr>2026-10-24</vt:lpwstr>
  </property>
  <property fmtid="{D5CDD505-2E9C-101B-9397-08002B2CF9AE}" pid="5" name="Template layout">
    <vt:lpwstr>log</vt:lpwstr>
  </property>
  <property fmtid="{D5CDD505-2E9C-101B-9397-08002B2CF9AE}" pid="6" name="Template URL">
    <vt:lpwstr>https://www.mfgcalcs.com/templates/schedule-attainment-tracker</vt:lpwstr>
  </property>
  <property fmtid="{D5CDD505-2E9C-101B-9397-08002B2CF9AE}" pid="7" name="Template sheet roles">
    <vt:lpwstr>Start Here=start;Setup=setup;Schedule Log=work;Dashboard=dashboard;Method=method;Verify=verify</vt:lpwstr>
  </property>
</Properties>
</file>