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Scrap Log" sheetId="3" r:id="rId3"/>
    <sheet name="Production Log" sheetId="4" r:id="rId4"/>
    <sheet name="Dashboard" sheetId="5" r:id="rId5"/>
    <sheet name="Method" sheetId="6" r:id="rId6"/>
    <sheet name="Verify" sheetId="7" r:id="rId7"/>
  </sheets>
  <definedNames>
    <definedName name="Currency">Setup!$D$7</definedName>
    <definedName name="DashFrom">Dashboard!$G$4</definedName>
    <definedName name="DashPart">Dashboard!$C$4</definedName>
    <definedName name="DashTo">Dashboard!$K$4</definedName>
    <definedName name="DisposalKg">Setup!$D$11</definedName>
    <definedName name="FFrom">IF(DashFrom="",0,DashFrom)</definedName>
    <definedName name="FTo">IF(DashTo="",2958465,DashTo)</definedName>
    <definedName name="KpiKg">Dashboard!$D$30</definedName>
    <definedName name="KpiNet">Dashboard!$B$8</definedName>
    <definedName name="KpiPerGood">Dashboard!$J$30</definedName>
    <definedName name="KpiRate">Dashboard!$D$8</definedName>
    <definedName name="KpiRecovery">Dashboard!$G$30</definedName>
    <definedName name="KpiShare">Dashboard!$G$8</definedName>
    <definedName name="KpiTop">Dashboard!$J$8</definedName>
    <definedName name="KpiUnits">Dashboard!$B$30</definedName>
    <definedName name="Operations">tblOperations[Operation]</definedName>
    <definedName name="Parts">tblParts[Part]</definedName>
    <definedName name="PlantName">Setup!$D$6</definedName>
    <definedName name="_xlnm.Print_Area" localSheetId="4">Dashboard!$A$1:$L$92</definedName>
    <definedName name="_xlnm.Print_Area" localSheetId="5">Method!$A$1:$D$58</definedName>
    <definedName name="_xlnm.Print_Area" localSheetId="3">'Production Log'!$A$1:$O$126</definedName>
    <definedName name="_xlnm.Print_Area" localSheetId="2">'Scrap Log'!$A$1:$R$146</definedName>
    <definedName name="_xlnm.Print_Area" localSheetId="1">Setup!$A$1:$F$67</definedName>
    <definedName name="_xlnm.Print_Area" localSheetId="0">'Start Here'!$A$1:$F$57</definedName>
    <definedName name="_xlnm.Print_Area" localSheetId="6">Verify!$A$1:$R$64</definedName>
    <definedName name="_xlnm.Print_Titles" localSheetId="5">Method!$1:$2</definedName>
    <definedName name="_xlnm.Print_Titles" localSheetId="3">'Production Log'!$1:$6</definedName>
    <definedName name="_xlnm.Print_Titles" localSheetId="2">'Scrap Log'!$1:$6</definedName>
    <definedName name="Reasons">tblReasons[Reason]</definedName>
    <definedName name="RecoveryKg">Setup!$D$10</definedName>
    <definedName name="SelfCheck">Verify!$D$4</definedName>
    <definedName name="SelfCheckSummary">Verify!$F$4</definedName>
    <definedName name="TargetRate">Setup!$D$8</definedName>
    <definedName name="TargetShare">Setup!$D$9</definedName>
  </definedNames>
  <calcPr calcId="124519" fullCalcOnLoad="1"/>
</workbook>
</file>

<file path=xl/sharedStrings.xml><?xml version="1.0" encoding="utf-8"?>
<sst xmlns="http://schemas.openxmlformats.org/spreadsheetml/2006/main" count="1362" uniqueCount="283">
  <si>
    <t>Scrap Cost Tracker</t>
  </si>
  <si>
    <t>Read this first: what the workbook does and how to use it.</t>
  </si>
  <si>
    <t>mfgcalcs.com</t>
  </si>
  <si>
    <t>Log scrap, cost each part at what had been spent on it so far, and see scrap cost, scrap rate and the costliest reasons.</t>
  </si>
  <si>
    <t>For: Quality engineers, production supervisors, cost accountants and plant managers.</t>
  </si>
  <si>
    <t>Version 1.0.0  ·  updated 15 October 2026</t>
  </si>
  <si>
    <t>Quick start</t>
  </si>
  <si>
    <t>1.</t>
  </si>
  <si>
    <t>On Setup, type your plant name, currency and targets, then replace the example parts, operations, scrap reasons and the conversion cost each part has absorbed by each operation.</t>
  </si>
  <si>
    <t>2.</t>
  </si>
  <si>
    <t>On Scrap Log, add one row per scrap entry: date, part, the operation where it was scrapped, the reason and the quantity. The cost is calculated for you.</t>
  </si>
  <si>
    <t>3.</t>
  </si>
  <si>
    <t>On Production Log, add one row per part per production day with the units produced, so scrap rate and scrap cost share have a base.</t>
  </si>
  <si>
    <t>4.</t>
  </si>
  <si>
    <t>Read the Check columns: anything other than OK names the problem in words.</t>
  </si>
  <si>
    <t>5.</t>
  </si>
  <si>
    <t>Open the Dashboard. Use the part and date filters at the top to review one part or one week.</t>
  </si>
  <si>
    <t>What is in this workbook</t>
  </si>
  <si>
    <t>Start Here</t>
  </si>
  <si>
    <t>Setup</t>
  </si>
  <si>
    <t>Your plant, currency, targets, scrap values per kg, and the parts, operations, costs and reasons lists.</t>
  </si>
  <si>
    <t>Scrap Log</t>
  </si>
  <si>
    <t>One row per scrap entry: part, the operation where it was scrapped, reason and quantity. Cost is calculated.</t>
  </si>
  <si>
    <t>Production Log</t>
  </si>
  <si>
    <t>One row per part per production day: units produced. Scrap and its cost come from the Scrap Log.</t>
  </si>
  <si>
    <t>Dashboard</t>
  </si>
  <si>
    <t>Scrap cost, scrap rate and where the money goes, for the part and dates you choose.</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</si>
  <si>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</si>
  <si>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</si>
  <si>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</si>
  <si>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</si>
  <si>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</si>
  <si>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</si>
  <si>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</si>
  <si>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</si>
  <si>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</si>
  <si>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</si>
  <si>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</si>
  <si>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</si>
  <si>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</si>
  <si>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</si>
  <si>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</si>
  <si>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</si>
  <si>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</si>
  <si>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</si>
  <si>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</si>
  <si>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</si>
  <si>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Scrap Cost Calculator on mfgcalcs.com</t>
  </si>
  <si>
    <t>Latest version</t>
  </si>
  <si>
    <t>mfgcalcs.com/templates/scrap-cost-tracker</t>
  </si>
  <si>
    <t>More free templates</t>
  </si>
  <si>
    <t>mfgcalcs.com/templates</t>
  </si>
  <si>
    <t>Version</t>
  </si>
  <si>
    <t>1.0.0 (updated 15 October 2026)</t>
  </si>
  <si>
    <t>About the example data</t>
  </si>
  <si>
    <t>Every number already in this workbook is example data for Kestrel Castings, a fictional business invented for this template, so the dashboard and charts show something meaningful on day one. It covers four die-cast aluminium parts over six weeks of production (24 August to 2 October 2026), generated from a fixed seed; all costs are invented for the example.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</si>
  <si>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</si>
  <si>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</si>
  <si>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</si>
  <si>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</si>
  <si>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</si>
  <si>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</si>
  <si>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</si>
  <si>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</si>
  <si>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Part</t>
  </si>
  <si>
    <t>Description</t>
  </si>
  <si>
    <t>Mass</t>
  </si>
  <si>
    <t>Material</t>
  </si>
  <si>
    <t>Standard cost</t>
  </si>
  <si>
    <t>Operation</t>
  </si>
  <si>
    <t>Conversion to date</t>
  </si>
  <si>
    <t>Reason</t>
  </si>
  <si>
    <t>Definition</t>
  </si>
  <si>
    <t>Plant, targets and scrap values</t>
  </si>
  <si>
    <t>Plant or line name</t>
  </si>
  <si>
    <t>Kestrel Castings (example)</t>
  </si>
  <si>
    <t>Currency label</t>
  </si>
  <si>
    <t>USD</t>
  </si>
  <si>
    <t>Scrap rate target (at most)</t>
  </si>
  <si>
    <t>Scrap cost target (at most, share of production value)</t>
  </si>
  <si>
    <t>Recovery credit for scrap</t>
  </si>
  <si>
    <t>Disposal charge for scrap</t>
  </si>
  <si>
    <t>Targets are yours to set; nothing in this workbook assumes an industry benchmark. 'Near target' means within 5% above the limit (2.0% to 2.1% against a 2.0% scrap rate target). The per-kg values apply to every part; if your scrap streams differ a lot (aluminium and painted steel), see Method.</t>
  </si>
  <si>
    <t>Lists and costs</t>
  </si>
  <si>
    <t>Edit, add or remove rows; the dropdowns on the logs read these lists. Keep names unique, and rename with care: log rows that use an old name stop matching (their Check column says so). Costs are example values: use your own standard costs.</t>
  </si>
  <si>
    <t>Parts (example costs)</t>
  </si>
  <si>
    <t>kg/unit</t>
  </si>
  <si>
    <t>Cover GC-410</t>
  </si>
  <si>
    <t>Gearbox cover, machined</t>
  </si>
  <si>
    <t>Housing PH-220</t>
  </si>
  <si>
    <t>Pump housing, machined, leak tested</t>
  </si>
  <si>
    <t>Bracket BR-115</t>
  </si>
  <si>
    <t>Mounting bracket, drilled</t>
  </si>
  <si>
    <t>End cap EC-330</t>
  </si>
  <si>
    <t>Motor end cap, leak tested</t>
  </si>
  <si>
    <t>Operations, in process order</t>
  </si>
  <si>
    <t>10 Cast</t>
  </si>
  <si>
    <t>Die casting with X-ray sampling</t>
  </si>
  <si>
    <t>20 Trim</t>
  </si>
  <si>
    <t>Trim press, deburr, shot blast</t>
  </si>
  <si>
    <t>30 Machine</t>
  </si>
  <si>
    <t>CNC machining</t>
  </si>
  <si>
    <t>40 Leak test</t>
  </si>
  <si>
    <t>Pressure decay leak test</t>
  </si>
  <si>
    <t>50 Final inspect</t>
  </si>
  <si>
    <t>Final inspection and packing</t>
  </si>
  <si>
    <t>Conversion cost absorbed by each operation</t>
  </si>
  <si>
    <t>One row per part per operation it passes through (example costs). A part scrapped at an operation is charged its material plus this conversion cost.</t>
  </si>
  <si>
    <t>Scrap reasons</t>
  </si>
  <si>
    <t>Porosity</t>
  </si>
  <si>
    <t>Gas or shrinkage porosity found</t>
  </si>
  <si>
    <t>Cold shut</t>
  </si>
  <si>
    <t>Cold shut, misrun or short fill</t>
  </si>
  <si>
    <t>Leak</t>
  </si>
  <si>
    <t>Fails the pressure decay leak test</t>
  </si>
  <si>
    <t>Dimension out</t>
  </si>
  <si>
    <t>Machined feature out of tolerance</t>
  </si>
  <si>
    <t>Setup scrap</t>
  </si>
  <si>
    <t>First-off parts after a setup</t>
  </si>
  <si>
    <t>Tool breakage</t>
  </si>
  <si>
    <t>Damaged by a broken or worn tool</t>
  </si>
  <si>
    <t>Handling damage</t>
  </si>
  <si>
    <t>Dents, drops and scratches</t>
  </si>
  <si>
    <t>Other</t>
  </si>
  <si>
    <t>Anything else; say what in Notes</t>
  </si>
  <si>
    <t>Date</t>
  </si>
  <si>
    <t>Scrapped</t>
  </si>
  <si>
    <t>Scrap mass</t>
  </si>
  <si>
    <t>Material write-off</t>
  </si>
  <si>
    <t>Conversion write-off</t>
  </si>
  <si>
    <t>Disposal</t>
  </si>
  <si>
    <t>Recovery credit</t>
  </si>
  <si>
    <t>Net scrap cost</t>
  </si>
  <si>
    <t>View date</t>
  </si>
  <si>
    <t>Check</t>
  </si>
  <si>
    <t>Notes</t>
  </si>
  <si>
    <t>Example data for Kestrel Castings (fictional). Replace it with your own: select the example rows, right-click, Delete &gt; Table Rows. Yellow = you type; blue = calculated; Check names any problem.</t>
  </si>
  <si>
    <t>units</t>
  </si>
  <si>
    <t>kg</t>
  </si>
  <si>
    <t/>
  </si>
  <si>
    <t>Wrong label at pack-out; parts not traceable</t>
  </si>
  <si>
    <t>Leak at core boss; sectioned, porosity</t>
  </si>
  <si>
    <t>Produced</t>
  </si>
  <si>
    <t>Production value</t>
  </si>
  <si>
    <t>Scrap rate</t>
  </si>
  <si>
    <t>Rate status</t>
  </si>
  <si>
    <t>Scrap cost share</t>
  </si>
  <si>
    <t>Scrap cost per good unit</t>
  </si>
  <si>
    <t>Example data for Kestrel Castings (fictional). One row per part per day; scrapped units and their cost are summed from the Scrap Log rows with the same date and part.</t>
  </si>
  <si>
    <t>Vacuum valve repaired on die PH-220-2</t>
  </si>
  <si>
    <t>From</t>
  </si>
  <si>
    <t>To</t>
  </si>
  <si>
    <t>SCRAP RATE</t>
  </si>
  <si>
    <t>SCRAP COST / PRODUCTION VALUE</t>
  </si>
  <si>
    <t>COSTLIEST SCRAP REASON</t>
  </si>
  <si>
    <t>Material + conversion + disposal - recovery</t>
  </si>
  <si>
    <t>Ranked by net cost, see the Pareto</t>
  </si>
  <si>
    <t>UNITS SCRAPPED</t>
  </si>
  <si>
    <t>SCRAP MASS (KG)</t>
  </si>
  <si>
    <t>Scrap Log entries in view</t>
  </si>
  <si>
    <t>Scrapped x mass per unit</t>
  </si>
  <si>
    <t>Already deducted from net scrap cost</t>
  </si>
  <si>
    <t>Net scrap cost / (produced - scrapped)</t>
  </si>
  <si>
    <t>Weekly summary (last 6 weeks in view)</t>
  </si>
  <si>
    <t>Week starting (Mon)</t>
  </si>
  <si>
    <t>Share target</t>
  </si>
  <si>
    <t>%</t>
  </si>
  <si>
    <t>By part</t>
  </si>
  <si>
    <t>Rate target</t>
  </si>
  <si>
    <t>Cost per good unit</t>
  </si>
  <si>
    <t>Scrap rate status</t>
  </si>
  <si>
    <t>By operation (where in the process the parts were scrapped)</t>
  </si>
  <si>
    <t>Operation where scrapped</t>
  </si>
  <si>
    <t>Disposal less recovery</t>
  </si>
  <si>
    <t>Net cost per scrapped unit</t>
  </si>
  <si>
    <t>Share of net scrap cost</t>
  </si>
  <si>
    <t>Net scrap cost by reason (Pareto)</t>
  </si>
  <si>
    <t>Rank</t>
  </si>
  <si>
    <t>Net cost</t>
  </si>
  <si>
    <t>Share</t>
  </si>
  <si>
    <t>Cumulative</t>
  </si>
  <si>
    <t>Helper: Reason (list order)</t>
  </si>
  <si>
    <t>Helper: value (-1 = unused slot)</t>
  </si>
  <si>
    <t>Helper: rank, ties by list order</t>
  </si>
  <si>
    <t>Total</t>
  </si>
  <si>
    <t>The Dashboard shows the 4 parts, 5 operations and 8 reasons of the Setup lists. If you add more, extend the 'By part', 'By operation' and Pareto blocks (see Method) or they will not appear here.</t>
  </si>
  <si>
    <t>What this workbook calculates</t>
  </si>
  <si>
    <t>Scrap costs what had been spent on a part by the time it was thrown away. This workbook charges every scrap entry its material plus the conversion cost (labour, machine time and overhead) the part had absorbed up to the operation where it was scrapped, adds the disposal charge and deducts the recovery credit for its mass. The Production Log supplies the base: units produced for the scrap rate, and production value at standard cost for scrap cost as a share of output. Every roll-up sums units and money, so ratios are formed from sums.</t>
  </si>
  <si>
    <t>Calculations</t>
  </si>
  <si>
    <t>Quantity</t>
  </si>
  <si>
    <t>How it is calculated</t>
  </si>
  <si>
    <t>Units</t>
  </si>
  <si>
    <t>Scrapped x material cost per unit (Parts list).</t>
  </si>
  <si>
    <t>currency</t>
  </si>
  <si>
    <t>Scrapped x conversion to date: the cost the part had absorbed by the operation where it was scrapped (SUMIFS over the Setup cost table by part and operation).</t>
  </si>
  <si>
    <t>Scrapped x mass per unit.</t>
  </si>
  <si>
    <t>Disposal and recovery credit</t>
  </si>
  <si>
    <t>Scrap mass x disposal charge per kg, and scrap mass x recovery credit per kg (Setup).</t>
  </si>
  <si>
    <t>Material + conversion + disposal - recovery credit. Gross scrap cost (before recovery) = material + conversion + disposal.</t>
  </si>
  <si>
    <t>Units produced x standard cost per unit (Parts list).</t>
  </si>
  <si>
    <t>Units scrapped / units produced. Over several rows: sum of scrapped / sum of produced.</t>
  </si>
  <si>
    <t>Net scrap cost / production value, from sums.</t>
  </si>
  <si>
    <t>Net scrap cost / (units produced - units scrapped): what each good unit carries.</t>
  </si>
  <si>
    <t>currency/unit</t>
  </si>
  <si>
    <t>Dashboard roll-ups</t>
  </si>
  <si>
    <t>SUMIFS over each log restricted to rows whose View date is filled in (inside the part and date filters). Weeks start on Monday.</t>
  </si>
  <si>
    <t>-</t>
  </si>
  <si>
    <t>Pareto</t>
  </si>
  <si>
    <t>Net scrap cost per reason, largest first, with share and cumulative share; ties keep list order. Hidden helper columns AO:AQ on the Dashboard hold the unsorted values and ranks.</t>
  </si>
  <si>
    <t>currency, %</t>
  </si>
  <si>
    <t>Assumptions</t>
  </si>
  <si>
    <t>Units produced are the units that entered the first operation that day, good and scrapped, so scrap rate = scrapped / produced.</t>
  </si>
  <si>
    <t>Conversion to date is a standard cost per unit, the same every day; actual labour on the day is not traced.</t>
  </si>
  <si>
    <t>One disposal charge and one recovery credit per kg apply to all scrap. If your scrap streams differ, enter the weighted average or the main stream's values.</t>
  </si>
  <si>
    <t>A scrap entry is dated on the day the part was scrapped and matched to that day's production row for the same part.</t>
  </si>
  <si>
    <t>Limitations</t>
  </si>
  <si>
    <t>Rework is not scrap: parts reworked and shipped belong in a rework or cost of poor quality log, not here.</t>
  </si>
  <si>
    <t>Production value uses standard cost, not selling price; scrap cost share is a share of cost, not of sales.</t>
  </si>
  <si>
    <t>The Dashboard has fixed blocks for the number of parts, operations and reasons in the example lists; longer lists need the blocks extended (a warning appears on the Dashboard).</t>
  </si>
  <si>
    <t>The weekly block shows the last six weeks inside the filters.</t>
  </si>
  <si>
    <t>Agreement with the live calculator</t>
  </si>
  <si>
    <t>The live Scrap Cost calculator takes one cohort's totals: units produced and scrapped, material and conversion write-offs, disposal charges and recovery credits. It reports gross scrap cost (material + conversion + disposal), net scrap cost (gross - recovery), scrap rate (scrapped / produced) and scrap cost per remaining unit (net / (produced - scrapped)). This workbook computes the same quantities from per-entry costs: summed over any filter, its totals are the calculator's inputs. The reference implementation is checked against the calculator's engine for its default example (1,000 produced, 42 scrapped, 136.50 material, 46.20 conversion, 25.20 disposal: net 207.90, scrap rate 4.2%) on every build.</t>
  </si>
  <si>
    <t>Open the Scrap Cost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</si>
  <si>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</si>
  <si>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</si>
  <si>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Cost accounting practice: scrap valued at accumulated standard cost at the point of rejection (see any management accounting text, for example Horngren, Cost Accounting: A Managerial Emphasis, chapter on spoilage, rework and scrap).</t>
  </si>
  <si>
    <t>ASQ Quality Costs Committee, Principles of Quality Costs: scrap as an internal failure cost.</t>
  </si>
  <si>
    <t>MFG Calcs Scrap Cost calculator (scrap-cost): the same cost model for a single cohort.</t>
  </si>
  <si>
    <t>Standards are cited by name so you can look them up; no copyrighted standard text or tables are reproduced. Statistical constants used are public.</t>
  </si>
  <si>
    <t>Version history</t>
  </si>
  <si>
    <t>Change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</si>
  <si>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</si>
  <si>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</si>
  <si>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</si>
  <si>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</si>
  <si>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</si>
  <si>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</si>
  <si>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</si>
  <si>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</si>
  <si>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</si>
  <si>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</si>
  <si>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</si>
  <si>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Result</t>
  </si>
  <si>
    <t>Row 1 (calculator example): material write-off</t>
  </si>
  <si>
    <t>Row 1: conversion write-off (conversion to date at Op 10)</t>
  </si>
  <si>
    <t>Row 1: disposal (42 x 2.0 kg x 0.30 per kg)</t>
  </si>
  <si>
    <t>Row 1: recovery credit (84 kg x 0.10 per kg)</t>
  </si>
  <si>
    <t>Row 1: net scrap cost</t>
  </si>
  <si>
    <t>Row 2 (late-stage scrap at Op 40): net scrap cost</t>
  </si>
  <si>
    <t>Row 3: Check reports a missing operation cost</t>
  </si>
  <si>
    <t>No cost for this part at this operation</t>
  </si>
  <si>
    <t>exact</t>
  </si>
  <si>
    <t>Production row 1: scrapped units from the Scrap Log</t>
  </si>
  <si>
    <t>Production row 1: scrap rate (calculator: 4.2%)</t>
  </si>
  <si>
    <t>Production row 1: scrap cost per good unit</t>
  </si>
  <si>
    <t>Production row 1: scrap cost share</t>
  </si>
  <si>
    <t>Production row 1: rate status against a 2% target</t>
  </si>
  <si>
    <t>Above target</t>
  </si>
  <si>
    <t>Production row 3: Check reports scrapped &gt; produced</t>
  </si>
  <si>
    <t>Scrapped &gt; produced</t>
  </si>
  <si>
    <t>All rows: net scrap cost (Dashboard formula)</t>
  </si>
  <si>
    <t>All rows: scrap rate (Dashboard formula)</t>
  </si>
  <si>
    <t>All rows: scrap cost share (Dashboard formula)</t>
  </si>
  <si>
    <t>All rows: scrap cost per good unit (Dashboard formula)</t>
  </si>
  <si>
    <t>Fixed test inputs</t>
  </si>
  <si>
    <t>White cells are fixed test inputs; blue cells are the workbook's formulas evaluated on them.</t>
  </si>
  <si>
    <t>Parameters</t>
  </si>
  <si>
    <t>Filter: from (0 = no limit)</t>
  </si>
  <si>
    <t>Filter: to (2958465 = no limit)</t>
  </si>
  <si>
    <t>Filter: part (blank = all)</t>
  </si>
  <si>
    <t>Scrap rate target</t>
  </si>
  <si>
    <t>Scrap cost share target</t>
  </si>
  <si>
    <t>Recovery credit per kg</t>
  </si>
  <si>
    <t>Disposal charge per kg</t>
  </si>
  <si>
    <t>Test scrap reasons</t>
  </si>
  <si>
    <t>Test</t>
  </si>
  <si>
    <t>Test conversion costs</t>
  </si>
  <si>
    <t>Part A</t>
  </si>
  <si>
    <t>Op 10</t>
  </si>
  <si>
    <t>Part B</t>
  </si>
  <si>
    <t>Op 40</t>
  </si>
  <si>
    <t>Test table: Scrap</t>
  </si>
  <si>
    <t>Test table: Production</t>
  </si>
</sst>
</file>

<file path=xl/styles.xml><?xml version="1.0" encoding="utf-8"?>
<styleSheet xmlns="http://schemas.openxmlformats.org/spreadsheetml/2006/main">
  <numFmts count="11">
    <numFmt numFmtId="164" formatCode="0.0%"/>
    <numFmt numFmtId="165" formatCode="#,##0.00"/>
    <numFmt numFmtId="166" formatCode="#,##0.000"/>
    <numFmt numFmtId="167" formatCode="d mmm yyyy"/>
    <numFmt numFmtId="168" formatCode="#,##0"/>
    <numFmt numFmtId="169" formatCode="#,##0.0"/>
    <numFmt numFmtId="170" formatCode="0.00%"/>
    <numFmt numFmtId="171" formatCode="#,##0.0000"/>
    <numFmt numFmtId="172" formatCode="&quot;Target &quot;0.00%"/>
    <numFmt numFmtId="173" formatCode="0.0E+00"/>
    <numFmt numFmtId="174" formatCode="0.0000"/>
  </numFmts>
  <fonts count="25">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i/>
      <sz val="9"/>
      <color rgb="FF6B7280"/>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b/>
      <sz val="9"/>
      <color rgb="FF4A5361"/>
      <name val="Calibri"/>
      <family val="2"/>
      <scheme val="minor"/>
    </font>
    <font>
      <b/>
      <sz val="16"/>
      <color rgb="FF14386C"/>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1">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
      <left style="thin">
        <color rgb="FFC7D4EE"/>
      </left>
      <right style="thin">
        <color rgb="FFC7D4EE"/>
      </right>
      <top style="medium">
        <color rgb="FF14386C"/>
      </top>
      <bottom style="thin">
        <color rgb="FFC7D4EE"/>
      </bottom>
      <diagonal/>
    </border>
  </borders>
  <cellStyleXfs count="1">
    <xf numFmtId="0" fontId="0" fillId="0" borderId="0"/>
  </cellStyleXfs>
  <cellXfs count="85">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0" borderId="0" xfId="0" applyFont="1" applyAlignment="1">
      <alignment horizontal="center" vertical="center"/>
    </xf>
    <xf numFmtId="0" fontId="19" fillId="2" borderId="5" xfId="0" applyFont="1" applyFill="1" applyBorder="1" applyAlignment="1">
      <alignment horizontal="center" vertical="center" wrapText="1"/>
    </xf>
    <xf numFmtId="166" fontId="10" fillId="3" borderId="2" xfId="0" applyNumberFormat="1" applyFont="1" applyFill="1" applyBorder="1" applyAlignment="1" applyProtection="1">
      <alignment vertical="center"/>
      <protection locked="0"/>
    </xf>
    <xf numFmtId="0" fontId="20" fillId="7" borderId="2" xfId="0" applyFont="1" applyFill="1" applyBorder="1" applyAlignment="1">
      <alignment vertical="center" wrapText="1"/>
    </xf>
    <xf numFmtId="167" fontId="10" fillId="3" borderId="2" xfId="0" applyNumberFormat="1" applyFont="1" applyFill="1" applyBorder="1" applyAlignment="1" applyProtection="1">
      <alignment vertical="center"/>
      <protection locked="0"/>
    </xf>
    <xf numFmtId="168" fontId="10" fillId="3" borderId="2" xfId="0" applyNumberFormat="1" applyFont="1" applyFill="1" applyBorder="1" applyAlignment="1" applyProtection="1">
      <alignment vertical="center"/>
      <protection locked="0"/>
    </xf>
    <xf numFmtId="165" fontId="10" fillId="4" borderId="3" xfId="0" applyNumberFormat="1" applyFont="1" applyFill="1" applyBorder="1" applyAlignment="1">
      <alignment vertical="center"/>
    </xf>
    <xf numFmtId="166" fontId="10" fillId="4" borderId="3" xfId="0" applyNumberFormat="1" applyFont="1" applyFill="1" applyBorder="1" applyAlignment="1">
      <alignment vertical="center"/>
    </xf>
    <xf numFmtId="169"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0" fontId="21"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8" fontId="10" fillId="4" borderId="3" xfId="0" applyNumberFormat="1" applyFont="1" applyFill="1" applyBorder="1" applyAlignment="1">
      <alignment vertical="center"/>
    </xf>
    <xf numFmtId="170"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171" fontId="10" fillId="4" borderId="3" xfId="0" applyNumberFormat="1" applyFont="1" applyFill="1" applyBorder="1" applyAlignment="1">
      <alignment vertical="center"/>
    </xf>
    <xf numFmtId="167" fontId="10" fillId="3" borderId="2" xfId="0" applyNumberFormat="1" applyFont="1" applyFill="1" applyBorder="1" applyAlignment="1" applyProtection="1">
      <alignment horizontal="left" vertical="center"/>
      <protection locked="0"/>
    </xf>
    <xf numFmtId="0" fontId="18" fillId="0" borderId="0" xfId="0" applyFont="1" applyAlignment="1">
      <alignment vertical="center"/>
    </xf>
    <xf numFmtId="0" fontId="22" fillId="9" borderId="6" xfId="0" applyFont="1" applyFill="1" applyBorder="1" applyAlignment="1">
      <alignment vertical="center" wrapText="1"/>
    </xf>
    <xf numFmtId="168" fontId="4" fillId="9" borderId="7" xfId="0" applyNumberFormat="1" applyFont="1" applyFill="1" applyBorder="1" applyAlignment="1">
      <alignment horizontal="left" vertical="center"/>
    </xf>
    <xf numFmtId="170" fontId="4" fillId="9" borderId="7" xfId="0" applyNumberFormat="1" applyFont="1" applyFill="1" applyBorder="1" applyAlignment="1">
      <alignment horizontal="left" vertical="center"/>
    </xf>
    <xf numFmtId="0" fontId="23" fillId="9" borderId="7" xfId="0" applyFont="1" applyFill="1" applyBorder="1" applyAlignment="1">
      <alignment horizontal="left" vertical="center"/>
    </xf>
    <xf numFmtId="0" fontId="24" fillId="9" borderId="7" xfId="0" applyFont="1" applyFill="1" applyBorder="1" applyAlignment="1">
      <alignment vertical="center"/>
    </xf>
    <xf numFmtId="172" fontId="24" fillId="9" borderId="7" xfId="0" applyNumberFormat="1" applyFont="1" applyFill="1" applyBorder="1" applyAlignment="1">
      <alignment horizontal="left" vertical="center"/>
    </xf>
    <xf numFmtId="0" fontId="22" fillId="9" borderId="8" xfId="0" applyFont="1" applyFill="1" applyBorder="1" applyAlignment="1">
      <alignment vertical="center"/>
    </xf>
    <xf numFmtId="165" fontId="4" fillId="9" borderId="7" xfId="0" applyNumberFormat="1" applyFont="1" applyFill="1" applyBorder="1" applyAlignment="1">
      <alignment horizontal="left" vertical="center"/>
    </xf>
    <xf numFmtId="0" fontId="19" fillId="2" borderId="5" xfId="0" applyFont="1" applyFill="1" applyBorder="1" applyAlignment="1">
      <alignment horizontal="left" vertical="center" wrapText="1"/>
    </xf>
    <xf numFmtId="167" fontId="9" fillId="0" borderId="9" xfId="0" applyNumberFormat="1" applyFont="1" applyBorder="1" applyAlignment="1">
      <alignment vertical="center"/>
    </xf>
    <xf numFmtId="170" fontId="10" fillId="0" borderId="9" xfId="0" applyNumberFormat="1" applyFont="1" applyBorder="1" applyAlignment="1">
      <alignment vertical="center"/>
    </xf>
    <xf numFmtId="0" fontId="9" fillId="0" borderId="9" xfId="0" applyFont="1" applyBorder="1" applyAlignment="1">
      <alignment vertical="center"/>
    </xf>
    <xf numFmtId="164" fontId="10" fillId="4" borderId="3" xfId="0" applyNumberFormat="1" applyFont="1" applyFill="1" applyBorder="1" applyAlignment="1">
      <alignment vertical="center"/>
    </xf>
    <xf numFmtId="168" fontId="9" fillId="0" borderId="9" xfId="0" applyNumberFormat="1" applyFont="1" applyBorder="1" applyAlignment="1">
      <alignment horizontal="center" vertical="center"/>
    </xf>
    <xf numFmtId="0" fontId="10" fillId="4" borderId="3" xfId="0" applyFont="1" applyFill="1" applyBorder="1" applyAlignment="1">
      <alignment vertical="center"/>
    </xf>
    <xf numFmtId="168" fontId="10" fillId="0" borderId="0" xfId="0" applyNumberFormat="1" applyFont="1" applyAlignment="1">
      <alignment vertical="center"/>
    </xf>
    <xf numFmtId="0" fontId="9" fillId="4" borderId="10" xfId="0" applyFont="1" applyFill="1" applyBorder="1" applyAlignment="1">
      <alignment vertical="center"/>
    </xf>
    <xf numFmtId="168" fontId="9" fillId="4" borderId="10"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10" fillId="0" borderId="9" xfId="0" applyNumberFormat="1" applyFont="1" applyBorder="1" applyAlignment="1">
      <alignment vertical="center"/>
    </xf>
    <xf numFmtId="173" fontId="10" fillId="4" borderId="3" xfId="0" applyNumberFormat="1" applyFont="1" applyFill="1" applyBorder="1" applyAlignment="1">
      <alignment vertical="center"/>
    </xf>
    <xf numFmtId="173" fontId="10" fillId="0" borderId="9" xfId="0" applyNumberFormat="1" applyFont="1" applyBorder="1" applyAlignment="1">
      <alignment vertical="center"/>
    </xf>
    <xf numFmtId="168" fontId="10" fillId="0" borderId="9" xfId="0" applyNumberFormat="1" applyFont="1" applyBorder="1" applyAlignment="1">
      <alignment vertical="center"/>
    </xf>
    <xf numFmtId="174" fontId="10" fillId="0" borderId="9" xfId="0" applyNumberFormat="1" applyFont="1" applyBorder="1" applyAlignment="1">
      <alignment vertical="center"/>
    </xf>
    <xf numFmtId="174" fontId="10" fillId="4" borderId="3" xfId="0" applyNumberFormat="1" applyFont="1" applyFill="1" applyBorder="1" applyAlignment="1">
      <alignment vertical="center"/>
    </xf>
    <xf numFmtId="164" fontId="10" fillId="0" borderId="9" xfId="0" applyNumberFormat="1" applyFont="1" applyBorder="1" applyAlignment="1">
      <alignment vertical="center"/>
    </xf>
    <xf numFmtId="167" fontId="10" fillId="0" borderId="9" xfId="0" applyNumberFormat="1" applyFont="1" applyBorder="1" applyAlignment="1">
      <alignment vertical="center"/>
    </xf>
    <xf numFmtId="166" fontId="10" fillId="0" borderId="9" xfId="0" applyNumberFormat="1" applyFont="1" applyBorder="1" applyAlignment="1">
      <alignment vertical="center"/>
    </xf>
  </cellXfs>
  <cellStyles count="1">
    <cellStyle name="Normal" xfId="0" builtinId="0"/>
  </cellStyles>
  <dxfs count="6">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
      <font>
        <b/>
        <color rgb="FF8A4A06"/>
      </font>
    </dxf>
    <dxf>
      <font>
        <b/>
        <color rgb="FFB3000C"/>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Scrap cost as a share of production value, by week</a:t>
            </a:r>
          </a:p>
        </c:rich>
      </c:tx>
      <c:layout/>
    </c:title>
    <c:plotArea>
      <c:layout/>
      <c:barChart>
        <c:barDir val="col"/>
        <c:grouping val="clustered"/>
        <c:ser>
          <c:idx val="0"/>
          <c:order val="0"/>
          <c:tx>
            <c:v>Scrap cost share</c:v>
          </c:tx>
          <c:spPr>
            <a:solidFill>
              <a:srgbClr val="3B64D8"/>
            </a:solidFill>
            <a:ln w="9525">
              <a:solidFill>
                <a:srgbClr val="FFFFFF"/>
              </a:solidFill>
            </a:ln>
          </c:spPr>
          <c:dLbls>
            <c:numFmt formatCode="0.0%" sourceLinked="0"/>
            <c:txPr>
              <a:bodyPr/>
              <a:lstStyle/>
              <a:p>
                <a:pPr>
                  <a:defRPr sz="800" b="1" baseline="0">
                    <a:solidFill>
                      <a:srgbClr val="FFFFFF"/>
                    </a:solidFill>
                    <a:latin typeface="Calibri"/>
                  </a:defRPr>
                </a:pPr>
                <a:endParaRPr lang="en-US"/>
              </a:p>
            </c:txPr>
            <c:dLblPos val="inBase"/>
            <c:showVal val="1"/>
          </c:dLbls>
          <c:cat>
            <c:numRef>
              <c:f>Dashboard!$B$54:$B$59</c:f>
              <c:numCache>
                <c:formatCode>General</c:formatCode>
                <c:ptCount val="6"/>
                <c:pt idx="0">
                  <c:v>46258</c:v>
                </c:pt>
                <c:pt idx="1">
                  <c:v>46265</c:v>
                </c:pt>
                <c:pt idx="2">
                  <c:v>46272</c:v>
                </c:pt>
                <c:pt idx="3">
                  <c:v>46279</c:v>
                </c:pt>
                <c:pt idx="4">
                  <c:v>46286</c:v>
                </c:pt>
                <c:pt idx="5">
                  <c:v>46293</c:v>
                </c:pt>
              </c:numCache>
            </c:numRef>
          </c:cat>
          <c:val>
            <c:numRef>
              <c:f>Dashboard!$J$54:$J$59</c:f>
              <c:numCache>
                <c:formatCode>General</c:formatCode>
                <c:ptCount val="6"/>
                <c:pt idx="0">
                  <c:v>0.0162948886032562</c:v>
                </c:pt>
                <c:pt idx="1">
                  <c:v>0.0144073712497944</c:v>
                </c:pt>
                <c:pt idx="2">
                  <c:v>0.0134750996099837</c:v>
                </c:pt>
                <c:pt idx="3">
                  <c:v>0.00739804653158402</c:v>
                </c:pt>
                <c:pt idx="4">
                  <c:v>0.00824333216809144</c:v>
                </c:pt>
                <c:pt idx="5">
                  <c:v>0.0075569564021746</c:v>
                </c:pt>
              </c:numCache>
            </c:numRef>
          </c:val>
        </c:ser>
        <c:gapWidth val="60"/>
        <c:overlap val="-10"/>
        <c:axId val="50010001"/>
        <c:axId val="50010002"/>
      </c:barChart>
      <c:lineChart>
        <c:grouping val="standard"/>
        <c:ser>
          <c:idx val="1"/>
          <c:order val="1"/>
          <c:tx>
            <c:v>Target</c:v>
          </c:tx>
          <c:spPr>
            <a:ln w="19050">
              <a:solidFill>
                <a:srgbClr val="4A5361"/>
              </a:solidFill>
              <a:prstDash val="dash"/>
            </a:ln>
          </c:spPr>
          <c:marker>
            <c:symbol val="none"/>
          </c:marker>
          <c:cat>
            <c:numRef>
              <c:f>Dashboard!$B$54:$B$59</c:f>
              <c:numCache>
                <c:formatCode>General</c:formatCode>
                <c:ptCount val="6"/>
                <c:pt idx="0">
                  <c:v>46258</c:v>
                </c:pt>
                <c:pt idx="1">
                  <c:v>46265</c:v>
                </c:pt>
                <c:pt idx="2">
                  <c:v>46272</c:v>
                </c:pt>
                <c:pt idx="3">
                  <c:v>46279</c:v>
                </c:pt>
                <c:pt idx="4">
                  <c:v>46286</c:v>
                </c:pt>
                <c:pt idx="5">
                  <c:v>46293</c:v>
                </c:pt>
              </c:numCache>
            </c:numRef>
          </c:cat>
          <c:val>
            <c:numRef>
              <c:f>Dashboard!$K$54:$K$59</c:f>
              <c:numCache>
                <c:formatCode>General</c:formatCode>
                <c:ptCount val="6"/>
                <c:pt idx="0">
                  <c:v>0.01</c:v>
                </c:pt>
                <c:pt idx="1">
                  <c:v>0.01</c:v>
                </c:pt>
                <c:pt idx="2">
                  <c:v>0.01</c:v>
                </c:pt>
                <c:pt idx="3">
                  <c:v>0.01</c:v>
                </c:pt>
                <c:pt idx="4">
                  <c:v>0.01</c:v>
                </c:pt>
                <c:pt idx="5">
                  <c:v>0.01</c:v>
                </c:pt>
              </c:numCache>
            </c:numRef>
          </c:val>
        </c:ser>
        <c:marker val="1"/>
        <c:axId val="50010001"/>
        <c:axId val="50010002"/>
      </c:lineChart>
      <c:catAx>
        <c:axId val="50010001"/>
        <c:scaling>
          <c:orientation val="minMax"/>
        </c:scaling>
        <c:axPos val="b"/>
        <c:numFmt formatCode="d mmm" sourceLinked="0"/>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10002"/>
        <c:crosses val="autoZero"/>
        <c:lblAlgn val="ctr"/>
        <c:lblOffset val="100"/>
      </c:catAx>
      <c:valAx>
        <c:axId val="50010002"/>
        <c:scaling>
          <c:orientation val="minMax"/>
          <c:min val="0"/>
        </c:scaling>
        <c:axPos val="l"/>
        <c:majorGridlines>
          <c:spPr>
            <a:ln w="9525">
              <a:solidFill>
                <a:srgbClr val="E6E9EE"/>
              </a:solidFill>
            </a:ln>
          </c:spPr>
        </c:majorGridlines>
        <c:numFmt formatCode="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1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Net scrap cost by reason</a:t>
            </a:r>
          </a:p>
        </c:rich>
      </c:tx>
      <c:layout/>
    </c:title>
    <c:plotArea>
      <c:layout/>
      <c:barChart>
        <c:barDir val="col"/>
        <c:grouping val="clustered"/>
        <c:ser>
          <c:idx val="0"/>
          <c:order val="0"/>
          <c:tx>
            <c:v>Net scrap cost</c:v>
          </c:tx>
          <c:spPr>
            <a:solidFill>
              <a:srgbClr val="3B64D8"/>
            </a:solidFill>
            <a:ln w="9525">
              <a:solidFill>
                <a:srgbClr val="FFFFFF"/>
              </a:solidFill>
            </a:ln>
          </c:spPr>
          <c:cat>
            <c:strRef>
              <c:f>Dashboard!$C$81:$C$88</c:f>
              <c:strCache>
                <c:ptCount val="8"/>
                <c:pt idx="0">
                  <c:v>Leak</c:v>
                </c:pt>
                <c:pt idx="1">
                  <c:v>Porosity</c:v>
                </c:pt>
                <c:pt idx="2">
                  <c:v>Cold shut</c:v>
                </c:pt>
                <c:pt idx="3">
                  <c:v>Dimension out</c:v>
                </c:pt>
                <c:pt idx="4">
                  <c:v>Setup scrap</c:v>
                </c:pt>
                <c:pt idx="5">
                  <c:v>Tool breakage</c:v>
                </c:pt>
                <c:pt idx="6">
                  <c:v>Handling damage</c:v>
                </c:pt>
                <c:pt idx="7">
                  <c:v>Other</c:v>
                </c:pt>
              </c:strCache>
            </c:strRef>
          </c:cat>
          <c:val>
            <c:numRef>
              <c:f>Dashboard!$E$81:$E$88</c:f>
              <c:numCache>
                <c:formatCode>General</c:formatCode>
                <c:ptCount val="8"/>
                <c:pt idx="0">
                  <c:v>3383.2675</c:v>
                </c:pt>
                <c:pt idx="1">
                  <c:v>1475.72</c:v>
                </c:pt>
                <c:pt idx="2">
                  <c:v>1060.4275</c:v>
                </c:pt>
                <c:pt idx="3">
                  <c:v>858.6725</c:v>
                </c:pt>
                <c:pt idx="4">
                  <c:v>625.385</c:v>
                </c:pt>
                <c:pt idx="5">
                  <c:v>271.95</c:v>
                </c:pt>
                <c:pt idx="6">
                  <c:v>212.622</c:v>
                </c:pt>
                <c:pt idx="7">
                  <c:v>88.785</c:v>
                </c:pt>
              </c:numCache>
            </c:numRef>
          </c:val>
        </c:ser>
        <c:gapWidth val="40"/>
        <c:axId val="50020001"/>
        <c:axId val="50020002"/>
      </c:barChart>
      <c:lineChart>
        <c:grouping val="standard"/>
        <c:ser>
          <c:idx val="1"/>
          <c:order val="1"/>
          <c:tx>
            <c:v>Cumulative %</c:v>
          </c:tx>
          <c:spPr>
            <a:ln w="28575">
              <a:solidFill>
                <a:srgbClr val="E8702A"/>
              </a:solidFill>
            </a:ln>
          </c:spPr>
          <c:marker>
            <c:symbol val="circle"/>
            <c:size val="5"/>
            <c:spPr>
              <a:solidFill>
                <a:srgbClr val="E8702A"/>
              </a:solidFill>
              <a:ln>
                <a:solidFill>
                  <a:srgbClr val="E8702A"/>
                </a:solidFill>
              </a:ln>
            </c:spPr>
          </c:marker>
          <c:cat>
            <c:strRef>
              <c:f>Dashboard!$C$81:$C$88</c:f>
              <c:strCache>
                <c:ptCount val="8"/>
                <c:pt idx="0">
                  <c:v>Leak</c:v>
                </c:pt>
                <c:pt idx="1">
                  <c:v>Porosity</c:v>
                </c:pt>
                <c:pt idx="2">
                  <c:v>Cold shut</c:v>
                </c:pt>
                <c:pt idx="3">
                  <c:v>Dimension out</c:v>
                </c:pt>
                <c:pt idx="4">
                  <c:v>Setup scrap</c:v>
                </c:pt>
                <c:pt idx="5">
                  <c:v>Tool breakage</c:v>
                </c:pt>
                <c:pt idx="6">
                  <c:v>Handling damage</c:v>
                </c:pt>
                <c:pt idx="7">
                  <c:v>Other</c:v>
                </c:pt>
              </c:strCache>
            </c:strRef>
          </c:cat>
          <c:val>
            <c:numRef>
              <c:f>Dashboard!$G$81:$G$88</c:f>
              <c:numCache>
                <c:formatCode>General</c:formatCode>
                <c:ptCount val="8"/>
                <c:pt idx="0">
                  <c:v>0.424136870419507</c:v>
                </c:pt>
                <c:pt idx="1">
                  <c:v>0.609137690607528</c:v>
                </c:pt>
                <c:pt idx="2">
                  <c:v>0.742076159456586</c:v>
                </c:pt>
                <c:pt idx="3">
                  <c:v>0.849721997944171</c:v>
                </c:pt>
                <c:pt idx="4">
                  <c:v>0.928122194413206</c:v>
                </c:pt>
                <c:pt idx="5">
                  <c:v>0.962214686925426</c:v>
                </c:pt>
                <c:pt idx="6">
                  <c:v>0.988869637993391</c:v>
                </c:pt>
                <c:pt idx="7">
                  <c:v>1</c:v>
                </c:pt>
              </c:numCache>
            </c:numRef>
          </c:val>
        </c:ser>
        <c:marker val="1"/>
        <c:axId val="60020001"/>
        <c:axId val="60020002"/>
      </c:lineChart>
      <c:catAx>
        <c:axId val="5002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autoZero"/>
        <c:crossBetween val="between"/>
      </c:valAx>
      <c:valAx>
        <c:axId val="60020002"/>
        <c:scaling>
          <c:orientation val="minMax"/>
          <c:max val="1"/>
          <c:min val="0"/>
        </c:scaling>
        <c:axPos val="r"/>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60020001"/>
        <c:crosses val="max"/>
        <c:crossBetween val="between"/>
        <c:majorUnit val="0.2"/>
      </c:valAx>
      <c:catAx>
        <c:axId val="60020001"/>
        <c:scaling>
          <c:orientation val="minMax"/>
        </c:scaling>
        <c:delete val="1"/>
        <c:axPos val="b"/>
        <c:tickLblPos val="none"/>
        <c:crossAx val="60020002"/>
        <c:crosses val="autoZero"/>
        <c:auto val="1"/>
        <c:lblAlgn val="ctr"/>
        <c:lblOffset val="100"/>
      </c:cat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Cost written off, by operation where scrapped</a:t>
            </a:r>
          </a:p>
        </c:rich>
      </c:tx>
      <c:layout/>
    </c:title>
    <c:plotArea>
      <c:layout/>
      <c:barChart>
        <c:barDir val="col"/>
        <c:grouping val="stacked"/>
        <c:ser>
          <c:idx val="0"/>
          <c:order val="0"/>
          <c:tx>
            <c:v>Material</c:v>
          </c:tx>
          <c:spPr>
            <a:solidFill>
              <a:srgbClr val="3B64D8"/>
            </a:solidFill>
            <a:ln w="9525">
              <a:solidFill>
                <a:srgbClr val="FFFFFF"/>
              </a:solidFill>
            </a:ln>
          </c:spPr>
          <c:cat>
            <c:strRef>
              <c:f>Dashboard!$B$72:$B$76</c:f>
              <c:strCache>
                <c:ptCount val="5"/>
                <c:pt idx="0">
                  <c:v>10 Cast</c:v>
                </c:pt>
                <c:pt idx="1">
                  <c:v>20 Trim</c:v>
                </c:pt>
                <c:pt idx="2">
                  <c:v>30 Machine</c:v>
                </c:pt>
                <c:pt idx="3">
                  <c:v>40 Leak test</c:v>
                </c:pt>
                <c:pt idx="4">
                  <c:v>50 Final inspect</c:v>
                </c:pt>
              </c:strCache>
            </c:strRef>
          </c:cat>
          <c:val>
            <c:numRef>
              <c:f>Dashboard!$D$72:$D$76</c:f>
              <c:numCache>
                <c:formatCode>General</c:formatCode>
                <c:ptCount val="5"/>
                <c:pt idx="0">
                  <c:v>2018.75</c:v>
                </c:pt>
                <c:pt idx="1">
                  <c:v>77.4</c:v>
                </c:pt>
                <c:pt idx="2">
                  <c:v>755.65</c:v>
                </c:pt>
                <c:pt idx="3">
                  <c:v>1319.55</c:v>
                </c:pt>
                <c:pt idx="4">
                  <c:v>82.05</c:v>
                </c:pt>
              </c:numCache>
            </c:numRef>
          </c:val>
        </c:ser>
        <c:ser>
          <c:idx val="1"/>
          <c:order val="1"/>
          <c:tx>
            <c:v>Conversion</c:v>
          </c:tx>
          <c:spPr>
            <a:solidFill>
              <a:srgbClr val="E8702A"/>
            </a:solidFill>
            <a:ln w="9525">
              <a:solidFill>
                <a:srgbClr val="FFFFFF"/>
              </a:solidFill>
            </a:ln>
          </c:spPr>
          <c:cat>
            <c:strRef>
              <c:f>Dashboard!$B$72:$B$76</c:f>
              <c:strCache>
                <c:ptCount val="5"/>
                <c:pt idx="0">
                  <c:v>10 Cast</c:v>
                </c:pt>
                <c:pt idx="1">
                  <c:v>20 Trim</c:v>
                </c:pt>
                <c:pt idx="2">
                  <c:v>30 Machine</c:v>
                </c:pt>
                <c:pt idx="3">
                  <c:v>40 Leak test</c:v>
                </c:pt>
                <c:pt idx="4">
                  <c:v>50 Final inspect</c:v>
                </c:pt>
              </c:strCache>
            </c:strRef>
          </c:cat>
          <c:val>
            <c:numRef>
              <c:f>Dashboard!$E$72:$E$76</c:f>
              <c:numCache>
                <c:formatCode>General</c:formatCode>
                <c:ptCount val="5"/>
                <c:pt idx="0">
                  <c:v>1341.1</c:v>
                </c:pt>
                <c:pt idx="1">
                  <c:v>58.5</c:v>
                </c:pt>
                <c:pt idx="2">
                  <c:v>1308.9</c:v>
                </c:pt>
                <c:pt idx="3">
                  <c:v>2602.3</c:v>
                </c:pt>
                <c:pt idx="4">
                  <c:v>148.5</c:v>
                </c:pt>
              </c:numCache>
            </c:numRef>
          </c:val>
        </c:ser>
        <c:gapWidth val="60"/>
        <c:overlap val="100"/>
        <c:axId val="50030001"/>
        <c:axId val="50030002"/>
      </c:barChart>
      <c:catAx>
        <c:axId val="5003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30002"/>
        <c:crosses val="autoZero"/>
        <c:lblAlgn val="ctr"/>
        <c:lblOffset val="100"/>
      </c:catAx>
      <c:valAx>
        <c:axId val="50030002"/>
        <c:scaling>
          <c:orientation val="minMax"/>
          <c:min val="0"/>
        </c:scaling>
        <c:axPos val="l"/>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3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Scrap rate by part</a:t>
            </a:r>
          </a:p>
        </c:rich>
      </c:tx>
      <c:layout/>
    </c:title>
    <c:plotArea>
      <c:layout/>
      <c:barChart>
        <c:barDir val="col"/>
        <c:grouping val="clustered"/>
        <c:ser>
          <c:idx val="0"/>
          <c:order val="0"/>
          <c:tx>
            <c:v>Scrap rate</c:v>
          </c:tx>
          <c:spPr>
            <a:solidFill>
              <a:srgbClr val="3B64D8"/>
            </a:solidFill>
            <a:ln w="9525">
              <a:solidFill>
                <a:srgbClr val="FFFFFF"/>
              </a:solidFill>
            </a:ln>
          </c:spPr>
          <c:dLbls>
            <c:numFmt formatCode="0.0%" sourceLinked="0"/>
            <c:txPr>
              <a:bodyPr/>
              <a:lstStyle/>
              <a:p>
                <a:pPr>
                  <a:defRPr sz="800" b="1" baseline="0">
                    <a:solidFill>
                      <a:srgbClr val="FFFFFF"/>
                    </a:solidFill>
                    <a:latin typeface="Calibri"/>
                  </a:defRPr>
                </a:pPr>
                <a:endParaRPr lang="en-US"/>
              </a:p>
            </c:txPr>
            <c:dLblPos val="inBase"/>
            <c:showVal val="1"/>
          </c:dLbls>
          <c:cat>
            <c:strRef>
              <c:f>Dashboard!$B$64:$B$67</c:f>
              <c:strCache>
                <c:ptCount val="4"/>
                <c:pt idx="0">
                  <c:v>Cover GC-410</c:v>
                </c:pt>
                <c:pt idx="1">
                  <c:v>Housing PH-220</c:v>
                </c:pt>
                <c:pt idx="2">
                  <c:v>Bracket BR-115</c:v>
                </c:pt>
                <c:pt idx="3">
                  <c:v>End cap EC-330</c:v>
                </c:pt>
              </c:strCache>
            </c:strRef>
          </c:cat>
          <c:val>
            <c:numRef>
              <c:f>Dashboard!$E$64:$E$67</c:f>
              <c:numCache>
                <c:formatCode>General</c:formatCode>
                <c:ptCount val="4"/>
                <c:pt idx="0">
                  <c:v>0.010259067357513</c:v>
                </c:pt>
                <c:pt idx="1">
                  <c:v>0.0293785310734463</c:v>
                </c:pt>
                <c:pt idx="2">
                  <c:v>0.016289592760181</c:v>
                </c:pt>
                <c:pt idx="3">
                  <c:v>0.0133127889060092</c:v>
                </c:pt>
              </c:numCache>
            </c:numRef>
          </c:val>
        </c:ser>
        <c:gapWidth val="60"/>
        <c:overlap val="-10"/>
        <c:axId val="50040001"/>
        <c:axId val="50040002"/>
      </c:barChart>
      <c:lineChart>
        <c:grouping val="standard"/>
        <c:ser>
          <c:idx val="1"/>
          <c:order val="1"/>
          <c:tx>
            <c:v>Target</c:v>
          </c:tx>
          <c:spPr>
            <a:ln w="19050">
              <a:solidFill>
                <a:srgbClr val="4A5361"/>
              </a:solidFill>
              <a:prstDash val="dash"/>
            </a:ln>
          </c:spPr>
          <c:marker>
            <c:symbol val="none"/>
          </c:marker>
          <c:cat>
            <c:strRef>
              <c:f>Dashboard!$B$64:$B$67</c:f>
              <c:strCache>
                <c:ptCount val="4"/>
                <c:pt idx="0">
                  <c:v>Cover GC-410</c:v>
                </c:pt>
                <c:pt idx="1">
                  <c:v>Housing PH-220</c:v>
                </c:pt>
                <c:pt idx="2">
                  <c:v>Bracket BR-115</c:v>
                </c:pt>
                <c:pt idx="3">
                  <c:v>End cap EC-330</c:v>
                </c:pt>
              </c:strCache>
            </c:strRef>
          </c:cat>
          <c:val>
            <c:numRef>
              <c:f>Dashboard!$F$64:$F$67</c:f>
              <c:numCache>
                <c:formatCode>General</c:formatCode>
                <c:ptCount val="4"/>
                <c:pt idx="0">
                  <c:v>0.02</c:v>
                </c:pt>
                <c:pt idx="1">
                  <c:v>0.02</c:v>
                </c:pt>
                <c:pt idx="2">
                  <c:v>0.02</c:v>
                </c:pt>
                <c:pt idx="3">
                  <c:v>0.02</c:v>
                </c:pt>
              </c:numCache>
            </c:numRef>
          </c:val>
        </c:ser>
        <c:marker val="1"/>
        <c:axId val="50040001"/>
        <c:axId val="50040002"/>
      </c:lineChart>
      <c:catAx>
        <c:axId val="50040001"/>
        <c:scaling>
          <c:orientation val="minMax"/>
        </c:scaling>
        <c:axPos val="b"/>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40002"/>
        <c:crosses val="autoZero"/>
        <c:lblAlgn val="ctr"/>
        <c:lblOffset val="100"/>
      </c:catAx>
      <c:valAx>
        <c:axId val="50040002"/>
        <c:scaling>
          <c:orientation val="minMax"/>
          <c:min val="0"/>
        </c:scaling>
        <c:axPos val="l"/>
        <c:majorGridlines>
          <c:spPr>
            <a:ln w="9525">
              <a:solidFill>
                <a:srgbClr val="E6E9EE"/>
              </a:solidFill>
            </a:ln>
          </c:spPr>
        </c:majorGridlines>
        <c:numFmt formatCode="0.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40001"/>
        <c:crosses val="autoZero"/>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 Id="rId3" Type="http://schemas.openxmlformats.org/officeDocument/2006/relationships/chart" Target="../charts/chart3.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12</xdr:row>
      <xdr:rowOff>38100</xdr:rowOff>
    </xdr:from>
    <xdr:to>
      <xdr:col>5</xdr:col>
      <xdr:colOff>676275</xdr:colOff>
      <xdr:row>26</xdr:row>
      <xdr:rowOff>152400</xdr:rowOff>
    </xdr:to>
    <xdr:graphicFrame macro="">
      <xdr:nvGraphicFramePr>
        <xdr:cNvPr id="2" name="Chart 1" descr="Column chart of weekly net scrap cost as a percentage of production value at standard cost, with the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12</xdr:row>
      <xdr:rowOff>38100</xdr:rowOff>
    </xdr:from>
    <xdr:to>
      <xdr:col>11</xdr:col>
      <xdr:colOff>676275</xdr:colOff>
      <xdr:row>26</xdr:row>
      <xdr:rowOff>152400</xdr:rowOff>
    </xdr:to>
    <xdr:graphicFrame macro="">
      <xdr:nvGraphicFramePr>
        <xdr:cNvPr id="3" name="Chart 2" descr="Pareto chart of net scrap cost by scrap reason, largest first, with the cumulative percentage on a secondary axi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38100</xdr:colOff>
      <xdr:row>34</xdr:row>
      <xdr:rowOff>38100</xdr:rowOff>
    </xdr:from>
    <xdr:to>
      <xdr:col>5</xdr:col>
      <xdr:colOff>676275</xdr:colOff>
      <xdr:row>48</xdr:row>
      <xdr:rowOff>152400</xdr:rowOff>
    </xdr:to>
    <xdr:graphicFrame macro="">
      <xdr:nvGraphicFramePr>
        <xdr:cNvPr id="4" name="Chart 3" descr="Stacked column chart of material and conversion cost written off at each operation, showing that parts scrapped late in the process carry more conversion cos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38100</xdr:colOff>
      <xdr:row>34</xdr:row>
      <xdr:rowOff>38100</xdr:rowOff>
    </xdr:from>
    <xdr:to>
      <xdr:col>11</xdr:col>
      <xdr:colOff>676275</xdr:colOff>
      <xdr:row>48</xdr:row>
      <xdr:rowOff>152400</xdr:rowOff>
    </xdr:to>
    <xdr:graphicFrame macro="">
      <xdr:nvGraphicFramePr>
        <xdr:cNvPr id="5" name="Chart 4" descr="Column chart of the scrap rate of each part over the dates in view, with the scrap rate target as a dashed lin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tables/table1.xml><?xml version="1.0" encoding="utf-8"?>
<table xmlns="http://schemas.openxmlformats.org/spreadsheetml/2006/main" id="1" name="tblParts" displayName="tblParts" ref="B20:F24" totalsRowShown="0">
  <autoFilter ref="B20:F24"/>
  <tableColumns count="5">
    <tableColumn id="1" name="Part"/>
    <tableColumn id="2" name="Description"/>
    <tableColumn id="3" name="Mass"/>
    <tableColumn id="4" name="Material"/>
    <tableColumn id="5" name="Standard cost"/>
  </tableColumns>
  <tableStyleInfo name="TableStyleLight1" showFirstColumn="0" showLastColumn="0" showRowStripes="0" showColumnStripes="0"/>
</table>
</file>

<file path=xl/tables/table2.xml><?xml version="1.0" encoding="utf-8"?>
<table xmlns="http://schemas.openxmlformats.org/spreadsheetml/2006/main" id="2" name="tblOperations" displayName="tblOperations" ref="B27:C32" totalsRowShown="0">
  <autoFilter ref="B27:C32"/>
  <tableColumns count="2">
    <tableColumn id="1" name="Operation"/>
    <tableColumn id="2" name="Description"/>
  </tableColumns>
  <tableStyleInfo name="TableStyleLight1" showFirstColumn="0" showLastColumn="0" showRowStripes="0" showColumnStripes="0"/>
</table>
</file>

<file path=xl/tables/table3.xml><?xml version="1.0" encoding="utf-8"?>
<table xmlns="http://schemas.openxmlformats.org/spreadsheetml/2006/main" id="3" name="tblStageCosts" displayName="tblStageCosts" ref="B37:D56" totalsRowShown="0">
  <autoFilter ref="B37:D56"/>
  <tableColumns count="3">
    <tableColumn id="1" name="Part"/>
    <tableColumn id="2" name="Operation"/>
    <tableColumn id="3" name="Conversion to date"/>
  </tableColumns>
  <tableStyleInfo name="TableStyleLight1" showFirstColumn="0" showLastColumn="0" showRowStripes="0" showColumnStripes="0"/>
</table>
</file>

<file path=xl/tables/table4.xml><?xml version="1.0" encoding="utf-8"?>
<table xmlns="http://schemas.openxmlformats.org/spreadsheetml/2006/main" id="4" name="tblReasons" displayName="tblReasons" ref="B59:C67" totalsRowShown="0">
  <autoFilter ref="B59:C67"/>
  <tableColumns count="2">
    <tableColumn id="1" name="Reason"/>
    <tableColumn id="2" name="Definition"/>
  </tableColumns>
  <tableStyleInfo name="TableStyleLight1" showFirstColumn="0" showLastColumn="0" showRowStripes="0" showColumnStripes="0"/>
</table>
</file>

<file path=xl/tables/table5.xml><?xml version="1.0" encoding="utf-8"?>
<table xmlns="http://schemas.openxmlformats.org/spreadsheetml/2006/main" id="5" name="tblScrap" displayName="tblScrap" ref="B6:R146" totalsRowShown="0">
  <autoFilter ref="B6:R146"/>
  <tableColumns count="17">
    <tableColumn id="1" name="Date"/>
    <tableColumn id="2" name="Part"/>
    <tableColumn id="3" name="Operation"/>
    <tableColumn id="4" name="Reason"/>
    <tableColumn id="5" name="Scrapped"/>
    <tableColumn id="6" name="Material">
      <calculatedColumnFormula>IF(tblScrap[[#This Row],[Date]]="","",IFERROR(INDEX(tblParts[Material],MATCH(tblScrap[[#This Row],[Part]],tblParts[Part],0)),""))</calculatedColumnFormula>
    </tableColumn>
    <tableColumn id="7" name="Conversion to date">
      <calculatedColumnFormula>IF(tblScrap[[#This Row],[Date]]="","",SUMIFS(tblStageCosts[Conversion to date],tblStageCosts[Part],tblScrap[[#This Row],[Part]],tblStageCosts[Operation],tblScrap[[#This Row],[Operation]]))</calculatedColumnFormula>
    </tableColumn>
    <tableColumn id="8" name="Mass">
      <calculatedColumnFormula>IF(tblScrap[[#This Row],[Date]]="","",IFERROR(INDEX(tblParts[Mass],MATCH(tblScrap[[#This Row],[Part]],tblParts[Part],0)),""))</calculatedColumnFormula>
    </tableColumn>
    <tableColumn id="9" name="Scrap mass">
      <calculatedColumnFormula>IF(tblScrap[[#This Row],[Date]]="","",IF(tblScrap[[#This Row],[Mass]]="","",tblScrap[[#This Row],[Scrapped]]*tblScrap[[#This Row],[Mass]]))</calculatedColumnFormula>
    </tableColumn>
    <tableColumn id="10" name="Material write-off">
      <calculatedColumnFormula>IF(tblScrap[[#This Row],[Date]]="","",IF(tblScrap[[#This Row],[Material]]="","",tblScrap[[#This Row],[Scrapped]]*tblScrap[[#This Row],[Material]]))</calculatedColumnFormula>
    </tableColumn>
    <tableColumn id="11" name="Conversion write-off">
      <calculatedColumnFormula>IF(tblScrap[[#This Row],[Date]]="","",tblScrap[[#This Row],[Scrapped]]*tblScrap[[#This Row],[Conversion to date]])</calculatedColumnFormula>
    </tableColumn>
    <tableColumn id="12" name="Disposal">
      <calculatedColumnFormula>IF(tblScrap[[#This Row],[Date]]="","",IF(tblScrap[[#This Row],[Mass]]="","",tblScrap[[#This Row],[Scrap mass]]*DisposalKg))</calculatedColumnFormula>
    </tableColumn>
    <tableColumn id="13" name="Recovery credit">
      <calculatedColumnFormula>IF(tblScrap[[#This Row],[Date]]="","",IF(tblScrap[[#This Row],[Mass]]="","",tblScrap[[#This Row],[Scrap mass]]*RecoveryKg))</calculatedColumnFormula>
    </tableColumn>
    <tableColumn id="14" name="Net scrap cost">
      <calculatedColumnFormula>IF(tblScrap[[#This Row],[Date]]="","",IF(tblScrap[[#This Row],[Material]]="","",tblScrap[[#This Row],[Material write-off]]+tblScrap[[#This Row],[Conversion write-off]]+tblScrap[[#This Row],[Disposal]]-tblScrap[[#This Row],[Recovery credit]]))</calculatedColumnFormula>
    </tableColumn>
    <tableColumn id="15" name="View date">
      <calculatedColumnFormula>IF(tblScrap[[#This Row],[Date]]="","",IF(AND(tblScrap[[#This Row],[Date]]&gt;=FFrom,tblScrap[[#This Row],[Date]]&lt;=FTo,OR(DashPart="",tblScrap[[#This Row],[Part]]=DashPart)),tblScrap[[#This Row],[Date]],""))</calculatedColumnFormula>
    </tableColumn>
    <tableColumn id="16" name="Check">
      <calculatedColumnFormula>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calculatedColumnFormula>
    </tableColumn>
    <tableColumn id="17" name="Notes"/>
  </tableColumns>
  <tableStyleInfo name="TableStyleLight1" showFirstColumn="0" showLastColumn="0" showRowStripes="0" showColumnStripes="0"/>
</table>
</file>

<file path=xl/tables/table6.xml><?xml version="1.0" encoding="utf-8"?>
<table xmlns="http://schemas.openxmlformats.org/spreadsheetml/2006/main" id="6" name="tblProduction" displayName="tblProduction" ref="B6:O126" totalsRowShown="0">
  <autoFilter ref="B6:O126"/>
  <tableColumns count="14">
    <tableColumn id="1" name="Date"/>
    <tableColumn id="2" name="Part"/>
    <tableColumn id="3" name="Produced"/>
    <tableColumn id="4" name="Standard cost">
      <calculatedColumnFormula>IF(tblProduction[[#This Row],[Date]]="","",IFERROR(INDEX(tblParts[Standard cost],MATCH(tblProduction[[#This Row],[Part]],tblParts[Part],0)),""))</calculatedColumnFormula>
    </tableColumn>
    <tableColumn id="5" name="Production value">
      <calculatedColumnFormula>IF(tblProduction[[#This Row],[Date]]="","",IF(tblProduction[[#This Row],[Standard cost]]="","",tblProduction[[#This Row],[Produced]]*tblProduction[[#This Row],[Standard cost]]))</calculatedColumnFormula>
    </tableColumn>
    <tableColumn id="6" name="Scrapped">
      <calculatedColumnFormula>IF(tblProduction[[#This Row],[Date]]="","",SUMIFS(tblScrap[Scrapped],tblScrap[Date],tblProduction[[#This Row],[Date]],tblScrap[Part],tblProduction[[#This Row],[Part]]))</calculatedColumnFormula>
    </tableColumn>
    <tableColumn id="7" name="Net scrap cost">
      <calculatedColumnFormula>IF(tblProduction[[#This Row],[Date]]="","",SUMIFS(tblScrap[Net scrap cost],tblScrap[Date],tblProduction[[#This Row],[Date]],tblScrap[Part],tblProduction[[#This Row],[Part]]))</calculatedColumnFormula>
    </tableColumn>
    <tableColumn id="8" name="Scrap rate">
      <calculatedColumnFormula>IF(tblProduction[[#This Row],[Date]]="","",IF(tblProduction[[#This Row],[Produced]]&gt;0,tblProduction[[#This Row],[Scrapped]]/tblProduction[[#This Row],[Produced]],""))</calculatedColumnFormula>
    </tableColumn>
    <tableColumn id="9" name="Rate status">
      <calculatedColumnFormula>IF(NOT(ISNUMBER(tblProduction[[#This Row],[Scrap rate]])),"",IF(tblProduction[[#This Row],[Scrap rate]]&lt;=TargetRate,"On target",IF(tblProduction[[#This Row],[Scrap rate]]&lt;=TargetRate*(1+0.05),"Near target","Above target")))</calculatedColumnFormula>
    </tableColumn>
    <tableColumn id="10" name="Scrap cost share">
      <calculatedColumnFormula>IF(tblProduction[[#This Row],[Date]]="","",IF(N(tblProduction[[#This Row],[Production value]])&gt;0,tblProduction[[#This Row],[Net scrap cost]]/tblProduction[[#This Row],[Production value]],""))</calculatedColumnFormula>
    </tableColumn>
    <tableColumn id="11" name="Scrap cost per good unit">
      <calculatedColumnFormula>IF(tblProduction[[#This Row],[Date]]="","",IF(tblProduction[[#This Row],[Produced]]-tblProduction[[#This Row],[Scrapped]]&gt;0,tblProduction[[#This Row],[Net scrap cost]]/(tblProduction[[#This Row],[Produced]]-tblProduction[[#This Row],[Scrapped]]),""))</calculatedColumnFormula>
    </tableColumn>
    <tableColumn id="12" name="View date">
      <calculatedColumnFormula>IF(tblProduction[[#This Row],[Date]]="","",IF(AND(tblProduction[[#This Row],[Date]]&gt;=FFrom,tblProduction[[#This Row],[Date]]&lt;=FTo,OR(DashPart="",tblProduction[[#This Row],[Part]]=DashPart)),tblProduction[[#This Row],[Date]],""))</calculatedColumnFormula>
    </tableColumn>
    <tableColumn id="13" name="Check">
      <calculatedColumnFormula>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calculatedColumnFormula>
    </tableColumn>
    <tableColumn id="14" name="Notes"/>
  </tableColumns>
  <tableStyleInfo name="TableStyleLight1" showFirstColumn="0" showLastColumn="0" showRowStripes="0" showColumnStripes="0"/>
</table>
</file>

<file path=xl/tables/table7.xml><?xml version="1.0" encoding="utf-8"?>
<table xmlns="http://schemas.openxmlformats.org/spreadsheetml/2006/main" id="7" name="tblVerifyReasons" displayName="tblVerifyReasons" ref="B42:C44" totalsRowShown="0">
  <tableColumns count="2">
    <tableColumn id="1" name="Reason"/>
    <tableColumn id="2" name="Definition"/>
  </tableColumns>
  <tableStyleInfo name="TableStyleLight1" showFirstColumn="0" showLastColumn="0" showRowStripes="0" showColumnStripes="0"/>
</table>
</file>

<file path=xl/tables/table8.xml><?xml version="1.0" encoding="utf-8"?>
<table xmlns="http://schemas.openxmlformats.org/spreadsheetml/2006/main" id="8" name="tblVerifyStageCosts" displayName="tblVerifyStageCosts" ref="B48:D50" totalsRowShown="0">
  <tableColumns count="3">
    <tableColumn id="1" name="Part"/>
    <tableColumn id="2" name="Operation"/>
    <tableColumn id="3" name="Conversion to date"/>
  </tableColumns>
  <tableStyleInfo name="TableStyleLight1" showFirstColumn="0" showLastColumn="0" showRowStripes="0" showColumnStripes="0"/>
</table>
</file>

<file path=xl/tables/table9.xml><?xml version="1.0" encoding="utf-8"?>
<table xmlns="http://schemas.openxmlformats.org/spreadsheetml/2006/main" id="9" name="tblVerifyScrap" displayName="tblVerifyScrap" ref="B54:R57" totalsRowShown="0">
  <tableColumns count="17">
    <tableColumn id="1" name="Date"/>
    <tableColumn id="2" name="Part"/>
    <tableColumn id="3" name="Operation"/>
    <tableColumn id="4" name="Reason"/>
    <tableColumn id="5" name="Scrapped"/>
    <tableColumn id="6" name="Material"/>
    <tableColumn id="7" name="Conversion to date">
      <calculatedColumnFormula>IF(tblVerifyScrap[[#This Row],[Date]]="","",SUMIFS(tblVerifyStageCosts[Conversion to date],tblVerifyStageCosts[Part],tblVerifyScrap[[#This Row],[Part]],tblVerifyStageCosts[Operation],tblVerifyScrap[[#This Row],[Operation]]))</calculatedColumnFormula>
    </tableColumn>
    <tableColumn id="8" name="Mass"/>
    <tableColumn id="9" name="Scrap mass">
      <calculatedColumnFormula>IF(tblVerifyScrap[[#This Row],[Date]]="","",IF(tblVerifyScrap[[#This Row],[Mass]]="","",tblVerifyScrap[[#This Row],[Scrapped]]*tblVerifyScrap[[#This Row],[Mass]]))</calculatedColumnFormula>
    </tableColumn>
    <tableColumn id="10" name="Material write-off">
      <calculatedColumnFormula>IF(tblVerifyScrap[[#This Row],[Date]]="","",IF(tblVerifyScrap[[#This Row],[Material]]="","",tblVerifyScrap[[#This Row],[Scrapped]]*tblVerifyScrap[[#This Row],[Material]]))</calculatedColumnFormula>
    </tableColumn>
    <tableColumn id="11" name="Conversion write-off">
      <calculatedColumnFormula>IF(tblVerifyScrap[[#This Row],[Date]]="","",tblVerifyScrap[[#This Row],[Scrapped]]*tblVerifyScrap[[#This Row],[Conversion to date]])</calculatedColumnFormula>
    </tableColumn>
    <tableColumn id="12" name="Disposal">
      <calculatedColumnFormula>IF(tblVerifyScrap[[#This Row],[Date]]="","",IF(tblVerifyScrap[[#This Row],[Mass]]="","",tblVerifyScrap[[#This Row],[Scrap mass]]*$E$39))</calculatedColumnFormula>
    </tableColumn>
    <tableColumn id="13" name="Recovery credit">
      <calculatedColumnFormula>IF(tblVerifyScrap[[#This Row],[Date]]="","",IF(tblVerifyScrap[[#This Row],[Mass]]="","",tblVerifyScrap[[#This Row],[Scrap mass]]*$E$38))</calculatedColumnFormula>
    </tableColumn>
    <tableColumn id="14" name="Net scrap cost">
      <calculatedColumnFormula>IF(tblVerifyScrap[[#This Row],[Date]]="","",IF(tblVerifyScrap[[#This Row],[Material]]="","",tblVerifyScrap[[#This Row],[Material write-off]]+tblVerifyScrap[[#This Row],[Conversion write-off]]+tblVerifyScrap[[#This Row],[Disposal]]-tblVerifyScrap[[#This Row],[Recovery credit]]))</calculatedColumnFormula>
    </tableColumn>
    <tableColumn id="15" name="View date">
      <calculatedColumnFormula>IF(tblVerifyScrap[[#This Row],[Date]]="","",IF(AND(tblVerifyScrap[[#This Row],[Date]]&gt;=$E$33,tblVerifyScrap[[#This Row],[Date]]&lt;=$E$34,OR($E$35="",tblVerifyScrap[[#This Row],[Part]]=$E$35)),tblVerifyScrap[[#This Row],[Date]],""))</calculatedColumnFormula>
    </tableColumn>
    <tableColumn id="16" name="Check">
      <calculatedColumnFormula>IF(tblVerifyScrap[[#This Row],[Date]]="","",IF(tblVerifyScrap[[#This Row],[Part]]="","Missing part",IF(tblVerifyScrap[[#This Row],[Operation]]="","Missing operation",IF(tblVerifyScrap[[#This Row],[Reason]]="","Missing reason",IF(tblVerifyScrap[[#This Row],[Scrapped]]="","Missing scrapped",IF(tblVerifyScrap[[#This Row],[Material]]="","Part not on Setup list",IF(COUNTIF(tblVerifyReasons[Reason],tblVerifyScrap[[#This Row],[Reason]])=0,"Reason not on Setup list",IF(COUNTIFS(tblVerifyStageCosts[Part],tblVerifyScrap[[#This Row],[Part]],tblVerifyStageCosts[Operation],tblVerifyScrap[[#This Row],[Operation]])=0,"No cost for this part at this operation",IF(COUNTIFS(tblVerifyStageCosts[Part],tblVerifyScrap[[#This Row],[Part]],tblVerifyStageCosts[Operation],tblVerifyScrap[[#This Row],[Operation]])&gt;1,"Two cost rows for this part and operation",IF(COUNTIFS(tblVerifyProduction[Date],tblVerifyScrap[[#This Row],[Date]],tblVerifyProduction[Part],tblVerifyScrap[[#This Row],[Part]])=0,"No Production Log row for this date and part","OK"))))))))))</calculatedColumnFormula>
    </tableColumn>
    <tableColumn id="17" name="Notes"/>
  </tableColumns>
  <tableStyleInfo name="TableStyleLight1" showFirstColumn="0" showLastColumn="0" showRowStripes="0" showColumnStripes="0"/>
</table>
</file>

<file path=xl/tables/table10.xml><?xml version="1.0" encoding="utf-8"?>
<table xmlns="http://schemas.openxmlformats.org/spreadsheetml/2006/main" id="10" name="tblVerifyProduction" displayName="tblVerifyProduction" ref="B61:O64" totalsRowShown="0">
  <tableColumns count="14">
    <tableColumn id="1" name="Date"/>
    <tableColumn id="2" name="Part"/>
    <tableColumn id="3" name="Produced"/>
    <tableColumn id="4" name="Standard cost"/>
    <tableColumn id="5" name="Production value">
      <calculatedColumnFormula>IF(tblVerifyProduction[[#This Row],[Date]]="","",IF(tblVerifyProduction[[#This Row],[Standard cost]]="","",tblVerifyProduction[[#This Row],[Produced]]*tblVerifyProduction[[#This Row],[Standard cost]]))</calculatedColumnFormula>
    </tableColumn>
    <tableColumn id="6" name="Scrapped">
      <calculatedColumnFormula>IF(tblVerifyProduction[[#This Row],[Date]]="","",SUMIFS(tblVerifyScrap[Scrapped],tblVerifyScrap[Date],tblVerifyProduction[[#This Row],[Date]],tblVerifyScrap[Part],tblVerifyProduction[[#This Row],[Part]]))</calculatedColumnFormula>
    </tableColumn>
    <tableColumn id="7" name="Net scrap cost">
      <calculatedColumnFormula>IF(tblVerifyProduction[[#This Row],[Date]]="","",SUMIFS(tblVerifyScrap[Net scrap cost],tblVerifyScrap[Date],tblVerifyProduction[[#This Row],[Date]],tblVerifyScrap[Part],tblVerifyProduction[[#This Row],[Part]]))</calculatedColumnFormula>
    </tableColumn>
    <tableColumn id="8" name="Scrap rate">
      <calculatedColumnFormula>IF(tblVerifyProduction[[#This Row],[Date]]="","",IF(tblVerifyProduction[[#This Row],[Produced]]&gt;0,tblVerifyProduction[[#This Row],[Scrapped]]/tblVerifyProduction[[#This Row],[Produced]],""))</calculatedColumnFormula>
    </tableColumn>
    <tableColumn id="9" name="Rate status">
      <calculatedColumnFormula>IF(NOT(ISNUMBER(tblVerifyProduction[[#This Row],[Scrap rate]])),"",IF(tblVerifyProduction[[#This Row],[Scrap rate]]&lt;=$E$36,"On target",IF(tblVerifyProduction[[#This Row],[Scrap rate]]&lt;=$E$36*(1+0.05),"Near target","Above target")))</calculatedColumnFormula>
    </tableColumn>
    <tableColumn id="10" name="Scrap cost share">
      <calculatedColumnFormula>IF(tblVerifyProduction[[#This Row],[Date]]="","",IF(N(tblVerifyProduction[[#This Row],[Production value]])&gt;0,tblVerifyProduction[[#This Row],[Net scrap cost]]/tblVerifyProduction[[#This Row],[Production value]],""))</calculatedColumnFormula>
    </tableColumn>
    <tableColumn id="11" name="Scrap cost per good unit">
      <calculatedColumnFormula>IF(tblVerifyProduction[[#This Row],[Date]]="","",IF(tblVerifyProduction[[#This Row],[Produced]]-tblVerifyProduction[[#This Row],[Scrapped]]&gt;0,tblVerifyProduction[[#This Row],[Net scrap cost]]/(tblVerifyProduction[[#This Row],[Produced]]-tblVerifyProduction[[#This Row],[Scrapped]]),""))</calculatedColumnFormula>
    </tableColumn>
    <tableColumn id="12" name="View date">
      <calculatedColumnFormula>IF(tblVerifyProduction[[#This Row],[Date]]="","",IF(AND(tblVerifyProduction[[#This Row],[Date]]&gt;=$E$33,tblVerifyProduction[[#This Row],[Date]]&lt;=$E$34,OR($E$35="",tblVerifyProduction[[#This Row],[Part]]=$E$35)),tblVerifyProduction[[#This Row],[Date]],""))</calculatedColumnFormula>
    </tableColumn>
    <tableColumn id="13" name="Check">
      <calculatedColumnFormula>IF(tblVerifyProduction[[#This Row],[Date]]="","",IF(tblVerifyProduction[[#This Row],[Part]]="","Missing part",IF(tblVerifyProduction[[#This Row],[Produced]]="","Missing produced",IF(tblVerifyProduction[[#This Row],[Standard cost]]="","Part not on Setup list",IF(tblVerifyProduction[[#This Row],[Scrapped]]&gt;tblVerifyProduction[[#This Row],[Produced]],"Scrapped &gt; produced",IF(COUNTIFS(tblVerifyProduction[Date],tblVerifyProduction[[#This Row],[Date]],tblVerifyProduction[Part],tblVerifyProduction[[#This Row],[Part]])&gt;1,"Duplicate row for this date and part","OK"))))))</calculatedColumnFormula>
    </tableColumn>
    <tableColumn id="14"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crap-cost-tracker" TargetMode="External"/><Relationship Id="rId2" Type="http://schemas.openxmlformats.org/officeDocument/2006/relationships/hyperlink" Target="https://www.mfgcalcs.com/calculators/quality-inspection-metrology/scrap-cost?utm_source=mfgcalcs-template&amp;utm_medium=xlsx&amp;utm_campaign=scrap-cost-tracker" TargetMode="External"/><Relationship Id="rId3" Type="http://schemas.openxmlformats.org/officeDocument/2006/relationships/hyperlink" Target="https://www.mfgcalcs.com/templates/scrap-cost-tracker?utm_source=mfgcalcs-template&amp;utm_medium=xlsx&amp;utm_campaign=scrap-cost-tracker" TargetMode="External"/><Relationship Id="rId4" Type="http://schemas.openxmlformats.org/officeDocument/2006/relationships/hyperlink" Target="https://www.mfgcalcs.com/templates?utm_source=mfgcalcs-template&amp;utm_medium=xlsx&amp;utm_campaign=scrap-cost-tracker"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crap-cost-tracker"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 Id="rId5"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crap-cost-tracker" TargetMode="External"/><Relationship Id="rId2" Type="http://schemas.openxmlformats.org/officeDocument/2006/relationships/table" Target="../tables/table5.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crap-cost-tracker" TargetMode="External"/><Relationship Id="rId2" Type="http://schemas.openxmlformats.org/officeDocument/2006/relationships/table" Target="../tables/table6.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crap-cost-tracker"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crap-cost-tracker" TargetMode="External"/><Relationship Id="rId2" Type="http://schemas.openxmlformats.org/officeDocument/2006/relationships/hyperlink" Target="https://www.mfgcalcs.com/calculators/quality-inspection-metrology/scrap-cost?utm_source=mfgcalcs-template&amp;utm_medium=xlsx&amp;utm_campaign=scrap-cost-tracker"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scrap-cost-tracker" TargetMode="External"/><Relationship Id="rId2" Type="http://schemas.openxmlformats.org/officeDocument/2006/relationships/table" Target="../tables/table7.xml"/><Relationship Id="rId3" Type="http://schemas.openxmlformats.org/officeDocument/2006/relationships/table" Target="../tables/table8.xml"/><Relationship Id="rId4" Type="http://schemas.openxmlformats.org/officeDocument/2006/relationships/table" Target="../tables/table9.xml"/><Relationship Id="rId5"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15.2"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29.4"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16.2"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17 of 17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Scrap Log'!A1" tooltip="Go to Scrap Log" display="Scrap Log"/>
    <hyperlink ref="C23" location="'Production Log'!A1" tooltip="Go to Production Log" display="Production Log"/>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Scrap Cost Tracker&amp;R&amp;8&amp;A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F67"/>
  <sheetViews>
    <sheetView showGridLines="0" workbookViewId="0"/>
  </sheetViews>
  <sheetFormatPr defaultRowHeight="15"/>
  <cols>
    <col min="1" max="1" width="2.7109375" customWidth="1"/>
    <col min="2" max="2" width="22.7109375" customWidth="1"/>
    <col min="3" max="3" width="36.7109375" customWidth="1"/>
    <col min="4" max="4" width="12.7109375" customWidth="1"/>
    <col min="5" max="6" width="13.7109375" customWidth="1"/>
  </cols>
  <sheetData>
    <row r="1" spans="1:6" ht="30" customHeight="1">
      <c r="A1" s="1" t="s">
        <v>0</v>
      </c>
      <c r="B1" s="1"/>
      <c r="C1" s="1"/>
      <c r="D1" s="1"/>
      <c r="E1" s="1"/>
      <c r="F1" s="1"/>
    </row>
    <row r="2" spans="1:6" ht="21" customHeight="1">
      <c r="B2" s="2" t="s">
        <v>20</v>
      </c>
      <c r="C2" s="2"/>
      <c r="D2" s="2"/>
      <c r="E2" s="2"/>
      <c r="F2" s="3" t="s">
        <v>2</v>
      </c>
    </row>
    <row r="3" spans="1:6" ht="6" customHeight="1"/>
    <row r="4" spans="1:6" ht="21" customHeight="1">
      <c r="B4" s="8" t="s">
        <v>73</v>
      </c>
      <c r="C4" s="8"/>
      <c r="D4" s="8"/>
      <c r="E4" s="8"/>
      <c r="F4" s="8"/>
    </row>
    <row r="5" spans="1:6" ht="5" customHeight="1"/>
    <row r="6" spans="1:6">
      <c r="B6" s="27" t="s">
        <v>74</v>
      </c>
      <c r="C6" s="27"/>
      <c r="D6" s="28" t="s">
        <v>75</v>
      </c>
      <c r="E6" s="28"/>
    </row>
    <row r="7" spans="1:6">
      <c r="B7" s="27" t="s">
        <v>76</v>
      </c>
      <c r="C7" s="27"/>
      <c r="D7" s="28" t="s">
        <v>77</v>
      </c>
      <c r="E7" s="28"/>
    </row>
    <row r="8" spans="1:6">
      <c r="B8" s="27" t="s">
        <v>78</v>
      </c>
      <c r="C8" s="27"/>
      <c r="D8" s="29">
        <v>0.02</v>
      </c>
      <c r="E8" s="7"/>
    </row>
    <row r="9" spans="1:6">
      <c r="B9" s="27" t="s">
        <v>79</v>
      </c>
      <c r="C9" s="27"/>
      <c r="D9" s="29">
        <v>0.01</v>
      </c>
      <c r="E9" s="7"/>
    </row>
    <row r="10" spans="1:6">
      <c r="B10" s="27" t="s">
        <v>80</v>
      </c>
      <c r="C10" s="27"/>
      <c r="D10" s="30">
        <v>1.4</v>
      </c>
      <c r="E10" s="7" t="str">
        <f>Currency&amp;"/kg"</f>
        <v>USD/kg</v>
      </c>
    </row>
    <row r="11" spans="1:6">
      <c r="B11" s="27" t="s">
        <v>81</v>
      </c>
      <c r="C11" s="27"/>
      <c r="D11" s="30">
        <v>0.05</v>
      </c>
      <c r="E11" s="7" t="str">
        <f>Currency&amp;"/kg"</f>
        <v>USD/kg</v>
      </c>
    </row>
    <row r="13" spans="1:6" ht="48.6" customHeight="1">
      <c r="B13" s="25" t="s">
        <v>82</v>
      </c>
      <c r="C13" s="25"/>
      <c r="D13" s="25"/>
      <c r="E13" s="25"/>
      <c r="F13" s="25"/>
    </row>
    <row r="15" spans="1:6" ht="21" customHeight="1">
      <c r="B15" s="8" t="s">
        <v>83</v>
      </c>
      <c r="C15" s="8"/>
      <c r="D15" s="8"/>
      <c r="E15" s="8"/>
      <c r="F15" s="8"/>
    </row>
    <row r="16" spans="1:6" ht="5" customHeight="1"/>
    <row r="17" spans="2:6" ht="26.76" customHeight="1">
      <c r="B17" s="21" t="s">
        <v>84</v>
      </c>
      <c r="C17" s="21"/>
      <c r="D17" s="21"/>
      <c r="E17" s="21"/>
      <c r="F17" s="21"/>
    </row>
    <row r="18" spans="2:6">
      <c r="B18" s="31" t="s">
        <v>85</v>
      </c>
      <c r="C18" s="31"/>
      <c r="D18" s="31"/>
      <c r="E18" s="31"/>
      <c r="F18" s="31"/>
    </row>
    <row r="19" spans="2:6" ht="14" customHeight="1">
      <c r="B19" s="32"/>
      <c r="C19" s="32"/>
      <c r="D19" s="32" t="s">
        <v>86</v>
      </c>
      <c r="E19" s="32" t="str">
        <f>Currency&amp;"/unit"</f>
        <v>USD/unit</v>
      </c>
      <c r="F19" s="32" t="str">
        <f>Currency&amp;"/unit"</f>
        <v>USD/unit</v>
      </c>
    </row>
    <row r="20" spans="2:6" ht="20" customHeight="1">
      <c r="B20" s="33" t="s">
        <v>64</v>
      </c>
      <c r="C20" s="33" t="s">
        <v>65</v>
      </c>
      <c r="D20" s="33" t="s">
        <v>66</v>
      </c>
      <c r="E20" s="33" t="s">
        <v>67</v>
      </c>
      <c r="F20" s="33" t="s">
        <v>68</v>
      </c>
    </row>
    <row r="21" spans="2:6">
      <c r="B21" s="28" t="s">
        <v>87</v>
      </c>
      <c r="C21" s="28" t="s">
        <v>88</v>
      </c>
      <c r="D21" s="34">
        <v>1.85</v>
      </c>
      <c r="E21" s="30">
        <v>6.1</v>
      </c>
      <c r="F21" s="30">
        <v>19</v>
      </c>
    </row>
    <row r="22" spans="2:6">
      <c r="B22" s="28" t="s">
        <v>89</v>
      </c>
      <c r="C22" s="28" t="s">
        <v>90</v>
      </c>
      <c r="D22" s="34">
        <v>2.6</v>
      </c>
      <c r="E22" s="30">
        <v>8.6</v>
      </c>
      <c r="F22" s="30">
        <v>26</v>
      </c>
    </row>
    <row r="23" spans="2:6">
      <c r="B23" s="28" t="s">
        <v>91</v>
      </c>
      <c r="C23" s="28" t="s">
        <v>92</v>
      </c>
      <c r="D23" s="34">
        <v>0.62</v>
      </c>
      <c r="E23" s="30">
        <v>2.05</v>
      </c>
      <c r="F23" s="30">
        <v>5.35</v>
      </c>
    </row>
    <row r="24" spans="2:6">
      <c r="B24" s="28" t="s">
        <v>93</v>
      </c>
      <c r="C24" s="28" t="s">
        <v>94</v>
      </c>
      <c r="D24" s="34">
        <v>1.1</v>
      </c>
      <c r="E24" s="30">
        <v>3.65</v>
      </c>
      <c r="F24" s="30">
        <v>11.35</v>
      </c>
    </row>
    <row r="26" spans="2:6">
      <c r="B26" s="31" t="s">
        <v>95</v>
      </c>
      <c r="C26" s="31"/>
    </row>
    <row r="27" spans="2:6" ht="20" customHeight="1">
      <c r="B27" s="33" t="s">
        <v>69</v>
      </c>
      <c r="C27" s="33" t="s">
        <v>65</v>
      </c>
    </row>
    <row r="28" spans="2:6">
      <c r="B28" s="28" t="s">
        <v>96</v>
      </c>
      <c r="C28" s="28" t="s">
        <v>97</v>
      </c>
    </row>
    <row r="29" spans="2:6">
      <c r="B29" s="28" t="s">
        <v>98</v>
      </c>
      <c r="C29" s="28" t="s">
        <v>99</v>
      </c>
    </row>
    <row r="30" spans="2:6">
      <c r="B30" s="28" t="s">
        <v>100</v>
      </c>
      <c r="C30" s="28" t="s">
        <v>101</v>
      </c>
    </row>
    <row r="31" spans="2:6">
      <c r="B31" s="28" t="s">
        <v>102</v>
      </c>
      <c r="C31" s="28" t="s">
        <v>103</v>
      </c>
    </row>
    <row r="32" spans="2:6">
      <c r="B32" s="28" t="s">
        <v>104</v>
      </c>
      <c r="C32" s="28" t="s">
        <v>105</v>
      </c>
    </row>
    <row r="34" spans="2:4">
      <c r="B34" s="31" t="s">
        <v>106</v>
      </c>
      <c r="C34" s="31"/>
      <c r="D34" s="31"/>
    </row>
    <row r="35" spans="2:4" ht="29.76" customHeight="1">
      <c r="B35" s="35" t="s">
        <v>107</v>
      </c>
      <c r="C35" s="35"/>
      <c r="D35" s="35"/>
    </row>
    <row r="36" spans="2:4" ht="14" customHeight="1">
      <c r="B36" s="32"/>
      <c r="C36" s="32"/>
      <c r="D36" s="32" t="str">
        <f>Currency&amp;"/unit"</f>
        <v>USD/unit</v>
      </c>
    </row>
    <row r="37" spans="2:4" ht="32" customHeight="1">
      <c r="B37" s="33" t="s">
        <v>64</v>
      </c>
      <c r="C37" s="33" t="s">
        <v>69</v>
      </c>
      <c r="D37" s="33" t="s">
        <v>70</v>
      </c>
    </row>
    <row r="38" spans="2:4">
      <c r="B38" s="28" t="s">
        <v>87</v>
      </c>
      <c r="C38" s="28" t="s">
        <v>96</v>
      </c>
      <c r="D38" s="30">
        <v>4.2</v>
      </c>
    </row>
    <row r="39" spans="2:4">
      <c r="B39" s="28" t="s">
        <v>87</v>
      </c>
      <c r="C39" s="28" t="s">
        <v>98</v>
      </c>
      <c r="D39" s="30">
        <v>5.1</v>
      </c>
    </row>
    <row r="40" spans="2:4">
      <c r="B40" s="28" t="s">
        <v>87</v>
      </c>
      <c r="C40" s="28" t="s">
        <v>100</v>
      </c>
      <c r="D40" s="30">
        <v>11.6</v>
      </c>
    </row>
    <row r="41" spans="2:4">
      <c r="B41" s="28" t="s">
        <v>87</v>
      </c>
      <c r="C41" s="28" t="s">
        <v>102</v>
      </c>
      <c r="D41" s="30">
        <v>12.4</v>
      </c>
    </row>
    <row r="42" spans="2:4">
      <c r="B42" s="28" t="s">
        <v>87</v>
      </c>
      <c r="C42" s="28" t="s">
        <v>104</v>
      </c>
      <c r="D42" s="30">
        <v>12.9</v>
      </c>
    </row>
    <row r="43" spans="2:4">
      <c r="B43" s="28" t="s">
        <v>89</v>
      </c>
      <c r="C43" s="28" t="s">
        <v>96</v>
      </c>
      <c r="D43" s="30">
        <v>5.4</v>
      </c>
    </row>
    <row r="44" spans="2:4">
      <c r="B44" s="28" t="s">
        <v>89</v>
      </c>
      <c r="C44" s="28" t="s">
        <v>98</v>
      </c>
      <c r="D44" s="30">
        <v>6.5</v>
      </c>
    </row>
    <row r="45" spans="2:4">
      <c r="B45" s="28" t="s">
        <v>89</v>
      </c>
      <c r="C45" s="28" t="s">
        <v>100</v>
      </c>
      <c r="D45" s="30">
        <v>15.8</v>
      </c>
    </row>
    <row r="46" spans="2:4">
      <c r="B46" s="28" t="s">
        <v>89</v>
      </c>
      <c r="C46" s="28" t="s">
        <v>102</v>
      </c>
      <c r="D46" s="30">
        <v>16.9</v>
      </c>
    </row>
    <row r="47" spans="2:4">
      <c r="B47" s="28" t="s">
        <v>89</v>
      </c>
      <c r="C47" s="28" t="s">
        <v>104</v>
      </c>
      <c r="D47" s="30">
        <v>17.4</v>
      </c>
    </row>
    <row r="48" spans="2:4">
      <c r="B48" s="28" t="s">
        <v>91</v>
      </c>
      <c r="C48" s="28" t="s">
        <v>96</v>
      </c>
      <c r="D48" s="30">
        <v>1.3</v>
      </c>
    </row>
    <row r="49" spans="2:4">
      <c r="B49" s="28" t="s">
        <v>91</v>
      </c>
      <c r="C49" s="28" t="s">
        <v>98</v>
      </c>
      <c r="D49" s="30">
        <v>1.7</v>
      </c>
    </row>
    <row r="50" spans="2:4">
      <c r="B50" s="28" t="s">
        <v>91</v>
      </c>
      <c r="C50" s="28" t="s">
        <v>100</v>
      </c>
      <c r="D50" s="30">
        <v>3.1</v>
      </c>
    </row>
    <row r="51" spans="2:4">
      <c r="B51" s="28" t="s">
        <v>91</v>
      </c>
      <c r="C51" s="28" t="s">
        <v>104</v>
      </c>
      <c r="D51" s="30">
        <v>3.3</v>
      </c>
    </row>
    <row r="52" spans="2:4">
      <c r="B52" s="28" t="s">
        <v>93</v>
      </c>
      <c r="C52" s="28" t="s">
        <v>96</v>
      </c>
      <c r="D52" s="30">
        <v>2.6</v>
      </c>
    </row>
    <row r="53" spans="2:4">
      <c r="B53" s="28" t="s">
        <v>93</v>
      </c>
      <c r="C53" s="28" t="s">
        <v>98</v>
      </c>
      <c r="D53" s="30">
        <v>3.2</v>
      </c>
    </row>
    <row r="54" spans="2:4">
      <c r="B54" s="28" t="s">
        <v>93</v>
      </c>
      <c r="C54" s="28" t="s">
        <v>100</v>
      </c>
      <c r="D54" s="30">
        <v>6.9</v>
      </c>
    </row>
    <row r="55" spans="2:4">
      <c r="B55" s="28" t="s">
        <v>93</v>
      </c>
      <c r="C55" s="28" t="s">
        <v>102</v>
      </c>
      <c r="D55" s="30">
        <v>7.4</v>
      </c>
    </row>
    <row r="56" spans="2:4">
      <c r="B56" s="28" t="s">
        <v>93</v>
      </c>
      <c r="C56" s="28" t="s">
        <v>104</v>
      </c>
      <c r="D56" s="30">
        <v>7.7</v>
      </c>
    </row>
    <row r="58" spans="2:4">
      <c r="B58" s="31" t="s">
        <v>108</v>
      </c>
      <c r="C58" s="31"/>
    </row>
    <row r="59" spans="2:4" ht="20" customHeight="1">
      <c r="B59" s="33" t="s">
        <v>71</v>
      </c>
      <c r="C59" s="33" t="s">
        <v>72</v>
      </c>
    </row>
    <row r="60" spans="2:4">
      <c r="B60" s="28" t="s">
        <v>109</v>
      </c>
      <c r="C60" s="28" t="s">
        <v>110</v>
      </c>
    </row>
    <row r="61" spans="2:4">
      <c r="B61" s="28" t="s">
        <v>111</v>
      </c>
      <c r="C61" s="28" t="s">
        <v>112</v>
      </c>
    </row>
    <row r="62" spans="2:4">
      <c r="B62" s="28" t="s">
        <v>113</v>
      </c>
      <c r="C62" s="28" t="s">
        <v>114</v>
      </c>
    </row>
    <row r="63" spans="2:4">
      <c r="B63" s="28" t="s">
        <v>115</v>
      </c>
      <c r="C63" s="28" t="s">
        <v>116</v>
      </c>
    </row>
    <row r="64" spans="2:4">
      <c r="B64" s="28" t="s">
        <v>117</v>
      </c>
      <c r="C64" s="28" t="s">
        <v>118</v>
      </c>
    </row>
    <row r="65" spans="2:3">
      <c r="B65" s="28" t="s">
        <v>119</v>
      </c>
      <c r="C65" s="28" t="s">
        <v>120</v>
      </c>
    </row>
    <row r="66" spans="2:3">
      <c r="B66" s="28" t="s">
        <v>121</v>
      </c>
      <c r="C66" s="28" t="s">
        <v>122</v>
      </c>
    </row>
    <row r="67" spans="2:3">
      <c r="B67" s="28" t="s">
        <v>123</v>
      </c>
      <c r="C67" s="28" t="s">
        <v>124</v>
      </c>
    </row>
  </sheetData>
  <mergeCells count="19">
    <mergeCell ref="A1:F1"/>
    <mergeCell ref="B2:E2"/>
    <mergeCell ref="B4:F4"/>
    <mergeCell ref="B6:C6"/>
    <mergeCell ref="D6:E6"/>
    <mergeCell ref="B7:C7"/>
    <mergeCell ref="D7:E7"/>
    <mergeCell ref="B8:C8"/>
    <mergeCell ref="B9:C9"/>
    <mergeCell ref="B10:C10"/>
    <mergeCell ref="B11:C11"/>
    <mergeCell ref="B13:F13"/>
    <mergeCell ref="B15:F15"/>
    <mergeCell ref="B17:F17"/>
    <mergeCell ref="B18:F18"/>
    <mergeCell ref="B26:C26"/>
    <mergeCell ref="B34:D34"/>
    <mergeCell ref="B35:D35"/>
    <mergeCell ref="B58:C58"/>
  </mergeCells>
  <dataValidations count="18">
    <dataValidation type="textLength" allowBlank="1" showInputMessage="1" showErrorMessage="1" errorTitle="Check this entry" error="Text up to 80 characters." promptTitle="Plant or line name" prompt="Shown on the Dashboard header. Text up to 80 characters." sqref="D6">
      <formula1>0</formula1>
      <formula2>80</formula2>
    </dataValidation>
    <dataValidation type="textLength" allowBlank="1" showInputMessage="1" showErrorMessage="1" errorTitle="Check this entry" error="Text up to 12 characters." promptTitle="Currency label" prompt="Text shown next to money values, e.g. USD, INR, GBP, EUR, MXN. No exchange rate is applied. Text up to 12 characters." sqref="D7">
      <formula1>0</formula1>
      <formula2>12</formula2>
    </dataValidation>
    <dataValidation type="decimal" allowBlank="1" showInputMessage="1" showErrorMessage="1" errorTitle="Check this entry" error="Enter a percentage from 0% to 100% (type 85% or 0.85)." promptTitle="Scrap rate target (at most)" prompt="Your own limit for scrapped units / units produced. Lower is better. Enter a percentage from 0% to 100% (type 85% or 0.85)." sqref="D8">
      <formula1>0</formula1>
      <formula2>1</formula2>
    </dataValidation>
    <dataValidation type="decimal" allowBlank="1" showInputMessage="1" showErrorMessage="1" errorTitle="Check this entry" error="Enter a percentage from 0% to 100% (type 85% or 0.85)." promptTitle="Scrap cost target (at most, s..." prompt="Your own limit for net scrap cost / production value at standard cost. Lower is better. Enter a percentage from 0% to 100% (type 85% or 0.85)." sqref="D9">
      <formula1>0</formula1>
      <formula2>1</formula2>
    </dataValidation>
    <dataValidation type="decimal" allowBlank="1" showInputMessage="1" showErrorMessage="1" errorTitle="Check this entry" error="Enter a number from 0 to 1,000,000." promptTitle="Recovery credit for scrap" prompt="What one kg of scrapped parts is worth back to you: in-house remelt value or what the scrap merchant pays. 0 if nothing. Enter a number from 0 to 1,000,000." sqref="D10">
      <formula1>0</formula1>
      <formula2>1000000.0</formula2>
    </dataValidation>
    <dataValidation type="decimal" allowBlank="1" showInputMessage="1" showErrorMessage="1" errorTitle="Check this entry" error="Enter a number from 0 to 1,000,000." promptTitle="Disposal charge for scrap" prompt="Haulage, landfill or hazardous-waste fees per kg of scrap. 0 if none. Enter a number from 0 to 1,000,000." sqref="D11">
      <formula1>0</formula1>
      <formula2>1000000.0</formula2>
    </dataValidation>
    <dataValidation type="textLength" allowBlank="1" showInputMessage="1" showErrorMessage="1" errorTitle="Check this entry" error="Text up to 40 characters." promptTitle="Part" prompt="Text up to 40 characters." sqref="B21:B124">
      <formula1>0</formula1>
      <formula2>40</formula2>
    </dataValidation>
    <dataValidation type="textLength" allowBlank="1" showInputMessage="1" showErrorMessage="1" errorTitle="Check this entry" error="Text up to 120 characters." promptTitle="Description" prompt="Text up to 120 characters." sqref="C21:C124">
      <formula1>0</formula1>
      <formula2>120</formula2>
    </dataValidation>
    <dataValidation type="decimal" allowBlank="1" showInputMessage="1" showErrorMessage="1" errorTitle="Check this entry" error="Enter a number from 0 to 100,000." promptTitle="Mass" prompt="Mass of one finished part, used for disposal charges and recovery credits. Enter a number from 0 to 100,000." sqref="D21:D124">
      <formula1>0</formula1>
      <formula2>100000</formula2>
    </dataValidation>
    <dataValidation type="decimal" allowBlank="1" showInputMessage="1" showErrorMessage="1" errorTitle="Check this entry" error="Enter a number from 0 to 10,000,000." promptTitle="Material" prompt="Material cost of one part (alloy, bar, resin or bought-in parts). Enter a number from 0 to 10,000,000." sqref="E21:E124">
      <formula1>0</formula1>
      <formula2>10000000.0</formula2>
    </dataValidation>
    <dataValidation type="decimal" allowBlank="1" showInputMessage="1" showErrorMessage="1" errorTitle="Check this entry" error="Enter a number from 0 to 10,000,000." promptTitle="Standard cost" prompt="Full standard cost of a finished part: material plus all conversion. Values production for the scrap cost share. Enter a number from 0 to 10,000,000." sqref="F21:F124">
      <formula1>0</formula1>
      <formula2>10000000.0</formula2>
    </dataValidation>
    <dataValidation type="textLength" allowBlank="1" showInputMessage="1" showErrorMessage="1" errorTitle="Check this entry" error="Text up to 40 characters." promptTitle="Operation" prompt="Put the step number first (10, 20, 30) so the list reads in process order. Text up to 40 characters." sqref="B28:B132">
      <formula1>0</formula1>
      <formula2>40</formula2>
    </dataValidation>
    <dataValidation type="textLength" allowBlank="1" showInputMessage="1" showErrorMessage="1" errorTitle="Check this entry" error="Text up to 120 characters." promptTitle="Description" prompt="Text up to 120 characters." sqref="C28:C132">
      <formula1>0</formula1>
      <formula2>120</formula2>
    </dataValidation>
    <dataValidation type="list" allowBlank="1" showInputMessage="1" showErrorMessage="1" errorTitle="Check this entry" error="Pick from the list (edit the list on Setup: Parts)." promptTitle="Part" prompt="Pick from the list (edit the list on Setup: Parts)." sqref="B38:B256">
      <formula1>Parts</formula1>
    </dataValidation>
    <dataValidation type="list" allowBlank="1" showInputMessage="1" showErrorMessage="1" errorTitle="Check this entry" error="Pick from the list (edit the list on Setup: Operations)." promptTitle="Operation" prompt="Pick from the list (edit the list on Setup: Operations)." sqref="C38:C256">
      <formula1>Operations</formula1>
    </dataValidation>
    <dataValidation type="decimal" allowBlank="1" showInputMessage="1" showErrorMessage="1" errorTitle="Check this entry" error="Enter a number from 0 to 10,000,000." promptTitle="Conversion to date" prompt="Labour, machine and overhead cost one part has absorbed up to and including this operation, from your routing or cost roll-up. Material is added separately. Enter a number from 0 to 10,000,000." sqref="D38:D256">
      <formula1>0</formula1>
      <formula2>10000000.0</formula2>
    </dataValidation>
    <dataValidation type="textLength" allowBlank="1" showInputMessage="1" showErrorMessage="1" errorTitle="Check this entry" error="Text up to 40 characters." promptTitle="Reason" prompt="Text up to 40 characters." sqref="B60:B167">
      <formula1>0</formula1>
      <formula2>40</formula2>
    </dataValidation>
    <dataValidation type="textLength" allowBlank="1" showInputMessage="1" showErrorMessage="1" errorTitle="Check this entry" error="Text up to 160 characters." promptTitle="Definition" prompt="Text up to 160 characters." sqref="C60:C167">
      <formula1>0</formula1>
      <formula2>160</formula2>
    </dataValidation>
  </dataValidations>
  <hyperlinks>
    <hyperlink ref="F2" r:id="rId1" tooltip="Free manufacturing calculators and templates"/>
  </hyperlinks>
  <pageMargins left="0.4" right="0.4" top="0.7" bottom="0.65" header="0.3" footer="0.3"/>
  <pageSetup fitToHeight="0" orientation="portrait"/>
  <headerFooter>
    <oddHeader>&amp;L&amp;8MFG Calcs - Scrap Cost Tracker&amp;R&amp;8&amp;A</oddHeader>
    <oddFooter>&amp;L&amp;8mfgcalcs.com - free manufacturing templates&amp;R&amp;8Page &amp;P of &amp;N</oddFooter>
  </headerFooter>
  <rowBreaks count="1" manualBreakCount="1">
    <brk id="33" max="16383" man="1"/>
  </rowBreaks>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B64D8"/>
    <pageSetUpPr fitToPage="1"/>
  </sheetPr>
  <dimension ref="A1:R146"/>
  <sheetViews>
    <sheetView workbookViewId="0">
      <pane xSplit="3" ySplit="6" topLeftCell="D7" activePane="bottomRight" state="frozen"/>
      <selection pane="topRight" activeCell="D1" sqref="D1"/>
      <selection pane="bottomLeft" activeCell="A7" sqref="A7"/>
      <selection pane="bottomRight"/>
    </sheetView>
  </sheetViews>
  <sheetFormatPr defaultRowHeight="15" x14ac:dyDescent="0.25"/>
  <cols>
    <col min="1" max="1" width="2.7109375" customWidth="1"/>
    <col min="2" max="2" width="12.28515625" customWidth="1"/>
    <col min="3" max="3" width="15.28515625" customWidth="1"/>
    <col min="4" max="5" width="14.7109375" customWidth="1"/>
    <col min="6" max="6" width="9.7109375" customWidth="1"/>
    <col min="7" max="7" width="10.28515625" customWidth="1"/>
    <col min="8" max="8" width="11.28515625" customWidth="1"/>
    <col min="9" max="9" width="9.28515625" customWidth="1"/>
    <col min="10" max="10" width="9.7109375" customWidth="1"/>
    <col min="11" max="11" width="11.28515625" customWidth="1"/>
    <col min="12" max="12" width="11.7109375" customWidth="1"/>
    <col min="13" max="13" width="10.28515625" customWidth="1"/>
    <col min="14" max="14" width="10.7109375" customWidth="1"/>
    <col min="15" max="15" width="11.7109375" customWidth="1"/>
    <col min="16" max="16" width="12.28515625" customWidth="1"/>
    <col min="17" max="18" width="30.7109375" customWidth="1"/>
  </cols>
  <sheetData>
    <row r="1" spans="1:18" ht="30" customHeight="1" x14ac:dyDescent="0.25">
      <c r="A1" s="1" t="s">
        <v>0</v>
      </c>
      <c r="B1" s="1"/>
      <c r="C1" s="1"/>
      <c r="D1" s="1"/>
      <c r="E1" s="1"/>
      <c r="F1" s="1"/>
      <c r="G1" s="1"/>
      <c r="H1" s="1"/>
      <c r="I1" s="1"/>
      <c r="J1" s="1"/>
      <c r="K1" s="1"/>
      <c r="L1" s="1"/>
      <c r="M1" s="1"/>
      <c r="N1" s="1"/>
      <c r="O1" s="1"/>
      <c r="P1" s="1"/>
      <c r="Q1" s="1"/>
      <c r="R1" s="1"/>
    </row>
    <row r="2" spans="1:18" ht="21" customHeight="1" x14ac:dyDescent="0.25">
      <c r="B2" s="2" t="s">
        <v>22</v>
      </c>
      <c r="C2" s="2"/>
      <c r="D2" s="2"/>
      <c r="E2" s="2"/>
      <c r="F2" s="2"/>
      <c r="G2" s="2"/>
      <c r="H2" s="2"/>
      <c r="I2" s="2"/>
      <c r="J2" s="2"/>
      <c r="K2" s="2"/>
      <c r="L2" s="2"/>
      <c r="M2" s="2"/>
      <c r="N2" s="2"/>
      <c r="O2" s="2"/>
      <c r="P2" s="2"/>
      <c r="Q2" s="2"/>
      <c r="R2" s="3" t="s">
        <v>2</v>
      </c>
    </row>
    <row r="3" spans="1:18" ht="6" customHeight="1" x14ac:dyDescent="0.25"/>
    <row r="4" spans="1:18" ht="18" customHeight="1" x14ac:dyDescent="0.25">
      <c r="B4" s="35" t="s">
        <v>136</v>
      </c>
      <c r="C4" s="35"/>
      <c r="D4" s="35"/>
      <c r="E4" s="35"/>
      <c r="F4" s="35"/>
      <c r="G4" s="35"/>
      <c r="H4" s="35"/>
      <c r="I4" s="35"/>
      <c r="J4" s="35"/>
      <c r="K4" s="35"/>
      <c r="L4" s="35"/>
      <c r="M4" s="35"/>
      <c r="N4" s="35"/>
      <c r="O4" s="35"/>
      <c r="P4" s="35"/>
      <c r="Q4" s="35"/>
      <c r="R4" s="35"/>
    </row>
    <row r="5" spans="1:18" ht="14" customHeight="1" x14ac:dyDescent="0.25">
      <c r="B5" s="32"/>
      <c r="C5" s="32"/>
      <c r="D5" s="32"/>
      <c r="E5" s="32"/>
      <c r="F5" s="32" t="s">
        <v>137</v>
      </c>
      <c r="G5" s="32" t="str">
        <f>Currency&amp;"/unit"</f>
        <v>USD/unit</v>
      </c>
      <c r="H5" s="32" t="str">
        <f>Currency&amp;"/unit"</f>
        <v>USD/unit</v>
      </c>
      <c r="I5" s="32" t="s">
        <v>86</v>
      </c>
      <c r="J5" s="32" t="s">
        <v>138</v>
      </c>
      <c r="K5" s="32" t="str">
        <f>Currency</f>
        <v>USD</v>
      </c>
      <c r="L5" s="32" t="str">
        <f>Currency</f>
        <v>USD</v>
      </c>
      <c r="M5" s="32" t="str">
        <f>Currency</f>
        <v>USD</v>
      </c>
      <c r="N5" s="32" t="str">
        <f>Currency</f>
        <v>USD</v>
      </c>
      <c r="O5" s="32" t="str">
        <f>Currency</f>
        <v>USD</v>
      </c>
      <c r="P5" s="32"/>
      <c r="Q5" s="32"/>
      <c r="R5" s="32"/>
    </row>
    <row r="6" spans="1:18" ht="32" customHeight="1" x14ac:dyDescent="0.25">
      <c r="B6" s="33" t="s">
        <v>125</v>
      </c>
      <c r="C6" s="33" t="s">
        <v>64</v>
      </c>
      <c r="D6" s="33" t="s">
        <v>69</v>
      </c>
      <c r="E6" s="33" t="s">
        <v>71</v>
      </c>
      <c r="F6" s="33" t="s">
        <v>126</v>
      </c>
      <c r="G6" s="33" t="s">
        <v>67</v>
      </c>
      <c r="H6" s="33" t="s">
        <v>70</v>
      </c>
      <c r="I6" s="33" t="s">
        <v>66</v>
      </c>
      <c r="J6" s="33" t="s">
        <v>127</v>
      </c>
      <c r="K6" s="33" t="s">
        <v>128</v>
      </c>
      <c r="L6" s="33" t="s">
        <v>129</v>
      </c>
      <c r="M6" s="33" t="s">
        <v>130</v>
      </c>
      <c r="N6" s="33" t="s">
        <v>131</v>
      </c>
      <c r="O6" s="33" t="s">
        <v>132</v>
      </c>
      <c r="P6" s="33" t="s">
        <v>133</v>
      </c>
      <c r="Q6" s="33" t="s">
        <v>134</v>
      </c>
      <c r="R6" s="33" t="s">
        <v>135</v>
      </c>
    </row>
    <row r="7" spans="1:18" x14ac:dyDescent="0.25">
      <c r="B7" s="36">
        <v>46258</v>
      </c>
      <c r="C7" s="28" t="s">
        <v>89</v>
      </c>
      <c r="D7" s="28" t="s">
        <v>96</v>
      </c>
      <c r="E7" s="28" t="s">
        <v>109</v>
      </c>
      <c r="F7" s="37">
        <v>8</v>
      </c>
      <c r="G7" s="38">
        <f>IF(tblScrap[[#This Row],[Date]]="","",IFERROR(INDEX(tblParts[Material],MATCH(tblScrap[[#This Row],[Part]],tblParts[Part],0)),""))</f>
        <v>8.6</v>
      </c>
      <c r="H7" s="38">
        <f>IF(tblScrap[[#This Row],[Date]]="","",SUMIFS(tblStageCosts[Conversion to date],tblStageCosts[Part],tblScrap[[#This Row],[Part]],tblStageCosts[Operation],tblScrap[[#This Row],[Operation]]))</f>
        <v>5.4</v>
      </c>
      <c r="I7" s="39">
        <f>IF(tblScrap[[#This Row],[Date]]="","",IFERROR(INDEX(tblParts[Mass],MATCH(tblScrap[[#This Row],[Part]],tblParts[Part],0)),""))</f>
        <v>2.6</v>
      </c>
      <c r="J7" s="40">
        <f>IF(tblScrap[[#This Row],[Date]]="","",IF(tblScrap[[#This Row],[Mass]]="","",tblScrap[[#This Row],[Scrapped]]*tblScrap[[#This Row],[Mass]]))</f>
        <v>20.8</v>
      </c>
      <c r="K7" s="38">
        <f>IF(tblScrap[[#This Row],[Date]]="","",IF(tblScrap[[#This Row],[Material]]="","",tblScrap[[#This Row],[Scrapped]]*tblScrap[[#This Row],[Material]]))</f>
        <v>68.8</v>
      </c>
      <c r="L7" s="38">
        <f>IF(tblScrap[[#This Row],[Date]]="","",tblScrap[[#This Row],[Scrapped]]*tblScrap[[#This Row],[Conversion to date]])</f>
        <v>43.2</v>
      </c>
      <c r="M7" s="38">
        <f>IF(tblScrap[[#This Row],[Date]]="","",IF(tblScrap[[#This Row],[Mass]]="","",tblScrap[[#This Row],[Scrap mass]]*DisposalKg))</f>
        <v>1.04</v>
      </c>
      <c r="N7" s="38">
        <f>IF(tblScrap[[#This Row],[Date]]="","",IF(tblScrap[[#This Row],[Mass]]="","",tblScrap[[#This Row],[Scrap mass]]*RecoveryKg))</f>
        <v>29.12</v>
      </c>
      <c r="O7" s="38">
        <f>IF(tblScrap[[#This Row],[Date]]="","",IF(tblScrap[[#This Row],[Material]]="","",tblScrap[[#This Row],[Material write-off]]+tblScrap[[#This Row],[Conversion write-off]]+tblScrap[[#This Row],[Disposal]]-tblScrap[[#This Row],[Recovery credit]]))</f>
        <v>83.92</v>
      </c>
      <c r="P7" s="41">
        <f>IF(tblScrap[[#This Row],[Date]]="","",IF(AND(tblScrap[[#This Row],[Date]]&gt;=FFrom,tblScrap[[#This Row],[Date]]&lt;=FTo,OR(DashPart="",tblScrap[[#This Row],[Part]]=DashPart)),tblScrap[[#This Row],[Date]],""))</f>
        <v>46258</v>
      </c>
      <c r="Q7"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7" s="43" t="s">
        <v>139</v>
      </c>
    </row>
    <row r="8" spans="1:18" x14ac:dyDescent="0.25">
      <c r="B8" s="36">
        <v>46258</v>
      </c>
      <c r="C8" s="28" t="s">
        <v>89</v>
      </c>
      <c r="D8" s="28" t="s">
        <v>102</v>
      </c>
      <c r="E8" s="28" t="s">
        <v>113</v>
      </c>
      <c r="F8" s="37">
        <v>5</v>
      </c>
      <c r="G8" s="38">
        <f>IF(tblScrap[[#This Row],[Date]]="","",IFERROR(INDEX(tblParts[Material],MATCH(tblScrap[[#This Row],[Part]],tblParts[Part],0)),""))</f>
        <v>8.6</v>
      </c>
      <c r="H8" s="38">
        <f>IF(tblScrap[[#This Row],[Date]]="","",SUMIFS(tblStageCosts[Conversion to date],tblStageCosts[Part],tblScrap[[#This Row],[Part]],tblStageCosts[Operation],tblScrap[[#This Row],[Operation]]))</f>
        <v>16.9</v>
      </c>
      <c r="I8" s="39">
        <f>IF(tblScrap[[#This Row],[Date]]="","",IFERROR(INDEX(tblParts[Mass],MATCH(tblScrap[[#This Row],[Part]],tblParts[Part],0)),""))</f>
        <v>2.6</v>
      </c>
      <c r="J8" s="40">
        <f>IF(tblScrap[[#This Row],[Date]]="","",IF(tblScrap[[#This Row],[Mass]]="","",tblScrap[[#This Row],[Scrapped]]*tblScrap[[#This Row],[Mass]]))</f>
        <v>13</v>
      </c>
      <c r="K8" s="38">
        <f>IF(tblScrap[[#This Row],[Date]]="","",IF(tblScrap[[#This Row],[Material]]="","",tblScrap[[#This Row],[Scrapped]]*tblScrap[[#This Row],[Material]]))</f>
        <v>43</v>
      </c>
      <c r="L8" s="38">
        <f>IF(tblScrap[[#This Row],[Date]]="","",tblScrap[[#This Row],[Scrapped]]*tblScrap[[#This Row],[Conversion to date]])</f>
        <v>84.5</v>
      </c>
      <c r="M8" s="38">
        <f>IF(tblScrap[[#This Row],[Date]]="","",IF(tblScrap[[#This Row],[Mass]]="","",tblScrap[[#This Row],[Scrap mass]]*DisposalKg))</f>
        <v>0.65</v>
      </c>
      <c r="N8" s="38">
        <f>IF(tblScrap[[#This Row],[Date]]="","",IF(tblScrap[[#This Row],[Mass]]="","",tblScrap[[#This Row],[Scrap mass]]*RecoveryKg))</f>
        <v>18.2</v>
      </c>
      <c r="O8" s="38">
        <f>IF(tblScrap[[#This Row],[Date]]="","",IF(tblScrap[[#This Row],[Material]]="","",tblScrap[[#This Row],[Material write-off]]+tblScrap[[#This Row],[Conversion write-off]]+tblScrap[[#This Row],[Disposal]]-tblScrap[[#This Row],[Recovery credit]]))</f>
        <v>109.95</v>
      </c>
      <c r="P8" s="41">
        <f>IF(tblScrap[[#This Row],[Date]]="","",IF(AND(tblScrap[[#This Row],[Date]]&gt;=FFrom,tblScrap[[#This Row],[Date]]&lt;=FTo,OR(DashPart="",tblScrap[[#This Row],[Part]]=DashPart)),tblScrap[[#This Row],[Date]],""))</f>
        <v>46258</v>
      </c>
      <c r="Q8"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8" s="43" t="s">
        <v>139</v>
      </c>
    </row>
    <row r="9" spans="1:18" x14ac:dyDescent="0.25">
      <c r="B9" s="36">
        <v>46258</v>
      </c>
      <c r="C9" s="28" t="s">
        <v>91</v>
      </c>
      <c r="D9" s="28" t="s">
        <v>96</v>
      </c>
      <c r="E9" s="28" t="s">
        <v>111</v>
      </c>
      <c r="F9" s="37">
        <v>12</v>
      </c>
      <c r="G9" s="38">
        <f>IF(tblScrap[[#This Row],[Date]]="","",IFERROR(INDEX(tblParts[Material],MATCH(tblScrap[[#This Row],[Part]],tblParts[Part],0)),""))</f>
        <v>2.05</v>
      </c>
      <c r="H9" s="38">
        <f>IF(tblScrap[[#This Row],[Date]]="","",SUMIFS(tblStageCosts[Conversion to date],tblStageCosts[Part],tblScrap[[#This Row],[Part]],tblStageCosts[Operation],tblScrap[[#This Row],[Operation]]))</f>
        <v>1.3</v>
      </c>
      <c r="I9" s="39">
        <f>IF(tblScrap[[#This Row],[Date]]="","",IFERROR(INDEX(tblParts[Mass],MATCH(tblScrap[[#This Row],[Part]],tblParts[Part],0)),""))</f>
        <v>0.62</v>
      </c>
      <c r="J9" s="40">
        <f>IF(tblScrap[[#This Row],[Date]]="","",IF(tblScrap[[#This Row],[Mass]]="","",tblScrap[[#This Row],[Scrapped]]*tblScrap[[#This Row],[Mass]]))</f>
        <v>7.44</v>
      </c>
      <c r="K9" s="38">
        <f>IF(tblScrap[[#This Row],[Date]]="","",IF(tblScrap[[#This Row],[Material]]="","",tblScrap[[#This Row],[Scrapped]]*tblScrap[[#This Row],[Material]]))</f>
        <v>24.6</v>
      </c>
      <c r="L9" s="38">
        <f>IF(tblScrap[[#This Row],[Date]]="","",tblScrap[[#This Row],[Scrapped]]*tblScrap[[#This Row],[Conversion to date]])</f>
        <v>15.6</v>
      </c>
      <c r="M9" s="38">
        <f>IF(tblScrap[[#This Row],[Date]]="","",IF(tblScrap[[#This Row],[Mass]]="","",tblScrap[[#This Row],[Scrap mass]]*DisposalKg))</f>
        <v>0.372</v>
      </c>
      <c r="N9" s="38">
        <f>IF(tblScrap[[#This Row],[Date]]="","",IF(tblScrap[[#This Row],[Mass]]="","",tblScrap[[#This Row],[Scrap mass]]*RecoveryKg))</f>
        <v>10.416</v>
      </c>
      <c r="O9" s="38">
        <f>IF(tblScrap[[#This Row],[Date]]="","",IF(tblScrap[[#This Row],[Material]]="","",tblScrap[[#This Row],[Material write-off]]+tblScrap[[#This Row],[Conversion write-off]]+tblScrap[[#This Row],[Disposal]]-tblScrap[[#This Row],[Recovery credit]]))</f>
        <v>30.156</v>
      </c>
      <c r="P9" s="41">
        <f>IF(tblScrap[[#This Row],[Date]]="","",IF(AND(tblScrap[[#This Row],[Date]]&gt;=FFrom,tblScrap[[#This Row],[Date]]&lt;=FTo,OR(DashPart="",tblScrap[[#This Row],[Part]]=DashPart)),tblScrap[[#This Row],[Date]],""))</f>
        <v>46258</v>
      </c>
      <c r="Q9"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9" s="43" t="s">
        <v>139</v>
      </c>
    </row>
    <row r="10" spans="1:18" x14ac:dyDescent="0.25">
      <c r="B10" s="36">
        <v>46258</v>
      </c>
      <c r="C10" s="28" t="s">
        <v>91</v>
      </c>
      <c r="D10" s="28" t="s">
        <v>100</v>
      </c>
      <c r="E10" s="28" t="s">
        <v>117</v>
      </c>
      <c r="F10" s="37">
        <v>13</v>
      </c>
      <c r="G10" s="38">
        <f>IF(tblScrap[[#This Row],[Date]]="","",IFERROR(INDEX(tblParts[Material],MATCH(tblScrap[[#This Row],[Part]],tblParts[Part],0)),""))</f>
        <v>2.05</v>
      </c>
      <c r="H10" s="38">
        <f>IF(tblScrap[[#This Row],[Date]]="","",SUMIFS(tblStageCosts[Conversion to date],tblStageCosts[Part],tblScrap[[#This Row],[Part]],tblStageCosts[Operation],tblScrap[[#This Row],[Operation]]))</f>
        <v>3.1</v>
      </c>
      <c r="I10" s="39">
        <f>IF(tblScrap[[#This Row],[Date]]="","",IFERROR(INDEX(tblParts[Mass],MATCH(tblScrap[[#This Row],[Part]],tblParts[Part],0)),""))</f>
        <v>0.62</v>
      </c>
      <c r="J10" s="40">
        <f>IF(tblScrap[[#This Row],[Date]]="","",IF(tblScrap[[#This Row],[Mass]]="","",tblScrap[[#This Row],[Scrapped]]*tblScrap[[#This Row],[Mass]]))</f>
        <v>8.06</v>
      </c>
      <c r="K10" s="38">
        <f>IF(tblScrap[[#This Row],[Date]]="","",IF(tblScrap[[#This Row],[Material]]="","",tblScrap[[#This Row],[Scrapped]]*tblScrap[[#This Row],[Material]]))</f>
        <v>26.65</v>
      </c>
      <c r="L10" s="38">
        <f>IF(tblScrap[[#This Row],[Date]]="","",tblScrap[[#This Row],[Scrapped]]*tblScrap[[#This Row],[Conversion to date]])</f>
        <v>40.3</v>
      </c>
      <c r="M10" s="38">
        <f>IF(tblScrap[[#This Row],[Date]]="","",IF(tblScrap[[#This Row],[Mass]]="","",tblScrap[[#This Row],[Scrap mass]]*DisposalKg))</f>
        <v>0.403</v>
      </c>
      <c r="N10" s="38">
        <f>IF(tblScrap[[#This Row],[Date]]="","",IF(tblScrap[[#This Row],[Mass]]="","",tblScrap[[#This Row],[Scrap mass]]*RecoveryKg))</f>
        <v>11.284</v>
      </c>
      <c r="O10" s="38">
        <f>IF(tblScrap[[#This Row],[Date]]="","",IF(tblScrap[[#This Row],[Material]]="","",tblScrap[[#This Row],[Material write-off]]+tblScrap[[#This Row],[Conversion write-off]]+tblScrap[[#This Row],[Disposal]]-tblScrap[[#This Row],[Recovery credit]]))</f>
        <v>56.069</v>
      </c>
      <c r="P10" s="41">
        <f>IF(tblScrap[[#This Row],[Date]]="","",IF(AND(tblScrap[[#This Row],[Date]]&gt;=FFrom,tblScrap[[#This Row],[Date]]&lt;=FTo,OR(DashPart="",tblScrap[[#This Row],[Part]]=DashPart)),tblScrap[[#This Row],[Date]],""))</f>
        <v>46258</v>
      </c>
      <c r="Q10"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0" s="43" t="s">
        <v>139</v>
      </c>
    </row>
    <row r="11" spans="1:18" x14ac:dyDescent="0.25">
      <c r="B11" s="36">
        <v>46258</v>
      </c>
      <c r="C11" s="28" t="s">
        <v>91</v>
      </c>
      <c r="D11" s="28" t="s">
        <v>104</v>
      </c>
      <c r="E11" s="28" t="s">
        <v>121</v>
      </c>
      <c r="F11" s="37">
        <v>4</v>
      </c>
      <c r="G11" s="38">
        <f>IF(tblScrap[[#This Row],[Date]]="","",IFERROR(INDEX(tblParts[Material],MATCH(tblScrap[[#This Row],[Part]],tblParts[Part],0)),""))</f>
        <v>2.05</v>
      </c>
      <c r="H11" s="38">
        <f>IF(tblScrap[[#This Row],[Date]]="","",SUMIFS(tblStageCosts[Conversion to date],tblStageCosts[Part],tblScrap[[#This Row],[Part]],tblStageCosts[Operation],tblScrap[[#This Row],[Operation]]))</f>
        <v>3.3</v>
      </c>
      <c r="I11" s="39">
        <f>IF(tblScrap[[#This Row],[Date]]="","",IFERROR(INDEX(tblParts[Mass],MATCH(tblScrap[[#This Row],[Part]],tblParts[Part],0)),""))</f>
        <v>0.62</v>
      </c>
      <c r="J11" s="40">
        <f>IF(tblScrap[[#This Row],[Date]]="","",IF(tblScrap[[#This Row],[Mass]]="","",tblScrap[[#This Row],[Scrapped]]*tblScrap[[#This Row],[Mass]]))</f>
        <v>2.48</v>
      </c>
      <c r="K11" s="38">
        <f>IF(tblScrap[[#This Row],[Date]]="","",IF(tblScrap[[#This Row],[Material]]="","",tblScrap[[#This Row],[Scrapped]]*tblScrap[[#This Row],[Material]]))</f>
        <v>8.2</v>
      </c>
      <c r="L11" s="38">
        <f>IF(tblScrap[[#This Row],[Date]]="","",tblScrap[[#This Row],[Scrapped]]*tblScrap[[#This Row],[Conversion to date]])</f>
        <v>13.2</v>
      </c>
      <c r="M11" s="38">
        <f>IF(tblScrap[[#This Row],[Date]]="","",IF(tblScrap[[#This Row],[Mass]]="","",tblScrap[[#This Row],[Scrap mass]]*DisposalKg))</f>
        <v>0.124</v>
      </c>
      <c r="N11" s="38">
        <f>IF(tblScrap[[#This Row],[Date]]="","",IF(tblScrap[[#This Row],[Mass]]="","",tblScrap[[#This Row],[Scrap mass]]*RecoveryKg))</f>
        <v>3.472</v>
      </c>
      <c r="O11" s="38">
        <f>IF(tblScrap[[#This Row],[Date]]="","",IF(tblScrap[[#This Row],[Material]]="","",tblScrap[[#This Row],[Material write-off]]+tblScrap[[#This Row],[Conversion write-off]]+tblScrap[[#This Row],[Disposal]]-tblScrap[[#This Row],[Recovery credit]]))</f>
        <v>18.052</v>
      </c>
      <c r="P11" s="41">
        <f>IF(tblScrap[[#This Row],[Date]]="","",IF(AND(tblScrap[[#This Row],[Date]]&gt;=FFrom,tblScrap[[#This Row],[Date]]&lt;=FTo,OR(DashPart="",tblScrap[[#This Row],[Part]]=DashPart)),tblScrap[[#This Row],[Date]],""))</f>
        <v>46258</v>
      </c>
      <c r="Q11"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1" s="43" t="s">
        <v>139</v>
      </c>
    </row>
    <row r="12" spans="1:18" x14ac:dyDescent="0.25">
      <c r="B12" s="36">
        <v>46258</v>
      </c>
      <c r="C12" s="28" t="s">
        <v>93</v>
      </c>
      <c r="D12" s="28" t="s">
        <v>96</v>
      </c>
      <c r="E12" s="28" t="s">
        <v>109</v>
      </c>
      <c r="F12" s="37">
        <v>10</v>
      </c>
      <c r="G12" s="38">
        <f>IF(tblScrap[[#This Row],[Date]]="","",IFERROR(INDEX(tblParts[Material],MATCH(tblScrap[[#This Row],[Part]],tblParts[Part],0)),""))</f>
        <v>3.65</v>
      </c>
      <c r="H12" s="38">
        <f>IF(tblScrap[[#This Row],[Date]]="","",SUMIFS(tblStageCosts[Conversion to date],tblStageCosts[Part],tblScrap[[#This Row],[Part]],tblStageCosts[Operation],tblScrap[[#This Row],[Operation]]))</f>
        <v>2.6</v>
      </c>
      <c r="I12" s="39">
        <f>IF(tblScrap[[#This Row],[Date]]="","",IFERROR(INDEX(tblParts[Mass],MATCH(tblScrap[[#This Row],[Part]],tblParts[Part],0)),""))</f>
        <v>1.1</v>
      </c>
      <c r="J12" s="40">
        <f>IF(tblScrap[[#This Row],[Date]]="","",IF(tblScrap[[#This Row],[Mass]]="","",tblScrap[[#This Row],[Scrapped]]*tblScrap[[#This Row],[Mass]]))</f>
        <v>11</v>
      </c>
      <c r="K12" s="38">
        <f>IF(tblScrap[[#This Row],[Date]]="","",IF(tblScrap[[#This Row],[Material]]="","",tblScrap[[#This Row],[Scrapped]]*tblScrap[[#This Row],[Material]]))</f>
        <v>36.5</v>
      </c>
      <c r="L12" s="38">
        <f>IF(tblScrap[[#This Row],[Date]]="","",tblScrap[[#This Row],[Scrapped]]*tblScrap[[#This Row],[Conversion to date]])</f>
        <v>26</v>
      </c>
      <c r="M12" s="38">
        <f>IF(tblScrap[[#This Row],[Date]]="","",IF(tblScrap[[#This Row],[Mass]]="","",tblScrap[[#This Row],[Scrap mass]]*DisposalKg))</f>
        <v>0.55</v>
      </c>
      <c r="N12" s="38">
        <f>IF(tblScrap[[#This Row],[Date]]="","",IF(tblScrap[[#This Row],[Mass]]="","",tblScrap[[#This Row],[Scrap mass]]*RecoveryKg))</f>
        <v>15.4</v>
      </c>
      <c r="O12" s="38">
        <f>IF(tblScrap[[#This Row],[Date]]="","",IF(tblScrap[[#This Row],[Material]]="","",tblScrap[[#This Row],[Material write-off]]+tblScrap[[#This Row],[Conversion write-off]]+tblScrap[[#This Row],[Disposal]]-tblScrap[[#This Row],[Recovery credit]]))</f>
        <v>47.65</v>
      </c>
      <c r="P12" s="41">
        <f>IF(tblScrap[[#This Row],[Date]]="","",IF(AND(tblScrap[[#This Row],[Date]]&gt;=FFrom,tblScrap[[#This Row],[Date]]&lt;=FTo,OR(DashPart="",tblScrap[[#This Row],[Part]]=DashPart)),tblScrap[[#This Row],[Date]],""))</f>
        <v>46258</v>
      </c>
      <c r="Q12"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2" s="43" t="s">
        <v>139</v>
      </c>
    </row>
    <row r="13" spans="1:18" x14ac:dyDescent="0.25">
      <c r="B13" s="36">
        <v>46259</v>
      </c>
      <c r="C13" s="28" t="s">
        <v>89</v>
      </c>
      <c r="D13" s="28" t="s">
        <v>96</v>
      </c>
      <c r="E13" s="28" t="s">
        <v>109</v>
      </c>
      <c r="F13" s="37">
        <v>4</v>
      </c>
      <c r="G13" s="38">
        <f>IF(tblScrap[[#This Row],[Date]]="","",IFERROR(INDEX(tblParts[Material],MATCH(tblScrap[[#This Row],[Part]],tblParts[Part],0)),""))</f>
        <v>8.6</v>
      </c>
      <c r="H13" s="38">
        <f>IF(tblScrap[[#This Row],[Date]]="","",SUMIFS(tblStageCosts[Conversion to date],tblStageCosts[Part],tblScrap[[#This Row],[Part]],tblStageCosts[Operation],tblScrap[[#This Row],[Operation]]))</f>
        <v>5.4</v>
      </c>
      <c r="I13" s="39">
        <f>IF(tblScrap[[#This Row],[Date]]="","",IFERROR(INDEX(tblParts[Mass],MATCH(tblScrap[[#This Row],[Part]],tblParts[Part],0)),""))</f>
        <v>2.6</v>
      </c>
      <c r="J13" s="40">
        <f>IF(tblScrap[[#This Row],[Date]]="","",IF(tblScrap[[#This Row],[Mass]]="","",tblScrap[[#This Row],[Scrapped]]*tblScrap[[#This Row],[Mass]]))</f>
        <v>10.4</v>
      </c>
      <c r="K13" s="38">
        <f>IF(tblScrap[[#This Row],[Date]]="","",IF(tblScrap[[#This Row],[Material]]="","",tblScrap[[#This Row],[Scrapped]]*tblScrap[[#This Row],[Material]]))</f>
        <v>34.4</v>
      </c>
      <c r="L13" s="38">
        <f>IF(tblScrap[[#This Row],[Date]]="","",tblScrap[[#This Row],[Scrapped]]*tblScrap[[#This Row],[Conversion to date]])</f>
        <v>21.6</v>
      </c>
      <c r="M13" s="38">
        <f>IF(tblScrap[[#This Row],[Date]]="","",IF(tblScrap[[#This Row],[Mass]]="","",tblScrap[[#This Row],[Scrap mass]]*DisposalKg))</f>
        <v>0.52</v>
      </c>
      <c r="N13" s="38">
        <f>IF(tblScrap[[#This Row],[Date]]="","",IF(tblScrap[[#This Row],[Mass]]="","",tblScrap[[#This Row],[Scrap mass]]*RecoveryKg))</f>
        <v>14.56</v>
      </c>
      <c r="O13" s="38">
        <f>IF(tblScrap[[#This Row],[Date]]="","",IF(tblScrap[[#This Row],[Material]]="","",tblScrap[[#This Row],[Material write-off]]+tblScrap[[#This Row],[Conversion write-off]]+tblScrap[[#This Row],[Disposal]]-tblScrap[[#This Row],[Recovery credit]]))</f>
        <v>41.96</v>
      </c>
      <c r="P13" s="41">
        <f>IF(tblScrap[[#This Row],[Date]]="","",IF(AND(tblScrap[[#This Row],[Date]]&gt;=FFrom,tblScrap[[#This Row],[Date]]&lt;=FTo,OR(DashPart="",tblScrap[[#This Row],[Part]]=DashPart)),tblScrap[[#This Row],[Date]],""))</f>
        <v>46259</v>
      </c>
      <c r="Q13"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3" s="43" t="s">
        <v>139</v>
      </c>
    </row>
    <row r="14" spans="1:18" x14ac:dyDescent="0.25">
      <c r="B14" s="36">
        <v>46259</v>
      </c>
      <c r="C14" s="28" t="s">
        <v>89</v>
      </c>
      <c r="D14" s="28" t="s">
        <v>102</v>
      </c>
      <c r="E14" s="28" t="s">
        <v>113</v>
      </c>
      <c r="F14" s="37">
        <v>7</v>
      </c>
      <c r="G14" s="38">
        <f>IF(tblScrap[[#This Row],[Date]]="","",IFERROR(INDEX(tblParts[Material],MATCH(tblScrap[[#This Row],[Part]],tblParts[Part],0)),""))</f>
        <v>8.6</v>
      </c>
      <c r="H14" s="38">
        <f>IF(tblScrap[[#This Row],[Date]]="","",SUMIFS(tblStageCosts[Conversion to date],tblStageCosts[Part],tblScrap[[#This Row],[Part]],tblStageCosts[Operation],tblScrap[[#This Row],[Operation]]))</f>
        <v>16.9</v>
      </c>
      <c r="I14" s="39">
        <f>IF(tblScrap[[#This Row],[Date]]="","",IFERROR(INDEX(tblParts[Mass],MATCH(tblScrap[[#This Row],[Part]],tblParts[Part],0)),""))</f>
        <v>2.6</v>
      </c>
      <c r="J14" s="40">
        <f>IF(tblScrap[[#This Row],[Date]]="","",IF(tblScrap[[#This Row],[Mass]]="","",tblScrap[[#This Row],[Scrapped]]*tblScrap[[#This Row],[Mass]]))</f>
        <v>18.2</v>
      </c>
      <c r="K14" s="38">
        <f>IF(tblScrap[[#This Row],[Date]]="","",IF(tblScrap[[#This Row],[Material]]="","",tblScrap[[#This Row],[Scrapped]]*tblScrap[[#This Row],[Material]]))</f>
        <v>60.2</v>
      </c>
      <c r="L14" s="38">
        <f>IF(tblScrap[[#This Row],[Date]]="","",tblScrap[[#This Row],[Scrapped]]*tblScrap[[#This Row],[Conversion to date]])</f>
        <v>118.3</v>
      </c>
      <c r="M14" s="38">
        <f>IF(tblScrap[[#This Row],[Date]]="","",IF(tblScrap[[#This Row],[Mass]]="","",tblScrap[[#This Row],[Scrap mass]]*DisposalKg))</f>
        <v>0.91</v>
      </c>
      <c r="N14" s="38">
        <f>IF(tblScrap[[#This Row],[Date]]="","",IF(tblScrap[[#This Row],[Mass]]="","",tblScrap[[#This Row],[Scrap mass]]*RecoveryKg))</f>
        <v>25.48</v>
      </c>
      <c r="O14" s="38">
        <f>IF(tblScrap[[#This Row],[Date]]="","",IF(tblScrap[[#This Row],[Material]]="","",tblScrap[[#This Row],[Material write-off]]+tblScrap[[#This Row],[Conversion write-off]]+tblScrap[[#This Row],[Disposal]]-tblScrap[[#This Row],[Recovery credit]]))</f>
        <v>153.93</v>
      </c>
      <c r="P14" s="41">
        <f>IF(tblScrap[[#This Row],[Date]]="","",IF(AND(tblScrap[[#This Row],[Date]]&gt;=FFrom,tblScrap[[#This Row],[Date]]&lt;=FTo,OR(DashPart="",tblScrap[[#This Row],[Part]]=DashPart)),tblScrap[[#This Row],[Date]],""))</f>
        <v>46259</v>
      </c>
      <c r="Q14"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4" s="43" t="s">
        <v>139</v>
      </c>
    </row>
    <row r="15" spans="1:18" x14ac:dyDescent="0.25">
      <c r="B15" s="36">
        <v>46259</v>
      </c>
      <c r="C15" s="28" t="s">
        <v>91</v>
      </c>
      <c r="D15" s="28" t="s">
        <v>100</v>
      </c>
      <c r="E15" s="28" t="s">
        <v>117</v>
      </c>
      <c r="F15" s="37">
        <v>6</v>
      </c>
      <c r="G15" s="38">
        <f>IF(tblScrap[[#This Row],[Date]]="","",IFERROR(INDEX(tblParts[Material],MATCH(tblScrap[[#This Row],[Part]],tblParts[Part],0)),""))</f>
        <v>2.05</v>
      </c>
      <c r="H15" s="38">
        <f>IF(tblScrap[[#This Row],[Date]]="","",SUMIFS(tblStageCosts[Conversion to date],tblStageCosts[Part],tblScrap[[#This Row],[Part]],tblStageCosts[Operation],tblScrap[[#This Row],[Operation]]))</f>
        <v>3.1</v>
      </c>
      <c r="I15" s="39">
        <f>IF(tblScrap[[#This Row],[Date]]="","",IFERROR(INDEX(tblParts[Mass],MATCH(tblScrap[[#This Row],[Part]],tblParts[Part],0)),""))</f>
        <v>0.62</v>
      </c>
      <c r="J15" s="40">
        <f>IF(tblScrap[[#This Row],[Date]]="","",IF(tblScrap[[#This Row],[Mass]]="","",tblScrap[[#This Row],[Scrapped]]*tblScrap[[#This Row],[Mass]]))</f>
        <v>3.72</v>
      </c>
      <c r="K15" s="38">
        <f>IF(tblScrap[[#This Row],[Date]]="","",IF(tblScrap[[#This Row],[Material]]="","",tblScrap[[#This Row],[Scrapped]]*tblScrap[[#This Row],[Material]]))</f>
        <v>12.3</v>
      </c>
      <c r="L15" s="38">
        <f>IF(tblScrap[[#This Row],[Date]]="","",tblScrap[[#This Row],[Scrapped]]*tblScrap[[#This Row],[Conversion to date]])</f>
        <v>18.6</v>
      </c>
      <c r="M15" s="38">
        <f>IF(tblScrap[[#This Row],[Date]]="","",IF(tblScrap[[#This Row],[Mass]]="","",tblScrap[[#This Row],[Scrap mass]]*DisposalKg))</f>
        <v>0.186</v>
      </c>
      <c r="N15" s="38">
        <f>IF(tblScrap[[#This Row],[Date]]="","",IF(tblScrap[[#This Row],[Mass]]="","",tblScrap[[#This Row],[Scrap mass]]*RecoveryKg))</f>
        <v>5.208</v>
      </c>
      <c r="O15" s="38">
        <f>IF(tblScrap[[#This Row],[Date]]="","",IF(tblScrap[[#This Row],[Material]]="","",tblScrap[[#This Row],[Material write-off]]+tblScrap[[#This Row],[Conversion write-off]]+tblScrap[[#This Row],[Disposal]]-tblScrap[[#This Row],[Recovery credit]]))</f>
        <v>25.878</v>
      </c>
      <c r="P15" s="41">
        <f>IF(tblScrap[[#This Row],[Date]]="","",IF(AND(tblScrap[[#This Row],[Date]]&gt;=FFrom,tblScrap[[#This Row],[Date]]&lt;=FTo,OR(DashPart="",tblScrap[[#This Row],[Part]]=DashPart)),tblScrap[[#This Row],[Date]],""))</f>
        <v>46259</v>
      </c>
      <c r="Q15"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5" s="43" t="s">
        <v>139</v>
      </c>
    </row>
    <row r="16" spans="1:18" x14ac:dyDescent="0.25">
      <c r="B16" s="36">
        <v>46259</v>
      </c>
      <c r="C16" s="28" t="s">
        <v>93</v>
      </c>
      <c r="D16" s="28" t="s">
        <v>96</v>
      </c>
      <c r="E16" s="28" t="s">
        <v>109</v>
      </c>
      <c r="F16" s="37">
        <v>12</v>
      </c>
      <c r="G16" s="38">
        <f>IF(tblScrap[[#This Row],[Date]]="","",IFERROR(INDEX(tblParts[Material],MATCH(tblScrap[[#This Row],[Part]],tblParts[Part],0)),""))</f>
        <v>3.65</v>
      </c>
      <c r="H16" s="38">
        <f>IF(tblScrap[[#This Row],[Date]]="","",SUMIFS(tblStageCosts[Conversion to date],tblStageCosts[Part],tblScrap[[#This Row],[Part]],tblStageCosts[Operation],tblScrap[[#This Row],[Operation]]))</f>
        <v>2.6</v>
      </c>
      <c r="I16" s="39">
        <f>IF(tblScrap[[#This Row],[Date]]="","",IFERROR(INDEX(tblParts[Mass],MATCH(tblScrap[[#This Row],[Part]],tblParts[Part],0)),""))</f>
        <v>1.1</v>
      </c>
      <c r="J16" s="40">
        <f>IF(tblScrap[[#This Row],[Date]]="","",IF(tblScrap[[#This Row],[Mass]]="","",tblScrap[[#This Row],[Scrapped]]*tblScrap[[#This Row],[Mass]]))</f>
        <v>13.2</v>
      </c>
      <c r="K16" s="38">
        <f>IF(tblScrap[[#This Row],[Date]]="","",IF(tblScrap[[#This Row],[Material]]="","",tblScrap[[#This Row],[Scrapped]]*tblScrap[[#This Row],[Material]]))</f>
        <v>43.8</v>
      </c>
      <c r="L16" s="38">
        <f>IF(tblScrap[[#This Row],[Date]]="","",tblScrap[[#This Row],[Scrapped]]*tblScrap[[#This Row],[Conversion to date]])</f>
        <v>31.2</v>
      </c>
      <c r="M16" s="38">
        <f>IF(tblScrap[[#This Row],[Date]]="","",IF(tblScrap[[#This Row],[Mass]]="","",tblScrap[[#This Row],[Scrap mass]]*DisposalKg))</f>
        <v>0.66</v>
      </c>
      <c r="N16" s="38">
        <f>IF(tblScrap[[#This Row],[Date]]="","",IF(tblScrap[[#This Row],[Mass]]="","",tblScrap[[#This Row],[Scrap mass]]*RecoveryKg))</f>
        <v>18.48</v>
      </c>
      <c r="O16" s="38">
        <f>IF(tblScrap[[#This Row],[Date]]="","",IF(tblScrap[[#This Row],[Material]]="","",tblScrap[[#This Row],[Material write-off]]+tblScrap[[#This Row],[Conversion write-off]]+tblScrap[[#This Row],[Disposal]]-tblScrap[[#This Row],[Recovery credit]]))</f>
        <v>57.18</v>
      </c>
      <c r="P16" s="41">
        <f>IF(tblScrap[[#This Row],[Date]]="","",IF(AND(tblScrap[[#This Row],[Date]]&gt;=FFrom,tblScrap[[#This Row],[Date]]&lt;=FTo,OR(DashPart="",tblScrap[[#This Row],[Part]]=DashPart)),tblScrap[[#This Row],[Date]],""))</f>
        <v>46259</v>
      </c>
      <c r="Q16"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6" s="43" t="s">
        <v>139</v>
      </c>
    </row>
    <row r="17" spans="2:18" x14ac:dyDescent="0.25">
      <c r="B17" s="36">
        <v>46260</v>
      </c>
      <c r="C17" s="28" t="s">
        <v>87</v>
      </c>
      <c r="D17" s="28" t="s">
        <v>100</v>
      </c>
      <c r="E17" s="28" t="s">
        <v>115</v>
      </c>
      <c r="F17" s="37">
        <v>2</v>
      </c>
      <c r="G17" s="38">
        <f>IF(tblScrap[[#This Row],[Date]]="","",IFERROR(INDEX(tblParts[Material],MATCH(tblScrap[[#This Row],[Part]],tblParts[Part],0)),""))</f>
        <v>6.1</v>
      </c>
      <c r="H17" s="38">
        <f>IF(tblScrap[[#This Row],[Date]]="","",SUMIFS(tblStageCosts[Conversion to date],tblStageCosts[Part],tblScrap[[#This Row],[Part]],tblStageCosts[Operation],tblScrap[[#This Row],[Operation]]))</f>
        <v>11.6</v>
      </c>
      <c r="I17" s="39">
        <f>IF(tblScrap[[#This Row],[Date]]="","",IFERROR(INDEX(tblParts[Mass],MATCH(tblScrap[[#This Row],[Part]],tblParts[Part],0)),""))</f>
        <v>1.85</v>
      </c>
      <c r="J17" s="40">
        <f>IF(tblScrap[[#This Row],[Date]]="","",IF(tblScrap[[#This Row],[Mass]]="","",tblScrap[[#This Row],[Scrapped]]*tblScrap[[#This Row],[Mass]]))</f>
        <v>3.7</v>
      </c>
      <c r="K17" s="38">
        <f>IF(tblScrap[[#This Row],[Date]]="","",IF(tblScrap[[#This Row],[Material]]="","",tblScrap[[#This Row],[Scrapped]]*tblScrap[[#This Row],[Material]]))</f>
        <v>12.2</v>
      </c>
      <c r="L17" s="38">
        <f>IF(tblScrap[[#This Row],[Date]]="","",tblScrap[[#This Row],[Scrapped]]*tblScrap[[#This Row],[Conversion to date]])</f>
        <v>23.2</v>
      </c>
      <c r="M17" s="38">
        <f>IF(tblScrap[[#This Row],[Date]]="","",IF(tblScrap[[#This Row],[Mass]]="","",tblScrap[[#This Row],[Scrap mass]]*DisposalKg))</f>
        <v>0.185</v>
      </c>
      <c r="N17" s="38">
        <f>IF(tblScrap[[#This Row],[Date]]="","",IF(tblScrap[[#This Row],[Mass]]="","",tblScrap[[#This Row],[Scrap mass]]*RecoveryKg))</f>
        <v>5.18</v>
      </c>
      <c r="O17" s="38">
        <f>IF(tblScrap[[#This Row],[Date]]="","",IF(tblScrap[[#This Row],[Material]]="","",tblScrap[[#This Row],[Material write-off]]+tblScrap[[#This Row],[Conversion write-off]]+tblScrap[[#This Row],[Disposal]]-tblScrap[[#This Row],[Recovery credit]]))</f>
        <v>30.405</v>
      </c>
      <c r="P17" s="41">
        <f>IF(tblScrap[[#This Row],[Date]]="","",IF(AND(tblScrap[[#This Row],[Date]]&gt;=FFrom,tblScrap[[#This Row],[Date]]&lt;=FTo,OR(DashPart="",tblScrap[[#This Row],[Part]]=DashPart)),tblScrap[[#This Row],[Date]],""))</f>
        <v>46260</v>
      </c>
      <c r="Q17"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7" s="43" t="s">
        <v>139</v>
      </c>
    </row>
    <row r="18" spans="2:18" x14ac:dyDescent="0.25">
      <c r="B18" s="36">
        <v>46260</v>
      </c>
      <c r="C18" s="28" t="s">
        <v>87</v>
      </c>
      <c r="D18" s="28" t="s">
        <v>102</v>
      </c>
      <c r="E18" s="28" t="s">
        <v>113</v>
      </c>
      <c r="F18" s="37">
        <v>2</v>
      </c>
      <c r="G18" s="38">
        <f>IF(tblScrap[[#This Row],[Date]]="","",IFERROR(INDEX(tblParts[Material],MATCH(tblScrap[[#This Row],[Part]],tblParts[Part],0)),""))</f>
        <v>6.1</v>
      </c>
      <c r="H18" s="38">
        <f>IF(tblScrap[[#This Row],[Date]]="","",SUMIFS(tblStageCosts[Conversion to date],tblStageCosts[Part],tblScrap[[#This Row],[Part]],tblStageCosts[Operation],tblScrap[[#This Row],[Operation]]))</f>
        <v>12.4</v>
      </c>
      <c r="I18" s="39">
        <f>IF(tblScrap[[#This Row],[Date]]="","",IFERROR(INDEX(tblParts[Mass],MATCH(tblScrap[[#This Row],[Part]],tblParts[Part],0)),""))</f>
        <v>1.85</v>
      </c>
      <c r="J18" s="40">
        <f>IF(tblScrap[[#This Row],[Date]]="","",IF(tblScrap[[#This Row],[Mass]]="","",tblScrap[[#This Row],[Scrapped]]*tblScrap[[#This Row],[Mass]]))</f>
        <v>3.7</v>
      </c>
      <c r="K18" s="38">
        <f>IF(tblScrap[[#This Row],[Date]]="","",IF(tblScrap[[#This Row],[Material]]="","",tblScrap[[#This Row],[Scrapped]]*tblScrap[[#This Row],[Material]]))</f>
        <v>12.2</v>
      </c>
      <c r="L18" s="38">
        <f>IF(tblScrap[[#This Row],[Date]]="","",tblScrap[[#This Row],[Scrapped]]*tblScrap[[#This Row],[Conversion to date]])</f>
        <v>24.8</v>
      </c>
      <c r="M18" s="38">
        <f>IF(tblScrap[[#This Row],[Date]]="","",IF(tblScrap[[#This Row],[Mass]]="","",tblScrap[[#This Row],[Scrap mass]]*DisposalKg))</f>
        <v>0.185</v>
      </c>
      <c r="N18" s="38">
        <f>IF(tblScrap[[#This Row],[Date]]="","",IF(tblScrap[[#This Row],[Mass]]="","",tblScrap[[#This Row],[Scrap mass]]*RecoveryKg))</f>
        <v>5.18</v>
      </c>
      <c r="O18" s="38">
        <f>IF(tblScrap[[#This Row],[Date]]="","",IF(tblScrap[[#This Row],[Material]]="","",tblScrap[[#This Row],[Material write-off]]+tblScrap[[#This Row],[Conversion write-off]]+tblScrap[[#This Row],[Disposal]]-tblScrap[[#This Row],[Recovery credit]]))</f>
        <v>32.005</v>
      </c>
      <c r="P18" s="41">
        <f>IF(tblScrap[[#This Row],[Date]]="","",IF(AND(tblScrap[[#This Row],[Date]]&gt;=FFrom,tblScrap[[#This Row],[Date]]&lt;=FTo,OR(DashPart="",tblScrap[[#This Row],[Part]]=DashPart)),tblScrap[[#This Row],[Date]],""))</f>
        <v>46260</v>
      </c>
      <c r="Q18"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8" s="43" t="s">
        <v>139</v>
      </c>
    </row>
    <row r="19" spans="2:18" x14ac:dyDescent="0.25">
      <c r="B19" s="36">
        <v>46260</v>
      </c>
      <c r="C19" s="28" t="s">
        <v>89</v>
      </c>
      <c r="D19" s="28" t="s">
        <v>96</v>
      </c>
      <c r="E19" s="28" t="s">
        <v>109</v>
      </c>
      <c r="F19" s="37">
        <v>6</v>
      </c>
      <c r="G19" s="38">
        <f>IF(tblScrap[[#This Row],[Date]]="","",IFERROR(INDEX(tblParts[Material],MATCH(tblScrap[[#This Row],[Part]],tblParts[Part],0)),""))</f>
        <v>8.6</v>
      </c>
      <c r="H19" s="38">
        <f>IF(tblScrap[[#This Row],[Date]]="","",SUMIFS(tblStageCosts[Conversion to date],tblStageCosts[Part],tblScrap[[#This Row],[Part]],tblStageCosts[Operation],tblScrap[[#This Row],[Operation]]))</f>
        <v>5.4</v>
      </c>
      <c r="I19" s="39">
        <f>IF(tblScrap[[#This Row],[Date]]="","",IFERROR(INDEX(tblParts[Mass],MATCH(tblScrap[[#This Row],[Part]],tblParts[Part],0)),""))</f>
        <v>2.6</v>
      </c>
      <c r="J19" s="40">
        <f>IF(tblScrap[[#This Row],[Date]]="","",IF(tblScrap[[#This Row],[Mass]]="","",tblScrap[[#This Row],[Scrapped]]*tblScrap[[#This Row],[Mass]]))</f>
        <v>15.6</v>
      </c>
      <c r="K19" s="38">
        <f>IF(tblScrap[[#This Row],[Date]]="","",IF(tblScrap[[#This Row],[Material]]="","",tblScrap[[#This Row],[Scrapped]]*tblScrap[[#This Row],[Material]]))</f>
        <v>51.6</v>
      </c>
      <c r="L19" s="38">
        <f>IF(tblScrap[[#This Row],[Date]]="","",tblScrap[[#This Row],[Scrapped]]*tblScrap[[#This Row],[Conversion to date]])</f>
        <v>32.4</v>
      </c>
      <c r="M19" s="38">
        <f>IF(tblScrap[[#This Row],[Date]]="","",IF(tblScrap[[#This Row],[Mass]]="","",tblScrap[[#This Row],[Scrap mass]]*DisposalKg))</f>
        <v>0.78</v>
      </c>
      <c r="N19" s="38">
        <f>IF(tblScrap[[#This Row],[Date]]="","",IF(tblScrap[[#This Row],[Mass]]="","",tblScrap[[#This Row],[Scrap mass]]*RecoveryKg))</f>
        <v>21.84</v>
      </c>
      <c r="O19" s="38">
        <f>IF(tblScrap[[#This Row],[Date]]="","",IF(tblScrap[[#This Row],[Material]]="","",tblScrap[[#This Row],[Material write-off]]+tblScrap[[#This Row],[Conversion write-off]]+tblScrap[[#This Row],[Disposal]]-tblScrap[[#This Row],[Recovery credit]]))</f>
        <v>62.94</v>
      </c>
      <c r="P19" s="41">
        <f>IF(tblScrap[[#This Row],[Date]]="","",IF(AND(tblScrap[[#This Row],[Date]]&gt;=FFrom,tblScrap[[#This Row],[Date]]&lt;=FTo,OR(DashPart="",tblScrap[[#This Row],[Part]]=DashPart)),tblScrap[[#This Row],[Date]],""))</f>
        <v>46260</v>
      </c>
      <c r="Q19"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9" s="43" t="s">
        <v>139</v>
      </c>
    </row>
    <row r="20" spans="2:18" x14ac:dyDescent="0.25">
      <c r="B20" s="36">
        <v>46260</v>
      </c>
      <c r="C20" s="28" t="s">
        <v>89</v>
      </c>
      <c r="D20" s="28" t="s">
        <v>102</v>
      </c>
      <c r="E20" s="28" t="s">
        <v>113</v>
      </c>
      <c r="F20" s="37">
        <v>11</v>
      </c>
      <c r="G20" s="38">
        <f>IF(tblScrap[[#This Row],[Date]]="","",IFERROR(INDEX(tblParts[Material],MATCH(tblScrap[[#This Row],[Part]],tblParts[Part],0)),""))</f>
        <v>8.6</v>
      </c>
      <c r="H20" s="38">
        <f>IF(tblScrap[[#This Row],[Date]]="","",SUMIFS(tblStageCosts[Conversion to date],tblStageCosts[Part],tblScrap[[#This Row],[Part]],tblStageCosts[Operation],tblScrap[[#This Row],[Operation]]))</f>
        <v>16.9</v>
      </c>
      <c r="I20" s="39">
        <f>IF(tblScrap[[#This Row],[Date]]="","",IFERROR(INDEX(tblParts[Mass],MATCH(tblScrap[[#This Row],[Part]],tblParts[Part],0)),""))</f>
        <v>2.6</v>
      </c>
      <c r="J20" s="40">
        <f>IF(tblScrap[[#This Row],[Date]]="","",IF(tblScrap[[#This Row],[Mass]]="","",tblScrap[[#This Row],[Scrapped]]*tblScrap[[#This Row],[Mass]]))</f>
        <v>28.6</v>
      </c>
      <c r="K20" s="38">
        <f>IF(tblScrap[[#This Row],[Date]]="","",IF(tblScrap[[#This Row],[Material]]="","",tblScrap[[#This Row],[Scrapped]]*tblScrap[[#This Row],[Material]]))</f>
        <v>94.6</v>
      </c>
      <c r="L20" s="38">
        <f>IF(tblScrap[[#This Row],[Date]]="","",tblScrap[[#This Row],[Scrapped]]*tblScrap[[#This Row],[Conversion to date]])</f>
        <v>185.9</v>
      </c>
      <c r="M20" s="38">
        <f>IF(tblScrap[[#This Row],[Date]]="","",IF(tblScrap[[#This Row],[Mass]]="","",tblScrap[[#This Row],[Scrap mass]]*DisposalKg))</f>
        <v>1.43</v>
      </c>
      <c r="N20" s="38">
        <f>IF(tblScrap[[#This Row],[Date]]="","",IF(tblScrap[[#This Row],[Mass]]="","",tblScrap[[#This Row],[Scrap mass]]*RecoveryKg))</f>
        <v>40.04</v>
      </c>
      <c r="O20" s="38">
        <f>IF(tblScrap[[#This Row],[Date]]="","",IF(tblScrap[[#This Row],[Material]]="","",tblScrap[[#This Row],[Material write-off]]+tblScrap[[#This Row],[Conversion write-off]]+tblScrap[[#This Row],[Disposal]]-tblScrap[[#This Row],[Recovery credit]]))</f>
        <v>241.89</v>
      </c>
      <c r="P20" s="41">
        <f>IF(tblScrap[[#This Row],[Date]]="","",IF(AND(tblScrap[[#This Row],[Date]]&gt;=FFrom,tblScrap[[#This Row],[Date]]&lt;=FTo,OR(DashPart="",tblScrap[[#This Row],[Part]]=DashPart)),tblScrap[[#This Row],[Date]],""))</f>
        <v>46260</v>
      </c>
      <c r="Q20"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20" s="43" t="s">
        <v>139</v>
      </c>
    </row>
    <row r="21" spans="2:18" x14ac:dyDescent="0.25">
      <c r="B21" s="36">
        <v>46261</v>
      </c>
      <c r="C21" s="28" t="s">
        <v>87</v>
      </c>
      <c r="D21" s="28" t="s">
        <v>96</v>
      </c>
      <c r="E21" s="28" t="s">
        <v>111</v>
      </c>
      <c r="F21" s="37">
        <v>7</v>
      </c>
      <c r="G21" s="38">
        <f>IF(tblScrap[[#This Row],[Date]]="","",IFERROR(INDEX(tblParts[Material],MATCH(tblScrap[[#This Row],[Part]],tblParts[Part],0)),""))</f>
        <v>6.1</v>
      </c>
      <c r="H21" s="38">
        <f>IF(tblScrap[[#This Row],[Date]]="","",SUMIFS(tblStageCosts[Conversion to date],tblStageCosts[Part],tblScrap[[#This Row],[Part]],tblStageCosts[Operation],tblScrap[[#This Row],[Operation]]))</f>
        <v>4.2</v>
      </c>
      <c r="I21" s="39">
        <f>IF(tblScrap[[#This Row],[Date]]="","",IFERROR(INDEX(tblParts[Mass],MATCH(tblScrap[[#This Row],[Part]],tblParts[Part],0)),""))</f>
        <v>1.85</v>
      </c>
      <c r="J21" s="40">
        <f>IF(tblScrap[[#This Row],[Date]]="","",IF(tblScrap[[#This Row],[Mass]]="","",tblScrap[[#This Row],[Scrapped]]*tblScrap[[#This Row],[Mass]]))</f>
        <v>12.95</v>
      </c>
      <c r="K21" s="38">
        <f>IF(tblScrap[[#This Row],[Date]]="","",IF(tblScrap[[#This Row],[Material]]="","",tblScrap[[#This Row],[Scrapped]]*tblScrap[[#This Row],[Material]]))</f>
        <v>42.7</v>
      </c>
      <c r="L21" s="38">
        <f>IF(tblScrap[[#This Row],[Date]]="","",tblScrap[[#This Row],[Scrapped]]*tblScrap[[#This Row],[Conversion to date]])</f>
        <v>29.4</v>
      </c>
      <c r="M21" s="38">
        <f>IF(tblScrap[[#This Row],[Date]]="","",IF(tblScrap[[#This Row],[Mass]]="","",tblScrap[[#This Row],[Scrap mass]]*DisposalKg))</f>
        <v>0.6475</v>
      </c>
      <c r="N21" s="38">
        <f>IF(tblScrap[[#This Row],[Date]]="","",IF(tblScrap[[#This Row],[Mass]]="","",tblScrap[[#This Row],[Scrap mass]]*RecoveryKg))</f>
        <v>18.13</v>
      </c>
      <c r="O21" s="38">
        <f>IF(tblScrap[[#This Row],[Date]]="","",IF(tblScrap[[#This Row],[Material]]="","",tblScrap[[#This Row],[Material write-off]]+tblScrap[[#This Row],[Conversion write-off]]+tblScrap[[#This Row],[Disposal]]-tblScrap[[#This Row],[Recovery credit]]))</f>
        <v>54.6175</v>
      </c>
      <c r="P21" s="41">
        <f>IF(tblScrap[[#This Row],[Date]]="","",IF(AND(tblScrap[[#This Row],[Date]]&gt;=FFrom,tblScrap[[#This Row],[Date]]&lt;=FTo,OR(DashPart="",tblScrap[[#This Row],[Part]]=DashPart)),tblScrap[[#This Row],[Date]],""))</f>
        <v>46261</v>
      </c>
      <c r="Q21"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21" s="43" t="s">
        <v>139</v>
      </c>
    </row>
    <row r="22" spans="2:18" x14ac:dyDescent="0.25">
      <c r="B22" s="36">
        <v>46261</v>
      </c>
      <c r="C22" s="28" t="s">
        <v>87</v>
      </c>
      <c r="D22" s="28" t="s">
        <v>100</v>
      </c>
      <c r="E22" s="28" t="s">
        <v>115</v>
      </c>
      <c r="F22" s="37">
        <v>4</v>
      </c>
      <c r="G22" s="38">
        <f>IF(tblScrap[[#This Row],[Date]]="","",IFERROR(INDEX(tblParts[Material],MATCH(tblScrap[[#This Row],[Part]],tblParts[Part],0)),""))</f>
        <v>6.1</v>
      </c>
      <c r="H22" s="38">
        <f>IF(tblScrap[[#This Row],[Date]]="","",SUMIFS(tblStageCosts[Conversion to date],tblStageCosts[Part],tblScrap[[#This Row],[Part]],tblStageCosts[Operation],tblScrap[[#This Row],[Operation]]))</f>
        <v>11.6</v>
      </c>
      <c r="I22" s="39">
        <f>IF(tblScrap[[#This Row],[Date]]="","",IFERROR(INDEX(tblParts[Mass],MATCH(tblScrap[[#This Row],[Part]],tblParts[Part],0)),""))</f>
        <v>1.85</v>
      </c>
      <c r="J22" s="40">
        <f>IF(tblScrap[[#This Row],[Date]]="","",IF(tblScrap[[#This Row],[Mass]]="","",tblScrap[[#This Row],[Scrapped]]*tblScrap[[#This Row],[Mass]]))</f>
        <v>7.4</v>
      </c>
      <c r="K22" s="38">
        <f>IF(tblScrap[[#This Row],[Date]]="","",IF(tblScrap[[#This Row],[Material]]="","",tblScrap[[#This Row],[Scrapped]]*tblScrap[[#This Row],[Material]]))</f>
        <v>24.4</v>
      </c>
      <c r="L22" s="38">
        <f>IF(tblScrap[[#This Row],[Date]]="","",tblScrap[[#This Row],[Scrapped]]*tblScrap[[#This Row],[Conversion to date]])</f>
        <v>46.4</v>
      </c>
      <c r="M22" s="38">
        <f>IF(tblScrap[[#This Row],[Date]]="","",IF(tblScrap[[#This Row],[Mass]]="","",tblScrap[[#This Row],[Scrap mass]]*DisposalKg))</f>
        <v>0.37</v>
      </c>
      <c r="N22" s="38">
        <f>IF(tblScrap[[#This Row],[Date]]="","",IF(tblScrap[[#This Row],[Mass]]="","",tblScrap[[#This Row],[Scrap mass]]*RecoveryKg))</f>
        <v>10.36</v>
      </c>
      <c r="O22" s="38">
        <f>IF(tblScrap[[#This Row],[Date]]="","",IF(tblScrap[[#This Row],[Material]]="","",tblScrap[[#This Row],[Material write-off]]+tblScrap[[#This Row],[Conversion write-off]]+tblScrap[[#This Row],[Disposal]]-tblScrap[[#This Row],[Recovery credit]]))</f>
        <v>60.81</v>
      </c>
      <c r="P22" s="41">
        <f>IF(tblScrap[[#This Row],[Date]]="","",IF(AND(tblScrap[[#This Row],[Date]]&gt;=FFrom,tblScrap[[#This Row],[Date]]&lt;=FTo,OR(DashPart="",tblScrap[[#This Row],[Part]]=DashPart)),tblScrap[[#This Row],[Date]],""))</f>
        <v>46261</v>
      </c>
      <c r="Q22"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22" s="43" t="s">
        <v>139</v>
      </c>
    </row>
    <row r="23" spans="2:18" x14ac:dyDescent="0.25">
      <c r="B23" s="36">
        <v>46261</v>
      </c>
      <c r="C23" s="28" t="s">
        <v>87</v>
      </c>
      <c r="D23" s="28" t="s">
        <v>102</v>
      </c>
      <c r="E23" s="28" t="s">
        <v>113</v>
      </c>
      <c r="F23" s="37">
        <v>1</v>
      </c>
      <c r="G23" s="38">
        <f>IF(tblScrap[[#This Row],[Date]]="","",IFERROR(INDEX(tblParts[Material],MATCH(tblScrap[[#This Row],[Part]],tblParts[Part],0)),""))</f>
        <v>6.1</v>
      </c>
      <c r="H23" s="38">
        <f>IF(tblScrap[[#This Row],[Date]]="","",SUMIFS(tblStageCosts[Conversion to date],tblStageCosts[Part],tblScrap[[#This Row],[Part]],tblStageCosts[Operation],tblScrap[[#This Row],[Operation]]))</f>
        <v>12.4</v>
      </c>
      <c r="I23" s="39">
        <f>IF(tblScrap[[#This Row],[Date]]="","",IFERROR(INDEX(tblParts[Mass],MATCH(tblScrap[[#This Row],[Part]],tblParts[Part],0)),""))</f>
        <v>1.85</v>
      </c>
      <c r="J23" s="40">
        <f>IF(tblScrap[[#This Row],[Date]]="","",IF(tblScrap[[#This Row],[Mass]]="","",tblScrap[[#This Row],[Scrapped]]*tblScrap[[#This Row],[Mass]]))</f>
        <v>1.85</v>
      </c>
      <c r="K23" s="38">
        <f>IF(tblScrap[[#This Row],[Date]]="","",IF(tblScrap[[#This Row],[Material]]="","",tblScrap[[#This Row],[Scrapped]]*tblScrap[[#This Row],[Material]]))</f>
        <v>6.1</v>
      </c>
      <c r="L23" s="38">
        <f>IF(tblScrap[[#This Row],[Date]]="","",tblScrap[[#This Row],[Scrapped]]*tblScrap[[#This Row],[Conversion to date]])</f>
        <v>12.4</v>
      </c>
      <c r="M23" s="38">
        <f>IF(tblScrap[[#This Row],[Date]]="","",IF(tblScrap[[#This Row],[Mass]]="","",tblScrap[[#This Row],[Scrap mass]]*DisposalKg))</f>
        <v>0.0925</v>
      </c>
      <c r="N23" s="38">
        <f>IF(tblScrap[[#This Row],[Date]]="","",IF(tblScrap[[#This Row],[Mass]]="","",tblScrap[[#This Row],[Scrap mass]]*RecoveryKg))</f>
        <v>2.59</v>
      </c>
      <c r="O23" s="38">
        <f>IF(tblScrap[[#This Row],[Date]]="","",IF(tblScrap[[#This Row],[Material]]="","",tblScrap[[#This Row],[Material write-off]]+tblScrap[[#This Row],[Conversion write-off]]+tblScrap[[#This Row],[Disposal]]-tblScrap[[#This Row],[Recovery credit]]))</f>
        <v>16.0025</v>
      </c>
      <c r="P23" s="41">
        <f>IF(tblScrap[[#This Row],[Date]]="","",IF(AND(tblScrap[[#This Row],[Date]]&gt;=FFrom,tblScrap[[#This Row],[Date]]&lt;=FTo,OR(DashPart="",tblScrap[[#This Row],[Part]]=DashPart)),tblScrap[[#This Row],[Date]],""))</f>
        <v>46261</v>
      </c>
      <c r="Q23"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23" s="43" t="s">
        <v>139</v>
      </c>
    </row>
    <row r="24" spans="2:18" x14ac:dyDescent="0.25">
      <c r="B24" s="36">
        <v>46261</v>
      </c>
      <c r="C24" s="28" t="s">
        <v>89</v>
      </c>
      <c r="D24" s="28" t="s">
        <v>102</v>
      </c>
      <c r="E24" s="28" t="s">
        <v>113</v>
      </c>
      <c r="F24" s="37">
        <v>11</v>
      </c>
      <c r="G24" s="38">
        <f>IF(tblScrap[[#This Row],[Date]]="","",IFERROR(INDEX(tblParts[Material],MATCH(tblScrap[[#This Row],[Part]],tblParts[Part],0)),""))</f>
        <v>8.6</v>
      </c>
      <c r="H24" s="38">
        <f>IF(tblScrap[[#This Row],[Date]]="","",SUMIFS(tblStageCosts[Conversion to date],tblStageCosts[Part],tblScrap[[#This Row],[Part]],tblStageCosts[Operation],tblScrap[[#This Row],[Operation]]))</f>
        <v>16.9</v>
      </c>
      <c r="I24" s="39">
        <f>IF(tblScrap[[#This Row],[Date]]="","",IFERROR(INDEX(tblParts[Mass],MATCH(tblScrap[[#This Row],[Part]],tblParts[Part],0)),""))</f>
        <v>2.6</v>
      </c>
      <c r="J24" s="40">
        <f>IF(tblScrap[[#This Row],[Date]]="","",IF(tblScrap[[#This Row],[Mass]]="","",tblScrap[[#This Row],[Scrapped]]*tblScrap[[#This Row],[Mass]]))</f>
        <v>28.6</v>
      </c>
      <c r="K24" s="38">
        <f>IF(tblScrap[[#This Row],[Date]]="","",IF(tblScrap[[#This Row],[Material]]="","",tblScrap[[#This Row],[Scrapped]]*tblScrap[[#This Row],[Material]]))</f>
        <v>94.6</v>
      </c>
      <c r="L24" s="38">
        <f>IF(tblScrap[[#This Row],[Date]]="","",tblScrap[[#This Row],[Scrapped]]*tblScrap[[#This Row],[Conversion to date]])</f>
        <v>185.9</v>
      </c>
      <c r="M24" s="38">
        <f>IF(tblScrap[[#This Row],[Date]]="","",IF(tblScrap[[#This Row],[Mass]]="","",tblScrap[[#This Row],[Scrap mass]]*DisposalKg))</f>
        <v>1.43</v>
      </c>
      <c r="N24" s="38">
        <f>IF(tblScrap[[#This Row],[Date]]="","",IF(tblScrap[[#This Row],[Mass]]="","",tblScrap[[#This Row],[Scrap mass]]*RecoveryKg))</f>
        <v>40.04</v>
      </c>
      <c r="O24" s="38">
        <f>IF(tblScrap[[#This Row],[Date]]="","",IF(tblScrap[[#This Row],[Material]]="","",tblScrap[[#This Row],[Material write-off]]+tblScrap[[#This Row],[Conversion write-off]]+tblScrap[[#This Row],[Disposal]]-tblScrap[[#This Row],[Recovery credit]]))</f>
        <v>241.89</v>
      </c>
      <c r="P24" s="41">
        <f>IF(tblScrap[[#This Row],[Date]]="","",IF(AND(tblScrap[[#This Row],[Date]]&gt;=FFrom,tblScrap[[#This Row],[Date]]&lt;=FTo,OR(DashPart="",tblScrap[[#This Row],[Part]]=DashPart)),tblScrap[[#This Row],[Date]],""))</f>
        <v>46261</v>
      </c>
      <c r="Q24"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24" s="43" t="s">
        <v>139</v>
      </c>
    </row>
    <row r="25" spans="2:18" x14ac:dyDescent="0.25">
      <c r="B25" s="36">
        <v>46261</v>
      </c>
      <c r="C25" s="28" t="s">
        <v>89</v>
      </c>
      <c r="D25" s="28" t="s">
        <v>98</v>
      </c>
      <c r="E25" s="28" t="s">
        <v>121</v>
      </c>
      <c r="F25" s="37">
        <v>3</v>
      </c>
      <c r="G25" s="38">
        <f>IF(tblScrap[[#This Row],[Date]]="","",IFERROR(INDEX(tblParts[Material],MATCH(tblScrap[[#This Row],[Part]],tblParts[Part],0)),""))</f>
        <v>8.6</v>
      </c>
      <c r="H25" s="38">
        <f>IF(tblScrap[[#This Row],[Date]]="","",SUMIFS(tblStageCosts[Conversion to date],tblStageCosts[Part],tblScrap[[#This Row],[Part]],tblStageCosts[Operation],tblScrap[[#This Row],[Operation]]))</f>
        <v>6.5</v>
      </c>
      <c r="I25" s="39">
        <f>IF(tblScrap[[#This Row],[Date]]="","",IFERROR(INDEX(tblParts[Mass],MATCH(tblScrap[[#This Row],[Part]],tblParts[Part],0)),""))</f>
        <v>2.6</v>
      </c>
      <c r="J25" s="40">
        <f>IF(tblScrap[[#This Row],[Date]]="","",IF(tblScrap[[#This Row],[Mass]]="","",tblScrap[[#This Row],[Scrapped]]*tblScrap[[#This Row],[Mass]]))</f>
        <v>7.8</v>
      </c>
      <c r="K25" s="38">
        <f>IF(tblScrap[[#This Row],[Date]]="","",IF(tblScrap[[#This Row],[Material]]="","",tblScrap[[#This Row],[Scrapped]]*tblScrap[[#This Row],[Material]]))</f>
        <v>25.8</v>
      </c>
      <c r="L25" s="38">
        <f>IF(tblScrap[[#This Row],[Date]]="","",tblScrap[[#This Row],[Scrapped]]*tblScrap[[#This Row],[Conversion to date]])</f>
        <v>19.5</v>
      </c>
      <c r="M25" s="38">
        <f>IF(tblScrap[[#This Row],[Date]]="","",IF(tblScrap[[#This Row],[Mass]]="","",tblScrap[[#This Row],[Scrap mass]]*DisposalKg))</f>
        <v>0.39</v>
      </c>
      <c r="N25" s="38">
        <f>IF(tblScrap[[#This Row],[Date]]="","",IF(tblScrap[[#This Row],[Mass]]="","",tblScrap[[#This Row],[Scrap mass]]*RecoveryKg))</f>
        <v>10.92</v>
      </c>
      <c r="O25" s="38">
        <f>IF(tblScrap[[#This Row],[Date]]="","",IF(tblScrap[[#This Row],[Material]]="","",tblScrap[[#This Row],[Material write-off]]+tblScrap[[#This Row],[Conversion write-off]]+tblScrap[[#This Row],[Disposal]]-tblScrap[[#This Row],[Recovery credit]]))</f>
        <v>34.77</v>
      </c>
      <c r="P25" s="41">
        <f>IF(tblScrap[[#This Row],[Date]]="","",IF(AND(tblScrap[[#This Row],[Date]]&gt;=FFrom,tblScrap[[#This Row],[Date]]&lt;=FTo,OR(DashPart="",tblScrap[[#This Row],[Part]]=DashPart)),tblScrap[[#This Row],[Date]],""))</f>
        <v>46261</v>
      </c>
      <c r="Q25"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25" s="43" t="s">
        <v>139</v>
      </c>
    </row>
    <row r="26" spans="2:18" x14ac:dyDescent="0.25">
      <c r="B26" s="36">
        <v>46261</v>
      </c>
      <c r="C26" s="28" t="s">
        <v>91</v>
      </c>
      <c r="D26" s="28" t="s">
        <v>96</v>
      </c>
      <c r="E26" s="28" t="s">
        <v>111</v>
      </c>
      <c r="F26" s="37">
        <v>13</v>
      </c>
      <c r="G26" s="38">
        <f>IF(tblScrap[[#This Row],[Date]]="","",IFERROR(INDEX(tblParts[Material],MATCH(tblScrap[[#This Row],[Part]],tblParts[Part],0)),""))</f>
        <v>2.05</v>
      </c>
      <c r="H26" s="38">
        <f>IF(tblScrap[[#This Row],[Date]]="","",SUMIFS(tblStageCosts[Conversion to date],tblStageCosts[Part],tblScrap[[#This Row],[Part]],tblStageCosts[Operation],tblScrap[[#This Row],[Operation]]))</f>
        <v>1.3</v>
      </c>
      <c r="I26" s="39">
        <f>IF(tblScrap[[#This Row],[Date]]="","",IFERROR(INDEX(tblParts[Mass],MATCH(tblScrap[[#This Row],[Part]],tblParts[Part],0)),""))</f>
        <v>0.62</v>
      </c>
      <c r="J26" s="40">
        <f>IF(tblScrap[[#This Row],[Date]]="","",IF(tblScrap[[#This Row],[Mass]]="","",tblScrap[[#This Row],[Scrapped]]*tblScrap[[#This Row],[Mass]]))</f>
        <v>8.06</v>
      </c>
      <c r="K26" s="38">
        <f>IF(tblScrap[[#This Row],[Date]]="","",IF(tblScrap[[#This Row],[Material]]="","",tblScrap[[#This Row],[Scrapped]]*tblScrap[[#This Row],[Material]]))</f>
        <v>26.65</v>
      </c>
      <c r="L26" s="38">
        <f>IF(tblScrap[[#This Row],[Date]]="","",tblScrap[[#This Row],[Scrapped]]*tblScrap[[#This Row],[Conversion to date]])</f>
        <v>16.9</v>
      </c>
      <c r="M26" s="38">
        <f>IF(tblScrap[[#This Row],[Date]]="","",IF(tblScrap[[#This Row],[Mass]]="","",tblScrap[[#This Row],[Scrap mass]]*DisposalKg))</f>
        <v>0.403</v>
      </c>
      <c r="N26" s="38">
        <f>IF(tblScrap[[#This Row],[Date]]="","",IF(tblScrap[[#This Row],[Mass]]="","",tblScrap[[#This Row],[Scrap mass]]*RecoveryKg))</f>
        <v>11.284</v>
      </c>
      <c r="O26" s="38">
        <f>IF(tblScrap[[#This Row],[Date]]="","",IF(tblScrap[[#This Row],[Material]]="","",tblScrap[[#This Row],[Material write-off]]+tblScrap[[#This Row],[Conversion write-off]]+tblScrap[[#This Row],[Disposal]]-tblScrap[[#This Row],[Recovery credit]]))</f>
        <v>32.669</v>
      </c>
      <c r="P26" s="41">
        <f>IF(tblScrap[[#This Row],[Date]]="","",IF(AND(tblScrap[[#This Row],[Date]]&gt;=FFrom,tblScrap[[#This Row],[Date]]&lt;=FTo,OR(DashPart="",tblScrap[[#This Row],[Part]]=DashPart)),tblScrap[[#This Row],[Date]],""))</f>
        <v>46261</v>
      </c>
      <c r="Q26"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26" s="43" t="s">
        <v>139</v>
      </c>
    </row>
    <row r="27" spans="2:18" x14ac:dyDescent="0.25">
      <c r="B27" s="36">
        <v>46261</v>
      </c>
      <c r="C27" s="28" t="s">
        <v>93</v>
      </c>
      <c r="D27" s="28" t="s">
        <v>96</v>
      </c>
      <c r="E27" s="28" t="s">
        <v>109</v>
      </c>
      <c r="F27" s="37">
        <v>11</v>
      </c>
      <c r="G27" s="38">
        <f>IF(tblScrap[[#This Row],[Date]]="","",IFERROR(INDEX(tblParts[Material],MATCH(tblScrap[[#This Row],[Part]],tblParts[Part],0)),""))</f>
        <v>3.65</v>
      </c>
      <c r="H27" s="38">
        <f>IF(tblScrap[[#This Row],[Date]]="","",SUMIFS(tblStageCosts[Conversion to date],tblStageCosts[Part],tblScrap[[#This Row],[Part]],tblStageCosts[Operation],tblScrap[[#This Row],[Operation]]))</f>
        <v>2.6</v>
      </c>
      <c r="I27" s="39">
        <f>IF(tblScrap[[#This Row],[Date]]="","",IFERROR(INDEX(tblParts[Mass],MATCH(tblScrap[[#This Row],[Part]],tblParts[Part],0)),""))</f>
        <v>1.1</v>
      </c>
      <c r="J27" s="40">
        <f>IF(tblScrap[[#This Row],[Date]]="","",IF(tblScrap[[#This Row],[Mass]]="","",tblScrap[[#This Row],[Scrapped]]*tblScrap[[#This Row],[Mass]]))</f>
        <v>12.1</v>
      </c>
      <c r="K27" s="38">
        <f>IF(tblScrap[[#This Row],[Date]]="","",IF(tblScrap[[#This Row],[Material]]="","",tblScrap[[#This Row],[Scrapped]]*tblScrap[[#This Row],[Material]]))</f>
        <v>40.15</v>
      </c>
      <c r="L27" s="38">
        <f>IF(tblScrap[[#This Row],[Date]]="","",tblScrap[[#This Row],[Scrapped]]*tblScrap[[#This Row],[Conversion to date]])</f>
        <v>28.6</v>
      </c>
      <c r="M27" s="38">
        <f>IF(tblScrap[[#This Row],[Date]]="","",IF(tblScrap[[#This Row],[Mass]]="","",tblScrap[[#This Row],[Scrap mass]]*DisposalKg))</f>
        <v>0.605</v>
      </c>
      <c r="N27" s="38">
        <f>IF(tblScrap[[#This Row],[Date]]="","",IF(tblScrap[[#This Row],[Mass]]="","",tblScrap[[#This Row],[Scrap mass]]*RecoveryKg))</f>
        <v>16.94</v>
      </c>
      <c r="O27" s="38">
        <f>IF(tblScrap[[#This Row],[Date]]="","",IF(tblScrap[[#This Row],[Material]]="","",tblScrap[[#This Row],[Material write-off]]+tblScrap[[#This Row],[Conversion write-off]]+tblScrap[[#This Row],[Disposal]]-tblScrap[[#This Row],[Recovery credit]]))</f>
        <v>52.415</v>
      </c>
      <c r="P27" s="41">
        <f>IF(tblScrap[[#This Row],[Date]]="","",IF(AND(tblScrap[[#This Row],[Date]]&gt;=FFrom,tblScrap[[#This Row],[Date]]&lt;=FTo,OR(DashPart="",tblScrap[[#This Row],[Part]]=DashPart)),tblScrap[[#This Row],[Date]],""))</f>
        <v>46261</v>
      </c>
      <c r="Q27"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27" s="43" t="s">
        <v>139</v>
      </c>
    </row>
    <row r="28" spans="2:18" x14ac:dyDescent="0.25">
      <c r="B28" s="36">
        <v>46262</v>
      </c>
      <c r="C28" s="28" t="s">
        <v>87</v>
      </c>
      <c r="D28" s="28" t="s">
        <v>100</v>
      </c>
      <c r="E28" s="28" t="s">
        <v>115</v>
      </c>
      <c r="F28" s="37">
        <v>5</v>
      </c>
      <c r="G28" s="38">
        <f>IF(tblScrap[[#This Row],[Date]]="","",IFERROR(INDEX(tblParts[Material],MATCH(tblScrap[[#This Row],[Part]],tblParts[Part],0)),""))</f>
        <v>6.1</v>
      </c>
      <c r="H28" s="38">
        <f>IF(tblScrap[[#This Row],[Date]]="","",SUMIFS(tblStageCosts[Conversion to date],tblStageCosts[Part],tblScrap[[#This Row],[Part]],tblStageCosts[Operation],tblScrap[[#This Row],[Operation]]))</f>
        <v>11.6</v>
      </c>
      <c r="I28" s="39">
        <f>IF(tblScrap[[#This Row],[Date]]="","",IFERROR(INDEX(tblParts[Mass],MATCH(tblScrap[[#This Row],[Part]],tblParts[Part],0)),""))</f>
        <v>1.85</v>
      </c>
      <c r="J28" s="40">
        <f>IF(tblScrap[[#This Row],[Date]]="","",IF(tblScrap[[#This Row],[Mass]]="","",tblScrap[[#This Row],[Scrapped]]*tblScrap[[#This Row],[Mass]]))</f>
        <v>9.25</v>
      </c>
      <c r="K28" s="38">
        <f>IF(tblScrap[[#This Row],[Date]]="","",IF(tblScrap[[#This Row],[Material]]="","",tblScrap[[#This Row],[Scrapped]]*tblScrap[[#This Row],[Material]]))</f>
        <v>30.5</v>
      </c>
      <c r="L28" s="38">
        <f>IF(tblScrap[[#This Row],[Date]]="","",tblScrap[[#This Row],[Scrapped]]*tblScrap[[#This Row],[Conversion to date]])</f>
        <v>58</v>
      </c>
      <c r="M28" s="38">
        <f>IF(tblScrap[[#This Row],[Date]]="","",IF(tblScrap[[#This Row],[Mass]]="","",tblScrap[[#This Row],[Scrap mass]]*DisposalKg))</f>
        <v>0.4625</v>
      </c>
      <c r="N28" s="38">
        <f>IF(tblScrap[[#This Row],[Date]]="","",IF(tblScrap[[#This Row],[Mass]]="","",tblScrap[[#This Row],[Scrap mass]]*RecoveryKg))</f>
        <v>12.95</v>
      </c>
      <c r="O28" s="38">
        <f>IF(tblScrap[[#This Row],[Date]]="","",IF(tblScrap[[#This Row],[Material]]="","",tblScrap[[#This Row],[Material write-off]]+tblScrap[[#This Row],[Conversion write-off]]+tblScrap[[#This Row],[Disposal]]-tblScrap[[#This Row],[Recovery credit]]))</f>
        <v>76.0125</v>
      </c>
      <c r="P28" s="41">
        <f>IF(tblScrap[[#This Row],[Date]]="","",IF(AND(tblScrap[[#This Row],[Date]]&gt;=FFrom,tblScrap[[#This Row],[Date]]&lt;=FTo,OR(DashPart="",tblScrap[[#This Row],[Part]]=DashPart)),tblScrap[[#This Row],[Date]],""))</f>
        <v>46262</v>
      </c>
      <c r="Q28"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28" s="43" t="s">
        <v>139</v>
      </c>
    </row>
    <row r="29" spans="2:18" x14ac:dyDescent="0.25">
      <c r="B29" s="36">
        <v>46262</v>
      </c>
      <c r="C29" s="28" t="s">
        <v>89</v>
      </c>
      <c r="D29" s="28" t="s">
        <v>96</v>
      </c>
      <c r="E29" s="28" t="s">
        <v>109</v>
      </c>
      <c r="F29" s="37">
        <v>3</v>
      </c>
      <c r="G29" s="38">
        <f>IF(tblScrap[[#This Row],[Date]]="","",IFERROR(INDEX(tblParts[Material],MATCH(tblScrap[[#This Row],[Part]],tblParts[Part],0)),""))</f>
        <v>8.6</v>
      </c>
      <c r="H29" s="38">
        <f>IF(tblScrap[[#This Row],[Date]]="","",SUMIFS(tblStageCosts[Conversion to date],tblStageCosts[Part],tblScrap[[#This Row],[Part]],tblStageCosts[Operation],tblScrap[[#This Row],[Operation]]))</f>
        <v>5.4</v>
      </c>
      <c r="I29" s="39">
        <f>IF(tblScrap[[#This Row],[Date]]="","",IFERROR(INDEX(tblParts[Mass],MATCH(tblScrap[[#This Row],[Part]],tblParts[Part],0)),""))</f>
        <v>2.6</v>
      </c>
      <c r="J29" s="40">
        <f>IF(tblScrap[[#This Row],[Date]]="","",IF(tblScrap[[#This Row],[Mass]]="","",tblScrap[[#This Row],[Scrapped]]*tblScrap[[#This Row],[Mass]]))</f>
        <v>7.8</v>
      </c>
      <c r="K29" s="38">
        <f>IF(tblScrap[[#This Row],[Date]]="","",IF(tblScrap[[#This Row],[Material]]="","",tblScrap[[#This Row],[Scrapped]]*tblScrap[[#This Row],[Material]]))</f>
        <v>25.8</v>
      </c>
      <c r="L29" s="38">
        <f>IF(tblScrap[[#This Row],[Date]]="","",tblScrap[[#This Row],[Scrapped]]*tblScrap[[#This Row],[Conversion to date]])</f>
        <v>16.2</v>
      </c>
      <c r="M29" s="38">
        <f>IF(tblScrap[[#This Row],[Date]]="","",IF(tblScrap[[#This Row],[Mass]]="","",tblScrap[[#This Row],[Scrap mass]]*DisposalKg))</f>
        <v>0.39</v>
      </c>
      <c r="N29" s="38">
        <f>IF(tblScrap[[#This Row],[Date]]="","",IF(tblScrap[[#This Row],[Mass]]="","",tblScrap[[#This Row],[Scrap mass]]*RecoveryKg))</f>
        <v>10.92</v>
      </c>
      <c r="O29" s="38">
        <f>IF(tblScrap[[#This Row],[Date]]="","",IF(tblScrap[[#This Row],[Material]]="","",tblScrap[[#This Row],[Material write-off]]+tblScrap[[#This Row],[Conversion write-off]]+tblScrap[[#This Row],[Disposal]]-tblScrap[[#This Row],[Recovery credit]]))</f>
        <v>31.47</v>
      </c>
      <c r="P29" s="41">
        <f>IF(tblScrap[[#This Row],[Date]]="","",IF(AND(tblScrap[[#This Row],[Date]]&gt;=FFrom,tblScrap[[#This Row],[Date]]&lt;=FTo,OR(DashPart="",tblScrap[[#This Row],[Part]]=DashPart)),tblScrap[[#This Row],[Date]],""))</f>
        <v>46262</v>
      </c>
      <c r="Q29"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29" s="43" t="s">
        <v>139</v>
      </c>
    </row>
    <row r="30" spans="2:18" x14ac:dyDescent="0.25">
      <c r="B30" s="36">
        <v>46262</v>
      </c>
      <c r="C30" s="28" t="s">
        <v>89</v>
      </c>
      <c r="D30" s="28" t="s">
        <v>102</v>
      </c>
      <c r="E30" s="28" t="s">
        <v>113</v>
      </c>
      <c r="F30" s="37">
        <v>6</v>
      </c>
      <c r="G30" s="38">
        <f>IF(tblScrap[[#This Row],[Date]]="","",IFERROR(INDEX(tblParts[Material],MATCH(tblScrap[[#This Row],[Part]],tblParts[Part],0)),""))</f>
        <v>8.6</v>
      </c>
      <c r="H30" s="38">
        <f>IF(tblScrap[[#This Row],[Date]]="","",SUMIFS(tblStageCosts[Conversion to date],tblStageCosts[Part],tblScrap[[#This Row],[Part]],tblStageCosts[Operation],tblScrap[[#This Row],[Operation]]))</f>
        <v>16.9</v>
      </c>
      <c r="I30" s="39">
        <f>IF(tblScrap[[#This Row],[Date]]="","",IFERROR(INDEX(tblParts[Mass],MATCH(tblScrap[[#This Row],[Part]],tblParts[Part],0)),""))</f>
        <v>2.6</v>
      </c>
      <c r="J30" s="40">
        <f>IF(tblScrap[[#This Row],[Date]]="","",IF(tblScrap[[#This Row],[Mass]]="","",tblScrap[[#This Row],[Scrapped]]*tblScrap[[#This Row],[Mass]]))</f>
        <v>15.6</v>
      </c>
      <c r="K30" s="38">
        <f>IF(tblScrap[[#This Row],[Date]]="","",IF(tblScrap[[#This Row],[Material]]="","",tblScrap[[#This Row],[Scrapped]]*tblScrap[[#This Row],[Material]]))</f>
        <v>51.6</v>
      </c>
      <c r="L30" s="38">
        <f>IF(tblScrap[[#This Row],[Date]]="","",tblScrap[[#This Row],[Scrapped]]*tblScrap[[#This Row],[Conversion to date]])</f>
        <v>101.4</v>
      </c>
      <c r="M30" s="38">
        <f>IF(tblScrap[[#This Row],[Date]]="","",IF(tblScrap[[#This Row],[Mass]]="","",tblScrap[[#This Row],[Scrap mass]]*DisposalKg))</f>
        <v>0.78</v>
      </c>
      <c r="N30" s="38">
        <f>IF(tblScrap[[#This Row],[Date]]="","",IF(tblScrap[[#This Row],[Mass]]="","",tblScrap[[#This Row],[Scrap mass]]*RecoveryKg))</f>
        <v>21.84</v>
      </c>
      <c r="O30" s="38">
        <f>IF(tblScrap[[#This Row],[Date]]="","",IF(tblScrap[[#This Row],[Material]]="","",tblScrap[[#This Row],[Material write-off]]+tblScrap[[#This Row],[Conversion write-off]]+tblScrap[[#This Row],[Disposal]]-tblScrap[[#This Row],[Recovery credit]]))</f>
        <v>131.94</v>
      </c>
      <c r="P30" s="41">
        <f>IF(tblScrap[[#This Row],[Date]]="","",IF(AND(tblScrap[[#This Row],[Date]]&gt;=FFrom,tblScrap[[#This Row],[Date]]&lt;=FTo,OR(DashPart="",tblScrap[[#This Row],[Part]]=DashPart)),tblScrap[[#This Row],[Date]],""))</f>
        <v>46262</v>
      </c>
      <c r="Q30"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30" s="43" t="s">
        <v>139</v>
      </c>
    </row>
    <row r="31" spans="2:18" x14ac:dyDescent="0.25">
      <c r="B31" s="36">
        <v>46262</v>
      </c>
      <c r="C31" s="28" t="s">
        <v>89</v>
      </c>
      <c r="D31" s="28" t="s">
        <v>100</v>
      </c>
      <c r="E31" s="28" t="s">
        <v>115</v>
      </c>
      <c r="F31" s="37">
        <v>4</v>
      </c>
      <c r="G31" s="38">
        <f>IF(tblScrap[[#This Row],[Date]]="","",IFERROR(INDEX(tblParts[Material],MATCH(tblScrap[[#This Row],[Part]],tblParts[Part],0)),""))</f>
        <v>8.6</v>
      </c>
      <c r="H31" s="38">
        <f>IF(tblScrap[[#This Row],[Date]]="","",SUMIFS(tblStageCosts[Conversion to date],tblStageCosts[Part],tblScrap[[#This Row],[Part]],tblStageCosts[Operation],tblScrap[[#This Row],[Operation]]))</f>
        <v>15.8</v>
      </c>
      <c r="I31" s="39">
        <f>IF(tblScrap[[#This Row],[Date]]="","",IFERROR(INDEX(tblParts[Mass],MATCH(tblScrap[[#This Row],[Part]],tblParts[Part],0)),""))</f>
        <v>2.6</v>
      </c>
      <c r="J31" s="40">
        <f>IF(tblScrap[[#This Row],[Date]]="","",IF(tblScrap[[#This Row],[Mass]]="","",tblScrap[[#This Row],[Scrapped]]*tblScrap[[#This Row],[Mass]]))</f>
        <v>10.4</v>
      </c>
      <c r="K31" s="38">
        <f>IF(tblScrap[[#This Row],[Date]]="","",IF(tblScrap[[#This Row],[Material]]="","",tblScrap[[#This Row],[Scrapped]]*tblScrap[[#This Row],[Material]]))</f>
        <v>34.4</v>
      </c>
      <c r="L31" s="38">
        <f>IF(tblScrap[[#This Row],[Date]]="","",tblScrap[[#This Row],[Scrapped]]*tblScrap[[#This Row],[Conversion to date]])</f>
        <v>63.2</v>
      </c>
      <c r="M31" s="38">
        <f>IF(tblScrap[[#This Row],[Date]]="","",IF(tblScrap[[#This Row],[Mass]]="","",tblScrap[[#This Row],[Scrap mass]]*DisposalKg))</f>
        <v>0.52</v>
      </c>
      <c r="N31" s="38">
        <f>IF(tblScrap[[#This Row],[Date]]="","",IF(tblScrap[[#This Row],[Mass]]="","",tblScrap[[#This Row],[Scrap mass]]*RecoveryKg))</f>
        <v>14.56</v>
      </c>
      <c r="O31" s="38">
        <f>IF(tblScrap[[#This Row],[Date]]="","",IF(tblScrap[[#This Row],[Material]]="","",tblScrap[[#This Row],[Material write-off]]+tblScrap[[#This Row],[Conversion write-off]]+tblScrap[[#This Row],[Disposal]]-tblScrap[[#This Row],[Recovery credit]]))</f>
        <v>83.56</v>
      </c>
      <c r="P31" s="41">
        <f>IF(tblScrap[[#This Row],[Date]]="","",IF(AND(tblScrap[[#This Row],[Date]]&gt;=FFrom,tblScrap[[#This Row],[Date]]&lt;=FTo,OR(DashPart="",tblScrap[[#This Row],[Part]]=DashPart)),tblScrap[[#This Row],[Date]],""))</f>
        <v>46262</v>
      </c>
      <c r="Q31"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31" s="43" t="s">
        <v>139</v>
      </c>
    </row>
    <row r="32" spans="2:18" x14ac:dyDescent="0.25">
      <c r="B32" s="36">
        <v>46262</v>
      </c>
      <c r="C32" s="28" t="s">
        <v>91</v>
      </c>
      <c r="D32" s="28" t="s">
        <v>96</v>
      </c>
      <c r="E32" s="28" t="s">
        <v>111</v>
      </c>
      <c r="F32" s="37">
        <v>14</v>
      </c>
      <c r="G32" s="38">
        <f>IF(tblScrap[[#This Row],[Date]]="","",IFERROR(INDEX(tblParts[Material],MATCH(tblScrap[[#This Row],[Part]],tblParts[Part],0)),""))</f>
        <v>2.05</v>
      </c>
      <c r="H32" s="38">
        <f>IF(tblScrap[[#This Row],[Date]]="","",SUMIFS(tblStageCosts[Conversion to date],tblStageCosts[Part],tblScrap[[#This Row],[Part]],tblStageCosts[Operation],tblScrap[[#This Row],[Operation]]))</f>
        <v>1.3</v>
      </c>
      <c r="I32" s="39">
        <f>IF(tblScrap[[#This Row],[Date]]="","",IFERROR(INDEX(tblParts[Mass],MATCH(tblScrap[[#This Row],[Part]],tblParts[Part],0)),""))</f>
        <v>0.62</v>
      </c>
      <c r="J32" s="40">
        <f>IF(tblScrap[[#This Row],[Date]]="","",IF(tblScrap[[#This Row],[Mass]]="","",tblScrap[[#This Row],[Scrapped]]*tblScrap[[#This Row],[Mass]]))</f>
        <v>8.68</v>
      </c>
      <c r="K32" s="38">
        <f>IF(tblScrap[[#This Row],[Date]]="","",IF(tblScrap[[#This Row],[Material]]="","",tblScrap[[#This Row],[Scrapped]]*tblScrap[[#This Row],[Material]]))</f>
        <v>28.7</v>
      </c>
      <c r="L32" s="38">
        <f>IF(tblScrap[[#This Row],[Date]]="","",tblScrap[[#This Row],[Scrapped]]*tblScrap[[#This Row],[Conversion to date]])</f>
        <v>18.2</v>
      </c>
      <c r="M32" s="38">
        <f>IF(tblScrap[[#This Row],[Date]]="","",IF(tblScrap[[#This Row],[Mass]]="","",tblScrap[[#This Row],[Scrap mass]]*DisposalKg))</f>
        <v>0.434</v>
      </c>
      <c r="N32" s="38">
        <f>IF(tblScrap[[#This Row],[Date]]="","",IF(tblScrap[[#This Row],[Mass]]="","",tblScrap[[#This Row],[Scrap mass]]*RecoveryKg))</f>
        <v>12.152</v>
      </c>
      <c r="O32" s="38">
        <f>IF(tblScrap[[#This Row],[Date]]="","",IF(tblScrap[[#This Row],[Material]]="","",tblScrap[[#This Row],[Material write-off]]+tblScrap[[#This Row],[Conversion write-off]]+tblScrap[[#This Row],[Disposal]]-tblScrap[[#This Row],[Recovery credit]]))</f>
        <v>35.182</v>
      </c>
      <c r="P32" s="41">
        <f>IF(tblScrap[[#This Row],[Date]]="","",IF(AND(tblScrap[[#This Row],[Date]]&gt;=FFrom,tblScrap[[#This Row],[Date]]&lt;=FTo,OR(DashPart="",tblScrap[[#This Row],[Part]]=DashPart)),tblScrap[[#This Row],[Date]],""))</f>
        <v>46262</v>
      </c>
      <c r="Q32"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32" s="43" t="s">
        <v>139</v>
      </c>
    </row>
    <row r="33" spans="2:18" x14ac:dyDescent="0.25">
      <c r="B33" s="36">
        <v>46262</v>
      </c>
      <c r="C33" s="28" t="s">
        <v>93</v>
      </c>
      <c r="D33" s="28" t="s">
        <v>102</v>
      </c>
      <c r="E33" s="28" t="s">
        <v>113</v>
      </c>
      <c r="F33" s="37">
        <v>3</v>
      </c>
      <c r="G33" s="38">
        <f>IF(tblScrap[[#This Row],[Date]]="","",IFERROR(INDEX(tblParts[Material],MATCH(tblScrap[[#This Row],[Part]],tblParts[Part],0)),""))</f>
        <v>3.65</v>
      </c>
      <c r="H33" s="38">
        <f>IF(tblScrap[[#This Row],[Date]]="","",SUMIFS(tblStageCosts[Conversion to date],tblStageCosts[Part],tblScrap[[#This Row],[Part]],tblStageCosts[Operation],tblScrap[[#This Row],[Operation]]))</f>
        <v>7.4</v>
      </c>
      <c r="I33" s="39">
        <f>IF(tblScrap[[#This Row],[Date]]="","",IFERROR(INDEX(tblParts[Mass],MATCH(tblScrap[[#This Row],[Part]],tblParts[Part],0)),""))</f>
        <v>1.1</v>
      </c>
      <c r="J33" s="40">
        <f>IF(tblScrap[[#This Row],[Date]]="","",IF(tblScrap[[#This Row],[Mass]]="","",tblScrap[[#This Row],[Scrapped]]*tblScrap[[#This Row],[Mass]]))</f>
        <v>3.3</v>
      </c>
      <c r="K33" s="38">
        <f>IF(tblScrap[[#This Row],[Date]]="","",IF(tblScrap[[#This Row],[Material]]="","",tblScrap[[#This Row],[Scrapped]]*tblScrap[[#This Row],[Material]]))</f>
        <v>10.95</v>
      </c>
      <c r="L33" s="38">
        <f>IF(tblScrap[[#This Row],[Date]]="","",tblScrap[[#This Row],[Scrapped]]*tblScrap[[#This Row],[Conversion to date]])</f>
        <v>22.2</v>
      </c>
      <c r="M33" s="38">
        <f>IF(tblScrap[[#This Row],[Date]]="","",IF(tblScrap[[#This Row],[Mass]]="","",tblScrap[[#This Row],[Scrap mass]]*DisposalKg))</f>
        <v>0.165</v>
      </c>
      <c r="N33" s="38">
        <f>IF(tblScrap[[#This Row],[Date]]="","",IF(tblScrap[[#This Row],[Mass]]="","",tblScrap[[#This Row],[Scrap mass]]*RecoveryKg))</f>
        <v>4.62</v>
      </c>
      <c r="O33" s="38">
        <f>IF(tblScrap[[#This Row],[Date]]="","",IF(tblScrap[[#This Row],[Material]]="","",tblScrap[[#This Row],[Material write-off]]+tblScrap[[#This Row],[Conversion write-off]]+tblScrap[[#This Row],[Disposal]]-tblScrap[[#This Row],[Recovery credit]]))</f>
        <v>28.695</v>
      </c>
      <c r="P33" s="41">
        <f>IF(tblScrap[[#This Row],[Date]]="","",IF(AND(tblScrap[[#This Row],[Date]]&gt;=FFrom,tblScrap[[#This Row],[Date]]&lt;=FTo,OR(DashPart="",tblScrap[[#This Row],[Part]]=DashPart)),tblScrap[[#This Row],[Date]],""))</f>
        <v>46262</v>
      </c>
      <c r="Q33"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33" s="43" t="s">
        <v>139</v>
      </c>
    </row>
    <row r="34" spans="2:18" x14ac:dyDescent="0.25">
      <c r="B34" s="36">
        <v>46262</v>
      </c>
      <c r="C34" s="28" t="s">
        <v>93</v>
      </c>
      <c r="D34" s="28" t="s">
        <v>104</v>
      </c>
      <c r="E34" s="28" t="s">
        <v>123</v>
      </c>
      <c r="F34" s="37">
        <v>3</v>
      </c>
      <c r="G34" s="38">
        <f>IF(tblScrap[[#This Row],[Date]]="","",IFERROR(INDEX(tblParts[Material],MATCH(tblScrap[[#This Row],[Part]],tblParts[Part],0)),""))</f>
        <v>3.65</v>
      </c>
      <c r="H34" s="38">
        <f>IF(tblScrap[[#This Row],[Date]]="","",SUMIFS(tblStageCosts[Conversion to date],tblStageCosts[Part],tblScrap[[#This Row],[Part]],tblStageCosts[Operation],tblScrap[[#This Row],[Operation]]))</f>
        <v>7.7</v>
      </c>
      <c r="I34" s="39">
        <f>IF(tblScrap[[#This Row],[Date]]="","",IFERROR(INDEX(tblParts[Mass],MATCH(tblScrap[[#This Row],[Part]],tblParts[Part],0)),""))</f>
        <v>1.1</v>
      </c>
      <c r="J34" s="40">
        <f>IF(tblScrap[[#This Row],[Date]]="","",IF(tblScrap[[#This Row],[Mass]]="","",tblScrap[[#This Row],[Scrapped]]*tblScrap[[#This Row],[Mass]]))</f>
        <v>3.3</v>
      </c>
      <c r="K34" s="38">
        <f>IF(tblScrap[[#This Row],[Date]]="","",IF(tblScrap[[#This Row],[Material]]="","",tblScrap[[#This Row],[Scrapped]]*tblScrap[[#This Row],[Material]]))</f>
        <v>10.95</v>
      </c>
      <c r="L34" s="38">
        <f>IF(tblScrap[[#This Row],[Date]]="","",tblScrap[[#This Row],[Scrapped]]*tblScrap[[#This Row],[Conversion to date]])</f>
        <v>23.1</v>
      </c>
      <c r="M34" s="38">
        <f>IF(tblScrap[[#This Row],[Date]]="","",IF(tblScrap[[#This Row],[Mass]]="","",tblScrap[[#This Row],[Scrap mass]]*DisposalKg))</f>
        <v>0.165</v>
      </c>
      <c r="N34" s="38">
        <f>IF(tblScrap[[#This Row],[Date]]="","",IF(tblScrap[[#This Row],[Mass]]="","",tblScrap[[#This Row],[Scrap mass]]*RecoveryKg))</f>
        <v>4.62</v>
      </c>
      <c r="O34" s="38">
        <f>IF(tblScrap[[#This Row],[Date]]="","",IF(tblScrap[[#This Row],[Material]]="","",tblScrap[[#This Row],[Material write-off]]+tblScrap[[#This Row],[Conversion write-off]]+tblScrap[[#This Row],[Disposal]]-tblScrap[[#This Row],[Recovery credit]]))</f>
        <v>29.595</v>
      </c>
      <c r="P34" s="41">
        <f>IF(tblScrap[[#This Row],[Date]]="","",IF(AND(tblScrap[[#This Row],[Date]]&gt;=FFrom,tblScrap[[#This Row],[Date]]&lt;=FTo,OR(DashPart="",tblScrap[[#This Row],[Part]]=DashPart)),tblScrap[[#This Row],[Date]],""))</f>
        <v>46262</v>
      </c>
      <c r="Q34"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34" s="43" t="s">
        <v>140</v>
      </c>
    </row>
    <row r="35" spans="2:18" x14ac:dyDescent="0.25">
      <c r="B35" s="36">
        <v>46265</v>
      </c>
      <c r="C35" s="28" t="s">
        <v>87</v>
      </c>
      <c r="D35" s="28" t="s">
        <v>96</v>
      </c>
      <c r="E35" s="28" t="s">
        <v>111</v>
      </c>
      <c r="F35" s="37">
        <v>3</v>
      </c>
      <c r="G35" s="38">
        <f>IF(tblScrap[[#This Row],[Date]]="","",IFERROR(INDEX(tblParts[Material],MATCH(tblScrap[[#This Row],[Part]],tblParts[Part],0)),""))</f>
        <v>6.1</v>
      </c>
      <c r="H35" s="38">
        <f>IF(tblScrap[[#This Row],[Date]]="","",SUMIFS(tblStageCosts[Conversion to date],tblStageCosts[Part],tblScrap[[#This Row],[Part]],tblStageCosts[Operation],tblScrap[[#This Row],[Operation]]))</f>
        <v>4.2</v>
      </c>
      <c r="I35" s="39">
        <f>IF(tblScrap[[#This Row],[Date]]="","",IFERROR(INDEX(tblParts[Mass],MATCH(tblScrap[[#This Row],[Part]],tblParts[Part],0)),""))</f>
        <v>1.85</v>
      </c>
      <c r="J35" s="40">
        <f>IF(tblScrap[[#This Row],[Date]]="","",IF(tblScrap[[#This Row],[Mass]]="","",tblScrap[[#This Row],[Scrapped]]*tblScrap[[#This Row],[Mass]]))</f>
        <v>5.55</v>
      </c>
      <c r="K35" s="38">
        <f>IF(tblScrap[[#This Row],[Date]]="","",IF(tblScrap[[#This Row],[Material]]="","",tblScrap[[#This Row],[Scrapped]]*tblScrap[[#This Row],[Material]]))</f>
        <v>18.3</v>
      </c>
      <c r="L35" s="38">
        <f>IF(tblScrap[[#This Row],[Date]]="","",tblScrap[[#This Row],[Scrapped]]*tblScrap[[#This Row],[Conversion to date]])</f>
        <v>12.6</v>
      </c>
      <c r="M35" s="38">
        <f>IF(tblScrap[[#This Row],[Date]]="","",IF(tblScrap[[#This Row],[Mass]]="","",tblScrap[[#This Row],[Scrap mass]]*DisposalKg))</f>
        <v>0.2775</v>
      </c>
      <c r="N35" s="38">
        <f>IF(tblScrap[[#This Row],[Date]]="","",IF(tblScrap[[#This Row],[Mass]]="","",tblScrap[[#This Row],[Scrap mass]]*RecoveryKg))</f>
        <v>7.77</v>
      </c>
      <c r="O35" s="38">
        <f>IF(tblScrap[[#This Row],[Date]]="","",IF(tblScrap[[#This Row],[Material]]="","",tblScrap[[#This Row],[Material write-off]]+tblScrap[[#This Row],[Conversion write-off]]+tblScrap[[#This Row],[Disposal]]-tblScrap[[#This Row],[Recovery credit]]))</f>
        <v>23.4075</v>
      </c>
      <c r="P35" s="41">
        <f>IF(tblScrap[[#This Row],[Date]]="","",IF(AND(tblScrap[[#This Row],[Date]]&gt;=FFrom,tblScrap[[#This Row],[Date]]&lt;=FTo,OR(DashPart="",tblScrap[[#This Row],[Part]]=DashPart)),tblScrap[[#This Row],[Date]],""))</f>
        <v>46265</v>
      </c>
      <c r="Q35"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35" s="43" t="s">
        <v>139</v>
      </c>
    </row>
    <row r="36" spans="2:18" x14ac:dyDescent="0.25">
      <c r="B36" s="36">
        <v>46265</v>
      </c>
      <c r="C36" s="28" t="s">
        <v>89</v>
      </c>
      <c r="D36" s="28" t="s">
        <v>102</v>
      </c>
      <c r="E36" s="28" t="s">
        <v>113</v>
      </c>
      <c r="F36" s="37">
        <v>9</v>
      </c>
      <c r="G36" s="38">
        <f>IF(tblScrap[[#This Row],[Date]]="","",IFERROR(INDEX(tblParts[Material],MATCH(tblScrap[[#This Row],[Part]],tblParts[Part],0)),""))</f>
        <v>8.6</v>
      </c>
      <c r="H36" s="38">
        <f>IF(tblScrap[[#This Row],[Date]]="","",SUMIFS(tblStageCosts[Conversion to date],tblStageCosts[Part],tblScrap[[#This Row],[Part]],tblStageCosts[Operation],tblScrap[[#This Row],[Operation]]))</f>
        <v>16.9</v>
      </c>
      <c r="I36" s="39">
        <f>IF(tblScrap[[#This Row],[Date]]="","",IFERROR(INDEX(tblParts[Mass],MATCH(tblScrap[[#This Row],[Part]],tblParts[Part],0)),""))</f>
        <v>2.6</v>
      </c>
      <c r="J36" s="40">
        <f>IF(tblScrap[[#This Row],[Date]]="","",IF(tblScrap[[#This Row],[Mass]]="","",tblScrap[[#This Row],[Scrapped]]*tblScrap[[#This Row],[Mass]]))</f>
        <v>23.4</v>
      </c>
      <c r="K36" s="38">
        <f>IF(tblScrap[[#This Row],[Date]]="","",IF(tblScrap[[#This Row],[Material]]="","",tblScrap[[#This Row],[Scrapped]]*tblScrap[[#This Row],[Material]]))</f>
        <v>77.4</v>
      </c>
      <c r="L36" s="38">
        <f>IF(tblScrap[[#This Row],[Date]]="","",tblScrap[[#This Row],[Scrapped]]*tblScrap[[#This Row],[Conversion to date]])</f>
        <v>152.1</v>
      </c>
      <c r="M36" s="38">
        <f>IF(tblScrap[[#This Row],[Date]]="","",IF(tblScrap[[#This Row],[Mass]]="","",tblScrap[[#This Row],[Scrap mass]]*DisposalKg))</f>
        <v>1.17</v>
      </c>
      <c r="N36" s="38">
        <f>IF(tblScrap[[#This Row],[Date]]="","",IF(tblScrap[[#This Row],[Mass]]="","",tblScrap[[#This Row],[Scrap mass]]*RecoveryKg))</f>
        <v>32.76</v>
      </c>
      <c r="O36" s="38">
        <f>IF(tblScrap[[#This Row],[Date]]="","",IF(tblScrap[[#This Row],[Material]]="","",tblScrap[[#This Row],[Material write-off]]+tblScrap[[#This Row],[Conversion write-off]]+tblScrap[[#This Row],[Disposal]]-tblScrap[[#This Row],[Recovery credit]]))</f>
        <v>197.91</v>
      </c>
      <c r="P36" s="41">
        <f>IF(tblScrap[[#This Row],[Date]]="","",IF(AND(tblScrap[[#This Row],[Date]]&gt;=FFrom,tblScrap[[#This Row],[Date]]&lt;=FTo,OR(DashPart="",tblScrap[[#This Row],[Part]]=DashPart)),tblScrap[[#This Row],[Date]],""))</f>
        <v>46265</v>
      </c>
      <c r="Q36"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36" s="43" t="s">
        <v>139</v>
      </c>
    </row>
    <row r="37" spans="2:18" x14ac:dyDescent="0.25">
      <c r="B37" s="36">
        <v>46265</v>
      </c>
      <c r="C37" s="28" t="s">
        <v>89</v>
      </c>
      <c r="D37" s="28" t="s">
        <v>98</v>
      </c>
      <c r="E37" s="28" t="s">
        <v>121</v>
      </c>
      <c r="F37" s="37">
        <v>3</v>
      </c>
      <c r="G37" s="38">
        <f>IF(tblScrap[[#This Row],[Date]]="","",IFERROR(INDEX(tblParts[Material],MATCH(tblScrap[[#This Row],[Part]],tblParts[Part],0)),""))</f>
        <v>8.6</v>
      </c>
      <c r="H37" s="38">
        <f>IF(tblScrap[[#This Row],[Date]]="","",SUMIFS(tblStageCosts[Conversion to date],tblStageCosts[Part],tblScrap[[#This Row],[Part]],tblStageCosts[Operation],tblScrap[[#This Row],[Operation]]))</f>
        <v>6.5</v>
      </c>
      <c r="I37" s="39">
        <f>IF(tblScrap[[#This Row],[Date]]="","",IFERROR(INDEX(tblParts[Mass],MATCH(tblScrap[[#This Row],[Part]],tblParts[Part],0)),""))</f>
        <v>2.6</v>
      </c>
      <c r="J37" s="40">
        <f>IF(tblScrap[[#This Row],[Date]]="","",IF(tblScrap[[#This Row],[Mass]]="","",tblScrap[[#This Row],[Scrapped]]*tblScrap[[#This Row],[Mass]]))</f>
        <v>7.8</v>
      </c>
      <c r="K37" s="38">
        <f>IF(tblScrap[[#This Row],[Date]]="","",IF(tblScrap[[#This Row],[Material]]="","",tblScrap[[#This Row],[Scrapped]]*tblScrap[[#This Row],[Material]]))</f>
        <v>25.8</v>
      </c>
      <c r="L37" s="38">
        <f>IF(tblScrap[[#This Row],[Date]]="","",tblScrap[[#This Row],[Scrapped]]*tblScrap[[#This Row],[Conversion to date]])</f>
        <v>19.5</v>
      </c>
      <c r="M37" s="38">
        <f>IF(tblScrap[[#This Row],[Date]]="","",IF(tblScrap[[#This Row],[Mass]]="","",tblScrap[[#This Row],[Scrap mass]]*DisposalKg))</f>
        <v>0.39</v>
      </c>
      <c r="N37" s="38">
        <f>IF(tblScrap[[#This Row],[Date]]="","",IF(tblScrap[[#This Row],[Mass]]="","",tblScrap[[#This Row],[Scrap mass]]*RecoveryKg))</f>
        <v>10.92</v>
      </c>
      <c r="O37" s="38">
        <f>IF(tblScrap[[#This Row],[Date]]="","",IF(tblScrap[[#This Row],[Material]]="","",tblScrap[[#This Row],[Material write-off]]+tblScrap[[#This Row],[Conversion write-off]]+tblScrap[[#This Row],[Disposal]]-tblScrap[[#This Row],[Recovery credit]]))</f>
        <v>34.77</v>
      </c>
      <c r="P37" s="41">
        <f>IF(tblScrap[[#This Row],[Date]]="","",IF(AND(tblScrap[[#This Row],[Date]]&gt;=FFrom,tblScrap[[#This Row],[Date]]&lt;=FTo,OR(DashPart="",tblScrap[[#This Row],[Part]]=DashPart)),tblScrap[[#This Row],[Date]],""))</f>
        <v>46265</v>
      </c>
      <c r="Q37"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37" s="43" t="s">
        <v>139</v>
      </c>
    </row>
    <row r="38" spans="2:18" x14ac:dyDescent="0.25">
      <c r="B38" s="36">
        <v>46265</v>
      </c>
      <c r="C38" s="28" t="s">
        <v>93</v>
      </c>
      <c r="D38" s="28" t="s">
        <v>96</v>
      </c>
      <c r="E38" s="28" t="s">
        <v>109</v>
      </c>
      <c r="F38" s="37">
        <v>11</v>
      </c>
      <c r="G38" s="38">
        <f>IF(tblScrap[[#This Row],[Date]]="","",IFERROR(INDEX(tblParts[Material],MATCH(tblScrap[[#This Row],[Part]],tblParts[Part],0)),""))</f>
        <v>3.65</v>
      </c>
      <c r="H38" s="38">
        <f>IF(tblScrap[[#This Row],[Date]]="","",SUMIFS(tblStageCosts[Conversion to date],tblStageCosts[Part],tblScrap[[#This Row],[Part]],tblStageCosts[Operation],tblScrap[[#This Row],[Operation]]))</f>
        <v>2.6</v>
      </c>
      <c r="I38" s="39">
        <f>IF(tblScrap[[#This Row],[Date]]="","",IFERROR(INDEX(tblParts[Mass],MATCH(tblScrap[[#This Row],[Part]],tblParts[Part],0)),""))</f>
        <v>1.1</v>
      </c>
      <c r="J38" s="40">
        <f>IF(tblScrap[[#This Row],[Date]]="","",IF(tblScrap[[#This Row],[Mass]]="","",tblScrap[[#This Row],[Scrapped]]*tblScrap[[#This Row],[Mass]]))</f>
        <v>12.1</v>
      </c>
      <c r="K38" s="38">
        <f>IF(tblScrap[[#This Row],[Date]]="","",IF(tblScrap[[#This Row],[Material]]="","",tblScrap[[#This Row],[Scrapped]]*tblScrap[[#This Row],[Material]]))</f>
        <v>40.15</v>
      </c>
      <c r="L38" s="38">
        <f>IF(tblScrap[[#This Row],[Date]]="","",tblScrap[[#This Row],[Scrapped]]*tblScrap[[#This Row],[Conversion to date]])</f>
        <v>28.6</v>
      </c>
      <c r="M38" s="38">
        <f>IF(tblScrap[[#This Row],[Date]]="","",IF(tblScrap[[#This Row],[Mass]]="","",tblScrap[[#This Row],[Scrap mass]]*DisposalKg))</f>
        <v>0.605</v>
      </c>
      <c r="N38" s="38">
        <f>IF(tblScrap[[#This Row],[Date]]="","",IF(tblScrap[[#This Row],[Mass]]="","",tblScrap[[#This Row],[Scrap mass]]*RecoveryKg))</f>
        <v>16.94</v>
      </c>
      <c r="O38" s="38">
        <f>IF(tblScrap[[#This Row],[Date]]="","",IF(tblScrap[[#This Row],[Material]]="","",tblScrap[[#This Row],[Material write-off]]+tblScrap[[#This Row],[Conversion write-off]]+tblScrap[[#This Row],[Disposal]]-tblScrap[[#This Row],[Recovery credit]]))</f>
        <v>52.415</v>
      </c>
      <c r="P38" s="41">
        <f>IF(tblScrap[[#This Row],[Date]]="","",IF(AND(tblScrap[[#This Row],[Date]]&gt;=FFrom,tblScrap[[#This Row],[Date]]&lt;=FTo,OR(DashPart="",tblScrap[[#This Row],[Part]]=DashPart)),tblScrap[[#This Row],[Date]],""))</f>
        <v>46265</v>
      </c>
      <c r="Q38"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38" s="43" t="s">
        <v>139</v>
      </c>
    </row>
    <row r="39" spans="2:18" x14ac:dyDescent="0.25">
      <c r="B39" s="36">
        <v>46265</v>
      </c>
      <c r="C39" s="28" t="s">
        <v>93</v>
      </c>
      <c r="D39" s="28" t="s">
        <v>100</v>
      </c>
      <c r="E39" s="28" t="s">
        <v>119</v>
      </c>
      <c r="F39" s="37">
        <v>7</v>
      </c>
      <c r="G39" s="38">
        <f>IF(tblScrap[[#This Row],[Date]]="","",IFERROR(INDEX(tblParts[Material],MATCH(tblScrap[[#This Row],[Part]],tblParts[Part],0)),""))</f>
        <v>3.65</v>
      </c>
      <c r="H39" s="38">
        <f>IF(tblScrap[[#This Row],[Date]]="","",SUMIFS(tblStageCosts[Conversion to date],tblStageCosts[Part],tblScrap[[#This Row],[Part]],tblStageCosts[Operation],tblScrap[[#This Row],[Operation]]))</f>
        <v>6.9</v>
      </c>
      <c r="I39" s="39">
        <f>IF(tblScrap[[#This Row],[Date]]="","",IFERROR(INDEX(tblParts[Mass],MATCH(tblScrap[[#This Row],[Part]],tblParts[Part],0)),""))</f>
        <v>1.1</v>
      </c>
      <c r="J39" s="40">
        <f>IF(tblScrap[[#This Row],[Date]]="","",IF(tblScrap[[#This Row],[Mass]]="","",tblScrap[[#This Row],[Scrapped]]*tblScrap[[#This Row],[Mass]]))</f>
        <v>7.7</v>
      </c>
      <c r="K39" s="38">
        <f>IF(tblScrap[[#This Row],[Date]]="","",IF(tblScrap[[#This Row],[Material]]="","",tblScrap[[#This Row],[Scrapped]]*tblScrap[[#This Row],[Material]]))</f>
        <v>25.55</v>
      </c>
      <c r="L39" s="38">
        <f>IF(tblScrap[[#This Row],[Date]]="","",tblScrap[[#This Row],[Scrapped]]*tblScrap[[#This Row],[Conversion to date]])</f>
        <v>48.3</v>
      </c>
      <c r="M39" s="38">
        <f>IF(tblScrap[[#This Row],[Date]]="","",IF(tblScrap[[#This Row],[Mass]]="","",tblScrap[[#This Row],[Scrap mass]]*DisposalKg))</f>
        <v>0.385</v>
      </c>
      <c r="N39" s="38">
        <f>IF(tblScrap[[#This Row],[Date]]="","",IF(tblScrap[[#This Row],[Mass]]="","",tblScrap[[#This Row],[Scrap mass]]*RecoveryKg))</f>
        <v>10.78</v>
      </c>
      <c r="O39" s="38">
        <f>IF(tblScrap[[#This Row],[Date]]="","",IF(tblScrap[[#This Row],[Material]]="","",tblScrap[[#This Row],[Material write-off]]+tblScrap[[#This Row],[Conversion write-off]]+tblScrap[[#This Row],[Disposal]]-tblScrap[[#This Row],[Recovery credit]]))</f>
        <v>63.455</v>
      </c>
      <c r="P39" s="41">
        <f>IF(tblScrap[[#This Row],[Date]]="","",IF(AND(tblScrap[[#This Row],[Date]]&gt;=FFrom,tblScrap[[#This Row],[Date]]&lt;=FTo,OR(DashPart="",tblScrap[[#This Row],[Part]]=DashPart)),tblScrap[[#This Row],[Date]],""))</f>
        <v>46265</v>
      </c>
      <c r="Q39"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39" s="43" t="s">
        <v>139</v>
      </c>
    </row>
    <row r="40" spans="2:18" x14ac:dyDescent="0.25">
      <c r="B40" s="36">
        <v>46266</v>
      </c>
      <c r="C40" s="28" t="s">
        <v>89</v>
      </c>
      <c r="D40" s="28" t="s">
        <v>96</v>
      </c>
      <c r="E40" s="28" t="s">
        <v>109</v>
      </c>
      <c r="F40" s="37">
        <v>6</v>
      </c>
      <c r="G40" s="38">
        <f>IF(tblScrap[[#This Row],[Date]]="","",IFERROR(INDEX(tblParts[Material],MATCH(tblScrap[[#This Row],[Part]],tblParts[Part],0)),""))</f>
        <v>8.6</v>
      </c>
      <c r="H40" s="38">
        <f>IF(tblScrap[[#This Row],[Date]]="","",SUMIFS(tblStageCosts[Conversion to date],tblStageCosts[Part],tblScrap[[#This Row],[Part]],tblStageCosts[Operation],tblScrap[[#This Row],[Operation]]))</f>
        <v>5.4</v>
      </c>
      <c r="I40" s="39">
        <f>IF(tblScrap[[#This Row],[Date]]="","",IFERROR(INDEX(tblParts[Mass],MATCH(tblScrap[[#This Row],[Part]],tblParts[Part],0)),""))</f>
        <v>2.6</v>
      </c>
      <c r="J40" s="40">
        <f>IF(tblScrap[[#This Row],[Date]]="","",IF(tblScrap[[#This Row],[Mass]]="","",tblScrap[[#This Row],[Scrapped]]*tblScrap[[#This Row],[Mass]]))</f>
        <v>15.6</v>
      </c>
      <c r="K40" s="38">
        <f>IF(tblScrap[[#This Row],[Date]]="","",IF(tblScrap[[#This Row],[Material]]="","",tblScrap[[#This Row],[Scrapped]]*tblScrap[[#This Row],[Material]]))</f>
        <v>51.6</v>
      </c>
      <c r="L40" s="38">
        <f>IF(tblScrap[[#This Row],[Date]]="","",tblScrap[[#This Row],[Scrapped]]*tblScrap[[#This Row],[Conversion to date]])</f>
        <v>32.4</v>
      </c>
      <c r="M40" s="38">
        <f>IF(tblScrap[[#This Row],[Date]]="","",IF(tblScrap[[#This Row],[Mass]]="","",tblScrap[[#This Row],[Scrap mass]]*DisposalKg))</f>
        <v>0.78</v>
      </c>
      <c r="N40" s="38">
        <f>IF(tblScrap[[#This Row],[Date]]="","",IF(tblScrap[[#This Row],[Mass]]="","",tblScrap[[#This Row],[Scrap mass]]*RecoveryKg))</f>
        <v>21.84</v>
      </c>
      <c r="O40" s="38">
        <f>IF(tblScrap[[#This Row],[Date]]="","",IF(tblScrap[[#This Row],[Material]]="","",tblScrap[[#This Row],[Material write-off]]+tblScrap[[#This Row],[Conversion write-off]]+tblScrap[[#This Row],[Disposal]]-tblScrap[[#This Row],[Recovery credit]]))</f>
        <v>62.94</v>
      </c>
      <c r="P40" s="41">
        <f>IF(tblScrap[[#This Row],[Date]]="","",IF(AND(tblScrap[[#This Row],[Date]]&gt;=FFrom,tblScrap[[#This Row],[Date]]&lt;=FTo,OR(DashPart="",tblScrap[[#This Row],[Part]]=DashPart)),tblScrap[[#This Row],[Date]],""))</f>
        <v>46266</v>
      </c>
      <c r="Q40"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40" s="43" t="s">
        <v>139</v>
      </c>
    </row>
    <row r="41" spans="2:18" x14ac:dyDescent="0.25">
      <c r="B41" s="36">
        <v>46266</v>
      </c>
      <c r="C41" s="28" t="s">
        <v>89</v>
      </c>
      <c r="D41" s="28" t="s">
        <v>102</v>
      </c>
      <c r="E41" s="28" t="s">
        <v>113</v>
      </c>
      <c r="F41" s="37">
        <v>11</v>
      </c>
      <c r="G41" s="38">
        <f>IF(tblScrap[[#This Row],[Date]]="","",IFERROR(INDEX(tblParts[Material],MATCH(tblScrap[[#This Row],[Part]],tblParts[Part],0)),""))</f>
        <v>8.6</v>
      </c>
      <c r="H41" s="38">
        <f>IF(tblScrap[[#This Row],[Date]]="","",SUMIFS(tblStageCosts[Conversion to date],tblStageCosts[Part],tblScrap[[#This Row],[Part]],tblStageCosts[Operation],tblScrap[[#This Row],[Operation]]))</f>
        <v>16.9</v>
      </c>
      <c r="I41" s="39">
        <f>IF(tblScrap[[#This Row],[Date]]="","",IFERROR(INDEX(tblParts[Mass],MATCH(tblScrap[[#This Row],[Part]],tblParts[Part],0)),""))</f>
        <v>2.6</v>
      </c>
      <c r="J41" s="40">
        <f>IF(tblScrap[[#This Row],[Date]]="","",IF(tblScrap[[#This Row],[Mass]]="","",tblScrap[[#This Row],[Scrapped]]*tblScrap[[#This Row],[Mass]]))</f>
        <v>28.6</v>
      </c>
      <c r="K41" s="38">
        <f>IF(tblScrap[[#This Row],[Date]]="","",IF(tblScrap[[#This Row],[Material]]="","",tblScrap[[#This Row],[Scrapped]]*tblScrap[[#This Row],[Material]]))</f>
        <v>94.6</v>
      </c>
      <c r="L41" s="38">
        <f>IF(tblScrap[[#This Row],[Date]]="","",tblScrap[[#This Row],[Scrapped]]*tblScrap[[#This Row],[Conversion to date]])</f>
        <v>185.9</v>
      </c>
      <c r="M41" s="38">
        <f>IF(tblScrap[[#This Row],[Date]]="","",IF(tblScrap[[#This Row],[Mass]]="","",tblScrap[[#This Row],[Scrap mass]]*DisposalKg))</f>
        <v>1.43</v>
      </c>
      <c r="N41" s="38">
        <f>IF(tblScrap[[#This Row],[Date]]="","",IF(tblScrap[[#This Row],[Mass]]="","",tblScrap[[#This Row],[Scrap mass]]*RecoveryKg))</f>
        <v>40.04</v>
      </c>
      <c r="O41" s="38">
        <f>IF(tblScrap[[#This Row],[Date]]="","",IF(tblScrap[[#This Row],[Material]]="","",tblScrap[[#This Row],[Material write-off]]+tblScrap[[#This Row],[Conversion write-off]]+tblScrap[[#This Row],[Disposal]]-tblScrap[[#This Row],[Recovery credit]]))</f>
        <v>241.89</v>
      </c>
      <c r="P41" s="41">
        <f>IF(tblScrap[[#This Row],[Date]]="","",IF(AND(tblScrap[[#This Row],[Date]]&gt;=FFrom,tblScrap[[#This Row],[Date]]&lt;=FTo,OR(DashPart="",tblScrap[[#This Row],[Part]]=DashPart)),tblScrap[[#This Row],[Date]],""))</f>
        <v>46266</v>
      </c>
      <c r="Q41"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41" s="43" t="s">
        <v>139</v>
      </c>
    </row>
    <row r="42" spans="2:18" x14ac:dyDescent="0.25">
      <c r="B42" s="36">
        <v>46266</v>
      </c>
      <c r="C42" s="28" t="s">
        <v>91</v>
      </c>
      <c r="D42" s="28" t="s">
        <v>96</v>
      </c>
      <c r="E42" s="28" t="s">
        <v>111</v>
      </c>
      <c r="F42" s="37">
        <v>10</v>
      </c>
      <c r="G42" s="38">
        <f>IF(tblScrap[[#This Row],[Date]]="","",IFERROR(INDEX(tblParts[Material],MATCH(tblScrap[[#This Row],[Part]],tblParts[Part],0)),""))</f>
        <v>2.05</v>
      </c>
      <c r="H42" s="38">
        <f>IF(tblScrap[[#This Row],[Date]]="","",SUMIFS(tblStageCosts[Conversion to date],tblStageCosts[Part],tblScrap[[#This Row],[Part]],tblStageCosts[Operation],tblScrap[[#This Row],[Operation]]))</f>
        <v>1.3</v>
      </c>
      <c r="I42" s="39">
        <f>IF(tblScrap[[#This Row],[Date]]="","",IFERROR(INDEX(tblParts[Mass],MATCH(tblScrap[[#This Row],[Part]],tblParts[Part],0)),""))</f>
        <v>0.62</v>
      </c>
      <c r="J42" s="40">
        <f>IF(tblScrap[[#This Row],[Date]]="","",IF(tblScrap[[#This Row],[Mass]]="","",tblScrap[[#This Row],[Scrapped]]*tblScrap[[#This Row],[Mass]]))</f>
        <v>6.2</v>
      </c>
      <c r="K42" s="38">
        <f>IF(tblScrap[[#This Row],[Date]]="","",IF(tblScrap[[#This Row],[Material]]="","",tblScrap[[#This Row],[Scrapped]]*tblScrap[[#This Row],[Material]]))</f>
        <v>20.5</v>
      </c>
      <c r="L42" s="38">
        <f>IF(tblScrap[[#This Row],[Date]]="","",tblScrap[[#This Row],[Scrapped]]*tblScrap[[#This Row],[Conversion to date]])</f>
        <v>13</v>
      </c>
      <c r="M42" s="38">
        <f>IF(tblScrap[[#This Row],[Date]]="","",IF(tblScrap[[#This Row],[Mass]]="","",tblScrap[[#This Row],[Scrap mass]]*DisposalKg))</f>
        <v>0.31</v>
      </c>
      <c r="N42" s="38">
        <f>IF(tblScrap[[#This Row],[Date]]="","",IF(tblScrap[[#This Row],[Mass]]="","",tblScrap[[#This Row],[Scrap mass]]*RecoveryKg))</f>
        <v>8.68</v>
      </c>
      <c r="O42" s="38">
        <f>IF(tblScrap[[#This Row],[Date]]="","",IF(tblScrap[[#This Row],[Material]]="","",tblScrap[[#This Row],[Material write-off]]+tblScrap[[#This Row],[Conversion write-off]]+tblScrap[[#This Row],[Disposal]]-tblScrap[[#This Row],[Recovery credit]]))</f>
        <v>25.13</v>
      </c>
      <c r="P42" s="41">
        <f>IF(tblScrap[[#This Row],[Date]]="","",IF(AND(tblScrap[[#This Row],[Date]]&gt;=FFrom,tblScrap[[#This Row],[Date]]&lt;=FTo,OR(DashPart="",tblScrap[[#This Row],[Part]]=DashPart)),tblScrap[[#This Row],[Date]],""))</f>
        <v>46266</v>
      </c>
      <c r="Q42"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42" s="43" t="s">
        <v>139</v>
      </c>
    </row>
    <row r="43" spans="2:18" x14ac:dyDescent="0.25">
      <c r="B43" s="36">
        <v>46267</v>
      </c>
      <c r="C43" s="28" t="s">
        <v>87</v>
      </c>
      <c r="D43" s="28" t="s">
        <v>100</v>
      </c>
      <c r="E43" s="28" t="s">
        <v>115</v>
      </c>
      <c r="F43" s="37">
        <v>4</v>
      </c>
      <c r="G43" s="38">
        <f>IF(tblScrap[[#This Row],[Date]]="","",IFERROR(INDEX(tblParts[Material],MATCH(tblScrap[[#This Row],[Part]],tblParts[Part],0)),""))</f>
        <v>6.1</v>
      </c>
      <c r="H43" s="38">
        <f>IF(tblScrap[[#This Row],[Date]]="","",SUMIFS(tblStageCosts[Conversion to date],tblStageCosts[Part],tblScrap[[#This Row],[Part]],tblStageCosts[Operation],tblScrap[[#This Row],[Operation]]))</f>
        <v>11.6</v>
      </c>
      <c r="I43" s="39">
        <f>IF(tblScrap[[#This Row],[Date]]="","",IFERROR(INDEX(tblParts[Mass],MATCH(tblScrap[[#This Row],[Part]],tblParts[Part],0)),""))</f>
        <v>1.85</v>
      </c>
      <c r="J43" s="40">
        <f>IF(tblScrap[[#This Row],[Date]]="","",IF(tblScrap[[#This Row],[Mass]]="","",tblScrap[[#This Row],[Scrapped]]*tblScrap[[#This Row],[Mass]]))</f>
        <v>7.4</v>
      </c>
      <c r="K43" s="38">
        <f>IF(tblScrap[[#This Row],[Date]]="","",IF(tblScrap[[#This Row],[Material]]="","",tblScrap[[#This Row],[Scrapped]]*tblScrap[[#This Row],[Material]]))</f>
        <v>24.4</v>
      </c>
      <c r="L43" s="38">
        <f>IF(tblScrap[[#This Row],[Date]]="","",tblScrap[[#This Row],[Scrapped]]*tblScrap[[#This Row],[Conversion to date]])</f>
        <v>46.4</v>
      </c>
      <c r="M43" s="38">
        <f>IF(tblScrap[[#This Row],[Date]]="","",IF(tblScrap[[#This Row],[Mass]]="","",tblScrap[[#This Row],[Scrap mass]]*DisposalKg))</f>
        <v>0.37</v>
      </c>
      <c r="N43" s="38">
        <f>IF(tblScrap[[#This Row],[Date]]="","",IF(tblScrap[[#This Row],[Mass]]="","",tblScrap[[#This Row],[Scrap mass]]*RecoveryKg))</f>
        <v>10.36</v>
      </c>
      <c r="O43" s="38">
        <f>IF(tblScrap[[#This Row],[Date]]="","",IF(tblScrap[[#This Row],[Material]]="","",tblScrap[[#This Row],[Material write-off]]+tblScrap[[#This Row],[Conversion write-off]]+tblScrap[[#This Row],[Disposal]]-tblScrap[[#This Row],[Recovery credit]]))</f>
        <v>60.81</v>
      </c>
      <c r="P43" s="41">
        <f>IF(tblScrap[[#This Row],[Date]]="","",IF(AND(tblScrap[[#This Row],[Date]]&gt;=FFrom,tblScrap[[#This Row],[Date]]&lt;=FTo,OR(DashPart="",tblScrap[[#This Row],[Part]]=DashPart)),tblScrap[[#This Row],[Date]],""))</f>
        <v>46267</v>
      </c>
      <c r="Q43"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43" s="43" t="s">
        <v>139</v>
      </c>
    </row>
    <row r="44" spans="2:18" x14ac:dyDescent="0.25">
      <c r="B44" s="36">
        <v>46267</v>
      </c>
      <c r="C44" s="28" t="s">
        <v>89</v>
      </c>
      <c r="D44" s="28" t="s">
        <v>102</v>
      </c>
      <c r="E44" s="28" t="s">
        <v>113</v>
      </c>
      <c r="F44" s="37">
        <v>9</v>
      </c>
      <c r="G44" s="38">
        <f>IF(tblScrap[[#This Row],[Date]]="","",IFERROR(INDEX(tblParts[Material],MATCH(tblScrap[[#This Row],[Part]],tblParts[Part],0)),""))</f>
        <v>8.6</v>
      </c>
      <c r="H44" s="38">
        <f>IF(tblScrap[[#This Row],[Date]]="","",SUMIFS(tblStageCosts[Conversion to date],tblStageCosts[Part],tblScrap[[#This Row],[Part]],tblStageCosts[Operation],tblScrap[[#This Row],[Operation]]))</f>
        <v>16.9</v>
      </c>
      <c r="I44" s="39">
        <f>IF(tblScrap[[#This Row],[Date]]="","",IFERROR(INDEX(tblParts[Mass],MATCH(tblScrap[[#This Row],[Part]],tblParts[Part],0)),""))</f>
        <v>2.6</v>
      </c>
      <c r="J44" s="40">
        <f>IF(tblScrap[[#This Row],[Date]]="","",IF(tblScrap[[#This Row],[Mass]]="","",tblScrap[[#This Row],[Scrapped]]*tblScrap[[#This Row],[Mass]]))</f>
        <v>23.4</v>
      </c>
      <c r="K44" s="38">
        <f>IF(tblScrap[[#This Row],[Date]]="","",IF(tblScrap[[#This Row],[Material]]="","",tblScrap[[#This Row],[Scrapped]]*tblScrap[[#This Row],[Material]]))</f>
        <v>77.4</v>
      </c>
      <c r="L44" s="38">
        <f>IF(tblScrap[[#This Row],[Date]]="","",tblScrap[[#This Row],[Scrapped]]*tblScrap[[#This Row],[Conversion to date]])</f>
        <v>152.1</v>
      </c>
      <c r="M44" s="38">
        <f>IF(tblScrap[[#This Row],[Date]]="","",IF(tblScrap[[#This Row],[Mass]]="","",tblScrap[[#This Row],[Scrap mass]]*DisposalKg))</f>
        <v>1.17</v>
      </c>
      <c r="N44" s="38">
        <f>IF(tblScrap[[#This Row],[Date]]="","",IF(tblScrap[[#This Row],[Mass]]="","",tblScrap[[#This Row],[Scrap mass]]*RecoveryKg))</f>
        <v>32.76</v>
      </c>
      <c r="O44" s="38">
        <f>IF(tblScrap[[#This Row],[Date]]="","",IF(tblScrap[[#This Row],[Material]]="","",tblScrap[[#This Row],[Material write-off]]+tblScrap[[#This Row],[Conversion write-off]]+tblScrap[[#This Row],[Disposal]]-tblScrap[[#This Row],[Recovery credit]]))</f>
        <v>197.91</v>
      </c>
      <c r="P44" s="41">
        <f>IF(tblScrap[[#This Row],[Date]]="","",IF(AND(tblScrap[[#This Row],[Date]]&gt;=FFrom,tblScrap[[#This Row],[Date]]&lt;=FTo,OR(DashPart="",tblScrap[[#This Row],[Part]]=DashPart)),tblScrap[[#This Row],[Date]],""))</f>
        <v>46267</v>
      </c>
      <c r="Q44"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44" s="43" t="s">
        <v>139</v>
      </c>
    </row>
    <row r="45" spans="2:18" x14ac:dyDescent="0.25">
      <c r="B45" s="36">
        <v>46267</v>
      </c>
      <c r="C45" s="28" t="s">
        <v>89</v>
      </c>
      <c r="D45" s="28" t="s">
        <v>100</v>
      </c>
      <c r="E45" s="28" t="s">
        <v>115</v>
      </c>
      <c r="F45" s="37">
        <v>3</v>
      </c>
      <c r="G45" s="38">
        <f>IF(tblScrap[[#This Row],[Date]]="","",IFERROR(INDEX(tblParts[Material],MATCH(tblScrap[[#This Row],[Part]],tblParts[Part],0)),""))</f>
        <v>8.6</v>
      </c>
      <c r="H45" s="38">
        <f>IF(tblScrap[[#This Row],[Date]]="","",SUMIFS(tblStageCosts[Conversion to date],tblStageCosts[Part],tblScrap[[#This Row],[Part]],tblStageCosts[Operation],tblScrap[[#This Row],[Operation]]))</f>
        <v>15.8</v>
      </c>
      <c r="I45" s="39">
        <f>IF(tblScrap[[#This Row],[Date]]="","",IFERROR(INDEX(tblParts[Mass],MATCH(tblScrap[[#This Row],[Part]],tblParts[Part],0)),""))</f>
        <v>2.6</v>
      </c>
      <c r="J45" s="40">
        <f>IF(tblScrap[[#This Row],[Date]]="","",IF(tblScrap[[#This Row],[Mass]]="","",tblScrap[[#This Row],[Scrapped]]*tblScrap[[#This Row],[Mass]]))</f>
        <v>7.8</v>
      </c>
      <c r="K45" s="38">
        <f>IF(tblScrap[[#This Row],[Date]]="","",IF(tblScrap[[#This Row],[Material]]="","",tblScrap[[#This Row],[Scrapped]]*tblScrap[[#This Row],[Material]]))</f>
        <v>25.8</v>
      </c>
      <c r="L45" s="38">
        <f>IF(tblScrap[[#This Row],[Date]]="","",tblScrap[[#This Row],[Scrapped]]*tblScrap[[#This Row],[Conversion to date]])</f>
        <v>47.4</v>
      </c>
      <c r="M45" s="38">
        <f>IF(tblScrap[[#This Row],[Date]]="","",IF(tblScrap[[#This Row],[Mass]]="","",tblScrap[[#This Row],[Scrap mass]]*DisposalKg))</f>
        <v>0.39</v>
      </c>
      <c r="N45" s="38">
        <f>IF(tblScrap[[#This Row],[Date]]="","",IF(tblScrap[[#This Row],[Mass]]="","",tblScrap[[#This Row],[Scrap mass]]*RecoveryKg))</f>
        <v>10.92</v>
      </c>
      <c r="O45" s="38">
        <f>IF(tblScrap[[#This Row],[Date]]="","",IF(tblScrap[[#This Row],[Material]]="","",tblScrap[[#This Row],[Material write-off]]+tblScrap[[#This Row],[Conversion write-off]]+tblScrap[[#This Row],[Disposal]]-tblScrap[[#This Row],[Recovery credit]]))</f>
        <v>62.67</v>
      </c>
      <c r="P45" s="41">
        <f>IF(tblScrap[[#This Row],[Date]]="","",IF(AND(tblScrap[[#This Row],[Date]]&gt;=FFrom,tblScrap[[#This Row],[Date]]&lt;=FTo,OR(DashPart="",tblScrap[[#This Row],[Part]]=DashPart)),tblScrap[[#This Row],[Date]],""))</f>
        <v>46267</v>
      </c>
      <c r="Q45"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45" s="43" t="s">
        <v>139</v>
      </c>
    </row>
    <row r="46" spans="2:18" x14ac:dyDescent="0.25">
      <c r="B46" s="36">
        <v>46267</v>
      </c>
      <c r="C46" s="28" t="s">
        <v>89</v>
      </c>
      <c r="D46" s="28" t="s">
        <v>98</v>
      </c>
      <c r="E46" s="28" t="s">
        <v>121</v>
      </c>
      <c r="F46" s="37">
        <v>2</v>
      </c>
      <c r="G46" s="38">
        <f>IF(tblScrap[[#This Row],[Date]]="","",IFERROR(INDEX(tblParts[Material],MATCH(tblScrap[[#This Row],[Part]],tblParts[Part],0)),""))</f>
        <v>8.6</v>
      </c>
      <c r="H46" s="38">
        <f>IF(tblScrap[[#This Row],[Date]]="","",SUMIFS(tblStageCosts[Conversion to date],tblStageCosts[Part],tblScrap[[#This Row],[Part]],tblStageCosts[Operation],tblScrap[[#This Row],[Operation]]))</f>
        <v>6.5</v>
      </c>
      <c r="I46" s="39">
        <f>IF(tblScrap[[#This Row],[Date]]="","",IFERROR(INDEX(tblParts[Mass],MATCH(tblScrap[[#This Row],[Part]],tblParts[Part],0)),""))</f>
        <v>2.6</v>
      </c>
      <c r="J46" s="40">
        <f>IF(tblScrap[[#This Row],[Date]]="","",IF(tblScrap[[#This Row],[Mass]]="","",tblScrap[[#This Row],[Scrapped]]*tblScrap[[#This Row],[Mass]]))</f>
        <v>5.2</v>
      </c>
      <c r="K46" s="38">
        <f>IF(tblScrap[[#This Row],[Date]]="","",IF(tblScrap[[#This Row],[Material]]="","",tblScrap[[#This Row],[Scrapped]]*tblScrap[[#This Row],[Material]]))</f>
        <v>17.2</v>
      </c>
      <c r="L46" s="38">
        <f>IF(tblScrap[[#This Row],[Date]]="","",tblScrap[[#This Row],[Scrapped]]*tblScrap[[#This Row],[Conversion to date]])</f>
        <v>13</v>
      </c>
      <c r="M46" s="38">
        <f>IF(tblScrap[[#This Row],[Date]]="","",IF(tblScrap[[#This Row],[Mass]]="","",tblScrap[[#This Row],[Scrap mass]]*DisposalKg))</f>
        <v>0.26</v>
      </c>
      <c r="N46" s="38">
        <f>IF(tblScrap[[#This Row],[Date]]="","",IF(tblScrap[[#This Row],[Mass]]="","",tblScrap[[#This Row],[Scrap mass]]*RecoveryKg))</f>
        <v>7.28</v>
      </c>
      <c r="O46" s="38">
        <f>IF(tblScrap[[#This Row],[Date]]="","",IF(tblScrap[[#This Row],[Material]]="","",tblScrap[[#This Row],[Material write-off]]+tblScrap[[#This Row],[Conversion write-off]]+tblScrap[[#This Row],[Disposal]]-tblScrap[[#This Row],[Recovery credit]]))</f>
        <v>23.18</v>
      </c>
      <c r="P46" s="41">
        <f>IF(tblScrap[[#This Row],[Date]]="","",IF(AND(tblScrap[[#This Row],[Date]]&gt;=FFrom,tblScrap[[#This Row],[Date]]&lt;=FTo,OR(DashPart="",tblScrap[[#This Row],[Part]]=DashPart)),tblScrap[[#This Row],[Date]],""))</f>
        <v>46267</v>
      </c>
      <c r="Q46"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46" s="43" t="s">
        <v>139</v>
      </c>
    </row>
    <row r="47" spans="2:18" x14ac:dyDescent="0.25">
      <c r="B47" s="36">
        <v>46267</v>
      </c>
      <c r="C47" s="28" t="s">
        <v>91</v>
      </c>
      <c r="D47" s="28" t="s">
        <v>96</v>
      </c>
      <c r="E47" s="28" t="s">
        <v>111</v>
      </c>
      <c r="F47" s="37">
        <v>17</v>
      </c>
      <c r="G47" s="38">
        <f>IF(tblScrap[[#This Row],[Date]]="","",IFERROR(INDEX(tblParts[Material],MATCH(tblScrap[[#This Row],[Part]],tblParts[Part],0)),""))</f>
        <v>2.05</v>
      </c>
      <c r="H47" s="38">
        <f>IF(tblScrap[[#This Row],[Date]]="","",SUMIFS(tblStageCosts[Conversion to date],tblStageCosts[Part],tblScrap[[#This Row],[Part]],tblStageCosts[Operation],tblScrap[[#This Row],[Operation]]))</f>
        <v>1.3</v>
      </c>
      <c r="I47" s="39">
        <f>IF(tblScrap[[#This Row],[Date]]="","",IFERROR(INDEX(tblParts[Mass],MATCH(tblScrap[[#This Row],[Part]],tblParts[Part],0)),""))</f>
        <v>0.62</v>
      </c>
      <c r="J47" s="40">
        <f>IF(tblScrap[[#This Row],[Date]]="","",IF(tblScrap[[#This Row],[Mass]]="","",tblScrap[[#This Row],[Scrapped]]*tblScrap[[#This Row],[Mass]]))</f>
        <v>10.54</v>
      </c>
      <c r="K47" s="38">
        <f>IF(tblScrap[[#This Row],[Date]]="","",IF(tblScrap[[#This Row],[Material]]="","",tblScrap[[#This Row],[Scrapped]]*tblScrap[[#This Row],[Material]]))</f>
        <v>34.85</v>
      </c>
      <c r="L47" s="38">
        <f>IF(tblScrap[[#This Row],[Date]]="","",tblScrap[[#This Row],[Scrapped]]*tblScrap[[#This Row],[Conversion to date]])</f>
        <v>22.1</v>
      </c>
      <c r="M47" s="38">
        <f>IF(tblScrap[[#This Row],[Date]]="","",IF(tblScrap[[#This Row],[Mass]]="","",tblScrap[[#This Row],[Scrap mass]]*DisposalKg))</f>
        <v>0.527</v>
      </c>
      <c r="N47" s="38">
        <f>IF(tblScrap[[#This Row],[Date]]="","",IF(tblScrap[[#This Row],[Mass]]="","",tblScrap[[#This Row],[Scrap mass]]*RecoveryKg))</f>
        <v>14.756</v>
      </c>
      <c r="O47" s="38">
        <f>IF(tblScrap[[#This Row],[Date]]="","",IF(tblScrap[[#This Row],[Material]]="","",tblScrap[[#This Row],[Material write-off]]+tblScrap[[#This Row],[Conversion write-off]]+tblScrap[[#This Row],[Disposal]]-tblScrap[[#This Row],[Recovery credit]]))</f>
        <v>42.721</v>
      </c>
      <c r="P47" s="41">
        <f>IF(tblScrap[[#This Row],[Date]]="","",IF(AND(tblScrap[[#This Row],[Date]]&gt;=FFrom,tblScrap[[#This Row],[Date]]&lt;=FTo,OR(DashPart="",tblScrap[[#This Row],[Part]]=DashPart)),tblScrap[[#This Row],[Date]],""))</f>
        <v>46267</v>
      </c>
      <c r="Q47"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47" s="43" t="s">
        <v>139</v>
      </c>
    </row>
    <row r="48" spans="2:18" x14ac:dyDescent="0.25">
      <c r="B48" s="36">
        <v>46268</v>
      </c>
      <c r="C48" s="28" t="s">
        <v>89</v>
      </c>
      <c r="D48" s="28" t="s">
        <v>96</v>
      </c>
      <c r="E48" s="28" t="s">
        <v>109</v>
      </c>
      <c r="F48" s="37">
        <v>4</v>
      </c>
      <c r="G48" s="38">
        <f>IF(tblScrap[[#This Row],[Date]]="","",IFERROR(INDEX(tblParts[Material],MATCH(tblScrap[[#This Row],[Part]],tblParts[Part],0)),""))</f>
        <v>8.6</v>
      </c>
      <c r="H48" s="38">
        <f>IF(tblScrap[[#This Row],[Date]]="","",SUMIFS(tblStageCosts[Conversion to date],tblStageCosts[Part],tblScrap[[#This Row],[Part]],tblStageCosts[Operation],tblScrap[[#This Row],[Operation]]))</f>
        <v>5.4</v>
      </c>
      <c r="I48" s="39">
        <f>IF(tblScrap[[#This Row],[Date]]="","",IFERROR(INDEX(tblParts[Mass],MATCH(tblScrap[[#This Row],[Part]],tblParts[Part],0)),""))</f>
        <v>2.6</v>
      </c>
      <c r="J48" s="40">
        <f>IF(tblScrap[[#This Row],[Date]]="","",IF(tblScrap[[#This Row],[Mass]]="","",tblScrap[[#This Row],[Scrapped]]*tblScrap[[#This Row],[Mass]]))</f>
        <v>10.4</v>
      </c>
      <c r="K48" s="38">
        <f>IF(tblScrap[[#This Row],[Date]]="","",IF(tblScrap[[#This Row],[Material]]="","",tblScrap[[#This Row],[Scrapped]]*tblScrap[[#This Row],[Material]]))</f>
        <v>34.4</v>
      </c>
      <c r="L48" s="38">
        <f>IF(tblScrap[[#This Row],[Date]]="","",tblScrap[[#This Row],[Scrapped]]*tblScrap[[#This Row],[Conversion to date]])</f>
        <v>21.6</v>
      </c>
      <c r="M48" s="38">
        <f>IF(tblScrap[[#This Row],[Date]]="","",IF(tblScrap[[#This Row],[Mass]]="","",tblScrap[[#This Row],[Scrap mass]]*DisposalKg))</f>
        <v>0.52</v>
      </c>
      <c r="N48" s="38">
        <f>IF(tblScrap[[#This Row],[Date]]="","",IF(tblScrap[[#This Row],[Mass]]="","",tblScrap[[#This Row],[Scrap mass]]*RecoveryKg))</f>
        <v>14.56</v>
      </c>
      <c r="O48" s="38">
        <f>IF(tblScrap[[#This Row],[Date]]="","",IF(tblScrap[[#This Row],[Material]]="","",tblScrap[[#This Row],[Material write-off]]+tblScrap[[#This Row],[Conversion write-off]]+tblScrap[[#This Row],[Disposal]]-tblScrap[[#This Row],[Recovery credit]]))</f>
        <v>41.96</v>
      </c>
      <c r="P48" s="41">
        <f>IF(tblScrap[[#This Row],[Date]]="","",IF(AND(tblScrap[[#This Row],[Date]]&gt;=FFrom,tblScrap[[#This Row],[Date]]&lt;=FTo,OR(DashPart="",tblScrap[[#This Row],[Part]]=DashPart)),tblScrap[[#This Row],[Date]],""))</f>
        <v>46268</v>
      </c>
      <c r="Q48"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48" s="43" t="s">
        <v>139</v>
      </c>
    </row>
    <row r="49" spans="2:18" x14ac:dyDescent="0.25">
      <c r="B49" s="36">
        <v>46268</v>
      </c>
      <c r="C49" s="28" t="s">
        <v>89</v>
      </c>
      <c r="D49" s="28" t="s">
        <v>102</v>
      </c>
      <c r="E49" s="28" t="s">
        <v>113</v>
      </c>
      <c r="F49" s="37">
        <v>11</v>
      </c>
      <c r="G49" s="38">
        <f>IF(tblScrap[[#This Row],[Date]]="","",IFERROR(INDEX(tblParts[Material],MATCH(tblScrap[[#This Row],[Part]],tblParts[Part],0)),""))</f>
        <v>8.6</v>
      </c>
      <c r="H49" s="38">
        <f>IF(tblScrap[[#This Row],[Date]]="","",SUMIFS(tblStageCosts[Conversion to date],tblStageCosts[Part],tblScrap[[#This Row],[Part]],tblStageCosts[Operation],tblScrap[[#This Row],[Operation]]))</f>
        <v>16.9</v>
      </c>
      <c r="I49" s="39">
        <f>IF(tblScrap[[#This Row],[Date]]="","",IFERROR(INDEX(tblParts[Mass],MATCH(tblScrap[[#This Row],[Part]],tblParts[Part],0)),""))</f>
        <v>2.6</v>
      </c>
      <c r="J49" s="40">
        <f>IF(tblScrap[[#This Row],[Date]]="","",IF(tblScrap[[#This Row],[Mass]]="","",tblScrap[[#This Row],[Scrapped]]*tblScrap[[#This Row],[Mass]]))</f>
        <v>28.6</v>
      </c>
      <c r="K49" s="38">
        <f>IF(tblScrap[[#This Row],[Date]]="","",IF(tblScrap[[#This Row],[Material]]="","",tblScrap[[#This Row],[Scrapped]]*tblScrap[[#This Row],[Material]]))</f>
        <v>94.6</v>
      </c>
      <c r="L49" s="38">
        <f>IF(tblScrap[[#This Row],[Date]]="","",tblScrap[[#This Row],[Scrapped]]*tblScrap[[#This Row],[Conversion to date]])</f>
        <v>185.9</v>
      </c>
      <c r="M49" s="38">
        <f>IF(tblScrap[[#This Row],[Date]]="","",IF(tblScrap[[#This Row],[Mass]]="","",tblScrap[[#This Row],[Scrap mass]]*DisposalKg))</f>
        <v>1.43</v>
      </c>
      <c r="N49" s="38">
        <f>IF(tblScrap[[#This Row],[Date]]="","",IF(tblScrap[[#This Row],[Mass]]="","",tblScrap[[#This Row],[Scrap mass]]*RecoveryKg))</f>
        <v>40.04</v>
      </c>
      <c r="O49" s="38">
        <f>IF(tblScrap[[#This Row],[Date]]="","",IF(tblScrap[[#This Row],[Material]]="","",tblScrap[[#This Row],[Material write-off]]+tblScrap[[#This Row],[Conversion write-off]]+tblScrap[[#This Row],[Disposal]]-tblScrap[[#This Row],[Recovery credit]]))</f>
        <v>241.89</v>
      </c>
      <c r="P49" s="41">
        <f>IF(tblScrap[[#This Row],[Date]]="","",IF(AND(tblScrap[[#This Row],[Date]]&gt;=FFrom,tblScrap[[#This Row],[Date]]&lt;=FTo,OR(DashPart="",tblScrap[[#This Row],[Part]]=DashPart)),tblScrap[[#This Row],[Date]],""))</f>
        <v>46268</v>
      </c>
      <c r="Q49"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49" s="43" t="s">
        <v>139</v>
      </c>
    </row>
    <row r="50" spans="2:18" x14ac:dyDescent="0.25">
      <c r="B50" s="36">
        <v>46268</v>
      </c>
      <c r="C50" s="28" t="s">
        <v>93</v>
      </c>
      <c r="D50" s="28" t="s">
        <v>102</v>
      </c>
      <c r="E50" s="28" t="s">
        <v>113</v>
      </c>
      <c r="F50" s="37">
        <v>4</v>
      </c>
      <c r="G50" s="38">
        <f>IF(tblScrap[[#This Row],[Date]]="","",IFERROR(INDEX(tblParts[Material],MATCH(tblScrap[[#This Row],[Part]],tblParts[Part],0)),""))</f>
        <v>3.65</v>
      </c>
      <c r="H50" s="38">
        <f>IF(tblScrap[[#This Row],[Date]]="","",SUMIFS(tblStageCosts[Conversion to date],tblStageCosts[Part],tblScrap[[#This Row],[Part]],tblStageCosts[Operation],tblScrap[[#This Row],[Operation]]))</f>
        <v>7.4</v>
      </c>
      <c r="I50" s="39">
        <f>IF(tblScrap[[#This Row],[Date]]="","",IFERROR(INDEX(tblParts[Mass],MATCH(tblScrap[[#This Row],[Part]],tblParts[Part],0)),""))</f>
        <v>1.1</v>
      </c>
      <c r="J50" s="40">
        <f>IF(tblScrap[[#This Row],[Date]]="","",IF(tblScrap[[#This Row],[Mass]]="","",tblScrap[[#This Row],[Scrapped]]*tblScrap[[#This Row],[Mass]]))</f>
        <v>4.4</v>
      </c>
      <c r="K50" s="38">
        <f>IF(tblScrap[[#This Row],[Date]]="","",IF(tblScrap[[#This Row],[Material]]="","",tblScrap[[#This Row],[Scrapped]]*tblScrap[[#This Row],[Material]]))</f>
        <v>14.6</v>
      </c>
      <c r="L50" s="38">
        <f>IF(tblScrap[[#This Row],[Date]]="","",tblScrap[[#This Row],[Scrapped]]*tblScrap[[#This Row],[Conversion to date]])</f>
        <v>29.6</v>
      </c>
      <c r="M50" s="38">
        <f>IF(tblScrap[[#This Row],[Date]]="","",IF(tblScrap[[#This Row],[Mass]]="","",tblScrap[[#This Row],[Scrap mass]]*DisposalKg))</f>
        <v>0.22</v>
      </c>
      <c r="N50" s="38">
        <f>IF(tblScrap[[#This Row],[Date]]="","",IF(tblScrap[[#This Row],[Mass]]="","",tblScrap[[#This Row],[Scrap mass]]*RecoveryKg))</f>
        <v>6.16</v>
      </c>
      <c r="O50" s="38">
        <f>IF(tblScrap[[#This Row],[Date]]="","",IF(tblScrap[[#This Row],[Material]]="","",tblScrap[[#This Row],[Material write-off]]+tblScrap[[#This Row],[Conversion write-off]]+tblScrap[[#This Row],[Disposal]]-tblScrap[[#This Row],[Recovery credit]]))</f>
        <v>38.26</v>
      </c>
      <c r="P50" s="41">
        <f>IF(tblScrap[[#This Row],[Date]]="","",IF(AND(tblScrap[[#This Row],[Date]]&gt;=FFrom,tblScrap[[#This Row],[Date]]&lt;=FTo,OR(DashPart="",tblScrap[[#This Row],[Part]]=DashPart)),tblScrap[[#This Row],[Date]],""))</f>
        <v>46268</v>
      </c>
      <c r="Q50"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50" s="43" t="s">
        <v>139</v>
      </c>
    </row>
    <row r="51" spans="2:18" x14ac:dyDescent="0.25">
      <c r="B51" s="36">
        <v>46269</v>
      </c>
      <c r="C51" s="28" t="s">
        <v>89</v>
      </c>
      <c r="D51" s="28" t="s">
        <v>96</v>
      </c>
      <c r="E51" s="28" t="s">
        <v>109</v>
      </c>
      <c r="F51" s="37">
        <v>4</v>
      </c>
      <c r="G51" s="38">
        <f>IF(tblScrap[[#This Row],[Date]]="","",IFERROR(INDEX(tblParts[Material],MATCH(tblScrap[[#This Row],[Part]],tblParts[Part],0)),""))</f>
        <v>8.6</v>
      </c>
      <c r="H51" s="38">
        <f>IF(tblScrap[[#This Row],[Date]]="","",SUMIFS(tblStageCosts[Conversion to date],tblStageCosts[Part],tblScrap[[#This Row],[Part]],tblStageCosts[Operation],tblScrap[[#This Row],[Operation]]))</f>
        <v>5.4</v>
      </c>
      <c r="I51" s="39">
        <f>IF(tblScrap[[#This Row],[Date]]="","",IFERROR(INDEX(tblParts[Mass],MATCH(tblScrap[[#This Row],[Part]],tblParts[Part],0)),""))</f>
        <v>2.6</v>
      </c>
      <c r="J51" s="40">
        <f>IF(tblScrap[[#This Row],[Date]]="","",IF(tblScrap[[#This Row],[Mass]]="","",tblScrap[[#This Row],[Scrapped]]*tblScrap[[#This Row],[Mass]]))</f>
        <v>10.4</v>
      </c>
      <c r="K51" s="38">
        <f>IF(tblScrap[[#This Row],[Date]]="","",IF(tblScrap[[#This Row],[Material]]="","",tblScrap[[#This Row],[Scrapped]]*tblScrap[[#This Row],[Material]]))</f>
        <v>34.4</v>
      </c>
      <c r="L51" s="38">
        <f>IF(tblScrap[[#This Row],[Date]]="","",tblScrap[[#This Row],[Scrapped]]*tblScrap[[#This Row],[Conversion to date]])</f>
        <v>21.6</v>
      </c>
      <c r="M51" s="38">
        <f>IF(tblScrap[[#This Row],[Date]]="","",IF(tblScrap[[#This Row],[Mass]]="","",tblScrap[[#This Row],[Scrap mass]]*DisposalKg))</f>
        <v>0.52</v>
      </c>
      <c r="N51" s="38">
        <f>IF(tblScrap[[#This Row],[Date]]="","",IF(tblScrap[[#This Row],[Mass]]="","",tblScrap[[#This Row],[Scrap mass]]*RecoveryKg))</f>
        <v>14.56</v>
      </c>
      <c r="O51" s="38">
        <f>IF(tblScrap[[#This Row],[Date]]="","",IF(tblScrap[[#This Row],[Material]]="","",tblScrap[[#This Row],[Material write-off]]+tblScrap[[#This Row],[Conversion write-off]]+tblScrap[[#This Row],[Disposal]]-tblScrap[[#This Row],[Recovery credit]]))</f>
        <v>41.96</v>
      </c>
      <c r="P51" s="41">
        <f>IF(tblScrap[[#This Row],[Date]]="","",IF(AND(tblScrap[[#This Row],[Date]]&gt;=FFrom,tblScrap[[#This Row],[Date]]&lt;=FTo,OR(DashPart="",tblScrap[[#This Row],[Part]]=DashPart)),tblScrap[[#This Row],[Date]],""))</f>
        <v>46269</v>
      </c>
      <c r="Q51"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51" s="43" t="s">
        <v>139</v>
      </c>
    </row>
    <row r="52" spans="2:18" x14ac:dyDescent="0.25">
      <c r="B52" s="36">
        <v>46269</v>
      </c>
      <c r="C52" s="28" t="s">
        <v>89</v>
      </c>
      <c r="D52" s="28" t="s">
        <v>102</v>
      </c>
      <c r="E52" s="28" t="s">
        <v>113</v>
      </c>
      <c r="F52" s="37">
        <v>11</v>
      </c>
      <c r="G52" s="38">
        <f>IF(tblScrap[[#This Row],[Date]]="","",IFERROR(INDEX(tblParts[Material],MATCH(tblScrap[[#This Row],[Part]],tblParts[Part],0)),""))</f>
        <v>8.6</v>
      </c>
      <c r="H52" s="38">
        <f>IF(tblScrap[[#This Row],[Date]]="","",SUMIFS(tblStageCosts[Conversion to date],tblStageCosts[Part],tblScrap[[#This Row],[Part]],tblStageCosts[Operation],tblScrap[[#This Row],[Operation]]))</f>
        <v>16.9</v>
      </c>
      <c r="I52" s="39">
        <f>IF(tblScrap[[#This Row],[Date]]="","",IFERROR(INDEX(tblParts[Mass],MATCH(tblScrap[[#This Row],[Part]],tblParts[Part],0)),""))</f>
        <v>2.6</v>
      </c>
      <c r="J52" s="40">
        <f>IF(tblScrap[[#This Row],[Date]]="","",IF(tblScrap[[#This Row],[Mass]]="","",tblScrap[[#This Row],[Scrapped]]*tblScrap[[#This Row],[Mass]]))</f>
        <v>28.6</v>
      </c>
      <c r="K52" s="38">
        <f>IF(tblScrap[[#This Row],[Date]]="","",IF(tblScrap[[#This Row],[Material]]="","",tblScrap[[#This Row],[Scrapped]]*tblScrap[[#This Row],[Material]]))</f>
        <v>94.6</v>
      </c>
      <c r="L52" s="38">
        <f>IF(tblScrap[[#This Row],[Date]]="","",tblScrap[[#This Row],[Scrapped]]*tblScrap[[#This Row],[Conversion to date]])</f>
        <v>185.9</v>
      </c>
      <c r="M52" s="38">
        <f>IF(tblScrap[[#This Row],[Date]]="","",IF(tblScrap[[#This Row],[Mass]]="","",tblScrap[[#This Row],[Scrap mass]]*DisposalKg))</f>
        <v>1.43</v>
      </c>
      <c r="N52" s="38">
        <f>IF(tblScrap[[#This Row],[Date]]="","",IF(tblScrap[[#This Row],[Mass]]="","",tblScrap[[#This Row],[Scrap mass]]*RecoveryKg))</f>
        <v>40.04</v>
      </c>
      <c r="O52" s="38">
        <f>IF(tblScrap[[#This Row],[Date]]="","",IF(tblScrap[[#This Row],[Material]]="","",tblScrap[[#This Row],[Material write-off]]+tblScrap[[#This Row],[Conversion write-off]]+tblScrap[[#This Row],[Disposal]]-tblScrap[[#This Row],[Recovery credit]]))</f>
        <v>241.89</v>
      </c>
      <c r="P52" s="41">
        <f>IF(tblScrap[[#This Row],[Date]]="","",IF(AND(tblScrap[[#This Row],[Date]]&gt;=FFrom,tblScrap[[#This Row],[Date]]&lt;=FTo,OR(DashPart="",tblScrap[[#This Row],[Part]]=DashPart)),tblScrap[[#This Row],[Date]],""))</f>
        <v>46269</v>
      </c>
      <c r="Q52"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52" s="43" t="s">
        <v>139</v>
      </c>
    </row>
    <row r="53" spans="2:18" x14ac:dyDescent="0.25">
      <c r="B53" s="36">
        <v>46269</v>
      </c>
      <c r="C53" s="28" t="s">
        <v>91</v>
      </c>
      <c r="D53" s="28" t="s">
        <v>96</v>
      </c>
      <c r="E53" s="28" t="s">
        <v>111</v>
      </c>
      <c r="F53" s="37">
        <v>14</v>
      </c>
      <c r="G53" s="38">
        <f>IF(tblScrap[[#This Row],[Date]]="","",IFERROR(INDEX(tblParts[Material],MATCH(tblScrap[[#This Row],[Part]],tblParts[Part],0)),""))</f>
        <v>2.05</v>
      </c>
      <c r="H53" s="38">
        <f>IF(tblScrap[[#This Row],[Date]]="","",SUMIFS(tblStageCosts[Conversion to date],tblStageCosts[Part],tblScrap[[#This Row],[Part]],tblStageCosts[Operation],tblScrap[[#This Row],[Operation]]))</f>
        <v>1.3</v>
      </c>
      <c r="I53" s="39">
        <f>IF(tblScrap[[#This Row],[Date]]="","",IFERROR(INDEX(tblParts[Mass],MATCH(tblScrap[[#This Row],[Part]],tblParts[Part],0)),""))</f>
        <v>0.62</v>
      </c>
      <c r="J53" s="40">
        <f>IF(tblScrap[[#This Row],[Date]]="","",IF(tblScrap[[#This Row],[Mass]]="","",tblScrap[[#This Row],[Scrapped]]*tblScrap[[#This Row],[Mass]]))</f>
        <v>8.68</v>
      </c>
      <c r="K53" s="38">
        <f>IF(tblScrap[[#This Row],[Date]]="","",IF(tblScrap[[#This Row],[Material]]="","",tblScrap[[#This Row],[Scrapped]]*tblScrap[[#This Row],[Material]]))</f>
        <v>28.7</v>
      </c>
      <c r="L53" s="38">
        <f>IF(tblScrap[[#This Row],[Date]]="","",tblScrap[[#This Row],[Scrapped]]*tblScrap[[#This Row],[Conversion to date]])</f>
        <v>18.2</v>
      </c>
      <c r="M53" s="38">
        <f>IF(tblScrap[[#This Row],[Date]]="","",IF(tblScrap[[#This Row],[Mass]]="","",tblScrap[[#This Row],[Scrap mass]]*DisposalKg))</f>
        <v>0.434</v>
      </c>
      <c r="N53" s="38">
        <f>IF(tblScrap[[#This Row],[Date]]="","",IF(tblScrap[[#This Row],[Mass]]="","",tblScrap[[#This Row],[Scrap mass]]*RecoveryKg))</f>
        <v>12.152</v>
      </c>
      <c r="O53" s="38">
        <f>IF(tblScrap[[#This Row],[Date]]="","",IF(tblScrap[[#This Row],[Material]]="","",tblScrap[[#This Row],[Material write-off]]+tblScrap[[#This Row],[Conversion write-off]]+tblScrap[[#This Row],[Disposal]]-tblScrap[[#This Row],[Recovery credit]]))</f>
        <v>35.182</v>
      </c>
      <c r="P53" s="41">
        <f>IF(tblScrap[[#This Row],[Date]]="","",IF(AND(tblScrap[[#This Row],[Date]]&gt;=FFrom,tblScrap[[#This Row],[Date]]&lt;=FTo,OR(DashPart="",tblScrap[[#This Row],[Part]]=DashPart)),tblScrap[[#This Row],[Date]],""))</f>
        <v>46269</v>
      </c>
      <c r="Q53"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53" s="43" t="s">
        <v>139</v>
      </c>
    </row>
    <row r="54" spans="2:18" x14ac:dyDescent="0.25">
      <c r="B54" s="36">
        <v>46272</v>
      </c>
      <c r="C54" s="28" t="s">
        <v>87</v>
      </c>
      <c r="D54" s="28" t="s">
        <v>100</v>
      </c>
      <c r="E54" s="28" t="s">
        <v>115</v>
      </c>
      <c r="F54" s="37">
        <v>4</v>
      </c>
      <c r="G54" s="38">
        <f>IF(tblScrap[[#This Row],[Date]]="","",IFERROR(INDEX(tblParts[Material],MATCH(tblScrap[[#This Row],[Part]],tblParts[Part],0)),""))</f>
        <v>6.1</v>
      </c>
      <c r="H54" s="38">
        <f>IF(tblScrap[[#This Row],[Date]]="","",SUMIFS(tblStageCosts[Conversion to date],tblStageCosts[Part],tblScrap[[#This Row],[Part]],tblStageCosts[Operation],tblScrap[[#This Row],[Operation]]))</f>
        <v>11.6</v>
      </c>
      <c r="I54" s="39">
        <f>IF(tblScrap[[#This Row],[Date]]="","",IFERROR(INDEX(tblParts[Mass],MATCH(tblScrap[[#This Row],[Part]],tblParts[Part],0)),""))</f>
        <v>1.85</v>
      </c>
      <c r="J54" s="40">
        <f>IF(tblScrap[[#This Row],[Date]]="","",IF(tblScrap[[#This Row],[Mass]]="","",tblScrap[[#This Row],[Scrapped]]*tblScrap[[#This Row],[Mass]]))</f>
        <v>7.4</v>
      </c>
      <c r="K54" s="38">
        <f>IF(tblScrap[[#This Row],[Date]]="","",IF(tblScrap[[#This Row],[Material]]="","",tblScrap[[#This Row],[Scrapped]]*tblScrap[[#This Row],[Material]]))</f>
        <v>24.4</v>
      </c>
      <c r="L54" s="38">
        <f>IF(tblScrap[[#This Row],[Date]]="","",tblScrap[[#This Row],[Scrapped]]*tblScrap[[#This Row],[Conversion to date]])</f>
        <v>46.4</v>
      </c>
      <c r="M54" s="38">
        <f>IF(tblScrap[[#This Row],[Date]]="","",IF(tblScrap[[#This Row],[Mass]]="","",tblScrap[[#This Row],[Scrap mass]]*DisposalKg))</f>
        <v>0.37</v>
      </c>
      <c r="N54" s="38">
        <f>IF(tblScrap[[#This Row],[Date]]="","",IF(tblScrap[[#This Row],[Mass]]="","",tblScrap[[#This Row],[Scrap mass]]*RecoveryKg))</f>
        <v>10.36</v>
      </c>
      <c r="O54" s="38">
        <f>IF(tblScrap[[#This Row],[Date]]="","",IF(tblScrap[[#This Row],[Material]]="","",tblScrap[[#This Row],[Material write-off]]+tblScrap[[#This Row],[Conversion write-off]]+tblScrap[[#This Row],[Disposal]]-tblScrap[[#This Row],[Recovery credit]]))</f>
        <v>60.81</v>
      </c>
      <c r="P54" s="41">
        <f>IF(tblScrap[[#This Row],[Date]]="","",IF(AND(tblScrap[[#This Row],[Date]]&gt;=FFrom,tblScrap[[#This Row],[Date]]&lt;=FTo,OR(DashPart="",tblScrap[[#This Row],[Part]]=DashPart)),tblScrap[[#This Row],[Date]],""))</f>
        <v>46272</v>
      </c>
      <c r="Q54"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54" s="43" t="s">
        <v>139</v>
      </c>
    </row>
    <row r="55" spans="2:18" x14ac:dyDescent="0.25">
      <c r="B55" s="36">
        <v>46272</v>
      </c>
      <c r="C55" s="28" t="s">
        <v>87</v>
      </c>
      <c r="D55" s="28" t="s">
        <v>102</v>
      </c>
      <c r="E55" s="28" t="s">
        <v>113</v>
      </c>
      <c r="F55" s="37">
        <v>1</v>
      </c>
      <c r="G55" s="38">
        <f>IF(tblScrap[[#This Row],[Date]]="","",IFERROR(INDEX(tblParts[Material],MATCH(tblScrap[[#This Row],[Part]],tblParts[Part],0)),""))</f>
        <v>6.1</v>
      </c>
      <c r="H55" s="38">
        <f>IF(tblScrap[[#This Row],[Date]]="","",SUMIFS(tblStageCosts[Conversion to date],tblStageCosts[Part],tblScrap[[#This Row],[Part]],tblStageCosts[Operation],tblScrap[[#This Row],[Operation]]))</f>
        <v>12.4</v>
      </c>
      <c r="I55" s="39">
        <f>IF(tblScrap[[#This Row],[Date]]="","",IFERROR(INDEX(tblParts[Mass],MATCH(tblScrap[[#This Row],[Part]],tblParts[Part],0)),""))</f>
        <v>1.85</v>
      </c>
      <c r="J55" s="40">
        <f>IF(tblScrap[[#This Row],[Date]]="","",IF(tblScrap[[#This Row],[Mass]]="","",tblScrap[[#This Row],[Scrapped]]*tblScrap[[#This Row],[Mass]]))</f>
        <v>1.85</v>
      </c>
      <c r="K55" s="38">
        <f>IF(tblScrap[[#This Row],[Date]]="","",IF(tblScrap[[#This Row],[Material]]="","",tblScrap[[#This Row],[Scrapped]]*tblScrap[[#This Row],[Material]]))</f>
        <v>6.1</v>
      </c>
      <c r="L55" s="38">
        <f>IF(tblScrap[[#This Row],[Date]]="","",tblScrap[[#This Row],[Scrapped]]*tblScrap[[#This Row],[Conversion to date]])</f>
        <v>12.4</v>
      </c>
      <c r="M55" s="38">
        <f>IF(tblScrap[[#This Row],[Date]]="","",IF(tblScrap[[#This Row],[Mass]]="","",tblScrap[[#This Row],[Scrap mass]]*DisposalKg))</f>
        <v>0.0925</v>
      </c>
      <c r="N55" s="38">
        <f>IF(tblScrap[[#This Row],[Date]]="","",IF(tblScrap[[#This Row],[Mass]]="","",tblScrap[[#This Row],[Scrap mass]]*RecoveryKg))</f>
        <v>2.59</v>
      </c>
      <c r="O55" s="38">
        <f>IF(tblScrap[[#This Row],[Date]]="","",IF(tblScrap[[#This Row],[Material]]="","",tblScrap[[#This Row],[Material write-off]]+tblScrap[[#This Row],[Conversion write-off]]+tblScrap[[#This Row],[Disposal]]-tblScrap[[#This Row],[Recovery credit]]))</f>
        <v>16.0025</v>
      </c>
      <c r="P55" s="41">
        <f>IF(tblScrap[[#This Row],[Date]]="","",IF(AND(tblScrap[[#This Row],[Date]]&gt;=FFrom,tblScrap[[#This Row],[Date]]&lt;=FTo,OR(DashPart="",tblScrap[[#This Row],[Part]]=DashPart)),tblScrap[[#This Row],[Date]],""))</f>
        <v>46272</v>
      </c>
      <c r="Q55"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55" s="43" t="s">
        <v>139</v>
      </c>
    </row>
    <row r="56" spans="2:18" x14ac:dyDescent="0.25">
      <c r="B56" s="36">
        <v>46272</v>
      </c>
      <c r="C56" s="28" t="s">
        <v>89</v>
      </c>
      <c r="D56" s="28" t="s">
        <v>102</v>
      </c>
      <c r="E56" s="28" t="s">
        <v>113</v>
      </c>
      <c r="F56" s="37">
        <v>7</v>
      </c>
      <c r="G56" s="38">
        <f>IF(tblScrap[[#This Row],[Date]]="","",IFERROR(INDEX(tblParts[Material],MATCH(tblScrap[[#This Row],[Part]],tblParts[Part],0)),""))</f>
        <v>8.6</v>
      </c>
      <c r="H56" s="38">
        <f>IF(tblScrap[[#This Row],[Date]]="","",SUMIFS(tblStageCosts[Conversion to date],tblStageCosts[Part],tblScrap[[#This Row],[Part]],tblStageCosts[Operation],tblScrap[[#This Row],[Operation]]))</f>
        <v>16.9</v>
      </c>
      <c r="I56" s="39">
        <f>IF(tblScrap[[#This Row],[Date]]="","",IFERROR(INDEX(tblParts[Mass],MATCH(tblScrap[[#This Row],[Part]],tblParts[Part],0)),""))</f>
        <v>2.6</v>
      </c>
      <c r="J56" s="40">
        <f>IF(tblScrap[[#This Row],[Date]]="","",IF(tblScrap[[#This Row],[Mass]]="","",tblScrap[[#This Row],[Scrapped]]*tblScrap[[#This Row],[Mass]]))</f>
        <v>18.2</v>
      </c>
      <c r="K56" s="38">
        <f>IF(tblScrap[[#This Row],[Date]]="","",IF(tblScrap[[#This Row],[Material]]="","",tblScrap[[#This Row],[Scrapped]]*tblScrap[[#This Row],[Material]]))</f>
        <v>60.2</v>
      </c>
      <c r="L56" s="38">
        <f>IF(tblScrap[[#This Row],[Date]]="","",tblScrap[[#This Row],[Scrapped]]*tblScrap[[#This Row],[Conversion to date]])</f>
        <v>118.3</v>
      </c>
      <c r="M56" s="38">
        <f>IF(tblScrap[[#This Row],[Date]]="","",IF(tblScrap[[#This Row],[Mass]]="","",tblScrap[[#This Row],[Scrap mass]]*DisposalKg))</f>
        <v>0.91</v>
      </c>
      <c r="N56" s="38">
        <f>IF(tblScrap[[#This Row],[Date]]="","",IF(tblScrap[[#This Row],[Mass]]="","",tblScrap[[#This Row],[Scrap mass]]*RecoveryKg))</f>
        <v>25.48</v>
      </c>
      <c r="O56" s="38">
        <f>IF(tblScrap[[#This Row],[Date]]="","",IF(tblScrap[[#This Row],[Material]]="","",tblScrap[[#This Row],[Material write-off]]+tblScrap[[#This Row],[Conversion write-off]]+tblScrap[[#This Row],[Disposal]]-tblScrap[[#This Row],[Recovery credit]]))</f>
        <v>153.93</v>
      </c>
      <c r="P56" s="41">
        <f>IF(tblScrap[[#This Row],[Date]]="","",IF(AND(tblScrap[[#This Row],[Date]]&gt;=FFrom,tblScrap[[#This Row],[Date]]&lt;=FTo,OR(DashPart="",tblScrap[[#This Row],[Part]]=DashPart)),tblScrap[[#This Row],[Date]],""))</f>
        <v>46272</v>
      </c>
      <c r="Q56"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56" s="43" t="s">
        <v>141</v>
      </c>
    </row>
    <row r="57" spans="2:18" x14ac:dyDescent="0.25">
      <c r="B57" s="36">
        <v>46272</v>
      </c>
      <c r="C57" s="28" t="s">
        <v>89</v>
      </c>
      <c r="D57" s="28" t="s">
        <v>100</v>
      </c>
      <c r="E57" s="28" t="s">
        <v>115</v>
      </c>
      <c r="F57" s="37">
        <v>2</v>
      </c>
      <c r="G57" s="38">
        <f>IF(tblScrap[[#This Row],[Date]]="","",IFERROR(INDEX(tblParts[Material],MATCH(tblScrap[[#This Row],[Part]],tblParts[Part],0)),""))</f>
        <v>8.6</v>
      </c>
      <c r="H57" s="38">
        <f>IF(tblScrap[[#This Row],[Date]]="","",SUMIFS(tblStageCosts[Conversion to date],tblStageCosts[Part],tblScrap[[#This Row],[Part]],tblStageCosts[Operation],tblScrap[[#This Row],[Operation]]))</f>
        <v>15.8</v>
      </c>
      <c r="I57" s="39">
        <f>IF(tblScrap[[#This Row],[Date]]="","",IFERROR(INDEX(tblParts[Mass],MATCH(tblScrap[[#This Row],[Part]],tblParts[Part],0)),""))</f>
        <v>2.6</v>
      </c>
      <c r="J57" s="40">
        <f>IF(tblScrap[[#This Row],[Date]]="","",IF(tblScrap[[#This Row],[Mass]]="","",tblScrap[[#This Row],[Scrapped]]*tblScrap[[#This Row],[Mass]]))</f>
        <v>5.2</v>
      </c>
      <c r="K57" s="38">
        <f>IF(tblScrap[[#This Row],[Date]]="","",IF(tblScrap[[#This Row],[Material]]="","",tblScrap[[#This Row],[Scrapped]]*tblScrap[[#This Row],[Material]]))</f>
        <v>17.2</v>
      </c>
      <c r="L57" s="38">
        <f>IF(tblScrap[[#This Row],[Date]]="","",tblScrap[[#This Row],[Scrapped]]*tblScrap[[#This Row],[Conversion to date]])</f>
        <v>31.6</v>
      </c>
      <c r="M57" s="38">
        <f>IF(tblScrap[[#This Row],[Date]]="","",IF(tblScrap[[#This Row],[Mass]]="","",tblScrap[[#This Row],[Scrap mass]]*DisposalKg))</f>
        <v>0.26</v>
      </c>
      <c r="N57" s="38">
        <f>IF(tblScrap[[#This Row],[Date]]="","",IF(tblScrap[[#This Row],[Mass]]="","",tblScrap[[#This Row],[Scrap mass]]*RecoveryKg))</f>
        <v>7.28</v>
      </c>
      <c r="O57" s="38">
        <f>IF(tblScrap[[#This Row],[Date]]="","",IF(tblScrap[[#This Row],[Material]]="","",tblScrap[[#This Row],[Material write-off]]+tblScrap[[#This Row],[Conversion write-off]]+tblScrap[[#This Row],[Disposal]]-tblScrap[[#This Row],[Recovery credit]]))</f>
        <v>41.78</v>
      </c>
      <c r="P57" s="41">
        <f>IF(tblScrap[[#This Row],[Date]]="","",IF(AND(tblScrap[[#This Row],[Date]]&gt;=FFrom,tblScrap[[#This Row],[Date]]&lt;=FTo,OR(DashPart="",tblScrap[[#This Row],[Part]]=DashPart)),tblScrap[[#This Row],[Date]],""))</f>
        <v>46272</v>
      </c>
      <c r="Q57"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57" s="43" t="s">
        <v>139</v>
      </c>
    </row>
    <row r="58" spans="2:18" x14ac:dyDescent="0.25">
      <c r="B58" s="36">
        <v>46272</v>
      </c>
      <c r="C58" s="28" t="s">
        <v>91</v>
      </c>
      <c r="D58" s="28" t="s">
        <v>96</v>
      </c>
      <c r="E58" s="28" t="s">
        <v>111</v>
      </c>
      <c r="F58" s="37">
        <v>8</v>
      </c>
      <c r="G58" s="38">
        <f>IF(tblScrap[[#This Row],[Date]]="","",IFERROR(INDEX(tblParts[Material],MATCH(tblScrap[[#This Row],[Part]],tblParts[Part],0)),""))</f>
        <v>2.05</v>
      </c>
      <c r="H58" s="38">
        <f>IF(tblScrap[[#This Row],[Date]]="","",SUMIFS(tblStageCosts[Conversion to date],tblStageCosts[Part],tblScrap[[#This Row],[Part]],tblStageCosts[Operation],tblScrap[[#This Row],[Operation]]))</f>
        <v>1.3</v>
      </c>
      <c r="I58" s="39">
        <f>IF(tblScrap[[#This Row],[Date]]="","",IFERROR(INDEX(tblParts[Mass],MATCH(tblScrap[[#This Row],[Part]],tblParts[Part],0)),""))</f>
        <v>0.62</v>
      </c>
      <c r="J58" s="40">
        <f>IF(tblScrap[[#This Row],[Date]]="","",IF(tblScrap[[#This Row],[Mass]]="","",tblScrap[[#This Row],[Scrapped]]*tblScrap[[#This Row],[Mass]]))</f>
        <v>4.96</v>
      </c>
      <c r="K58" s="38">
        <f>IF(tblScrap[[#This Row],[Date]]="","",IF(tblScrap[[#This Row],[Material]]="","",tblScrap[[#This Row],[Scrapped]]*tblScrap[[#This Row],[Material]]))</f>
        <v>16.4</v>
      </c>
      <c r="L58" s="38">
        <f>IF(tblScrap[[#This Row],[Date]]="","",tblScrap[[#This Row],[Scrapped]]*tblScrap[[#This Row],[Conversion to date]])</f>
        <v>10.4</v>
      </c>
      <c r="M58" s="38">
        <f>IF(tblScrap[[#This Row],[Date]]="","",IF(tblScrap[[#This Row],[Mass]]="","",tblScrap[[#This Row],[Scrap mass]]*DisposalKg))</f>
        <v>0.248</v>
      </c>
      <c r="N58" s="38">
        <f>IF(tblScrap[[#This Row],[Date]]="","",IF(tblScrap[[#This Row],[Mass]]="","",tblScrap[[#This Row],[Scrap mass]]*RecoveryKg))</f>
        <v>6.944</v>
      </c>
      <c r="O58" s="38">
        <f>IF(tblScrap[[#This Row],[Date]]="","",IF(tblScrap[[#This Row],[Material]]="","",tblScrap[[#This Row],[Material write-off]]+tblScrap[[#This Row],[Conversion write-off]]+tblScrap[[#This Row],[Disposal]]-tblScrap[[#This Row],[Recovery credit]]))</f>
        <v>20.104</v>
      </c>
      <c r="P58" s="41">
        <f>IF(tblScrap[[#This Row],[Date]]="","",IF(AND(tblScrap[[#This Row],[Date]]&gt;=FFrom,tblScrap[[#This Row],[Date]]&lt;=FTo,OR(DashPart="",tblScrap[[#This Row],[Part]]=DashPart)),tblScrap[[#This Row],[Date]],""))</f>
        <v>46272</v>
      </c>
      <c r="Q58"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58" s="43" t="s">
        <v>139</v>
      </c>
    </row>
    <row r="59" spans="2:18" x14ac:dyDescent="0.25">
      <c r="B59" s="36">
        <v>46272</v>
      </c>
      <c r="C59" s="28" t="s">
        <v>93</v>
      </c>
      <c r="D59" s="28" t="s">
        <v>102</v>
      </c>
      <c r="E59" s="28" t="s">
        <v>113</v>
      </c>
      <c r="F59" s="37">
        <v>3</v>
      </c>
      <c r="G59" s="38">
        <f>IF(tblScrap[[#This Row],[Date]]="","",IFERROR(INDEX(tblParts[Material],MATCH(tblScrap[[#This Row],[Part]],tblParts[Part],0)),""))</f>
        <v>3.65</v>
      </c>
      <c r="H59" s="38">
        <f>IF(tblScrap[[#This Row],[Date]]="","",SUMIFS(tblStageCosts[Conversion to date],tblStageCosts[Part],tblScrap[[#This Row],[Part]],tblStageCosts[Operation],tblScrap[[#This Row],[Operation]]))</f>
        <v>7.4</v>
      </c>
      <c r="I59" s="39">
        <f>IF(tblScrap[[#This Row],[Date]]="","",IFERROR(INDEX(tblParts[Mass],MATCH(tblScrap[[#This Row],[Part]],tblParts[Part],0)),""))</f>
        <v>1.1</v>
      </c>
      <c r="J59" s="40">
        <f>IF(tblScrap[[#This Row],[Date]]="","",IF(tblScrap[[#This Row],[Mass]]="","",tblScrap[[#This Row],[Scrapped]]*tblScrap[[#This Row],[Mass]]))</f>
        <v>3.3</v>
      </c>
      <c r="K59" s="38">
        <f>IF(tblScrap[[#This Row],[Date]]="","",IF(tblScrap[[#This Row],[Material]]="","",tblScrap[[#This Row],[Scrapped]]*tblScrap[[#This Row],[Material]]))</f>
        <v>10.95</v>
      </c>
      <c r="L59" s="38">
        <f>IF(tblScrap[[#This Row],[Date]]="","",tblScrap[[#This Row],[Scrapped]]*tblScrap[[#This Row],[Conversion to date]])</f>
        <v>22.2</v>
      </c>
      <c r="M59" s="38">
        <f>IF(tblScrap[[#This Row],[Date]]="","",IF(tblScrap[[#This Row],[Mass]]="","",tblScrap[[#This Row],[Scrap mass]]*DisposalKg))</f>
        <v>0.165</v>
      </c>
      <c r="N59" s="38">
        <f>IF(tblScrap[[#This Row],[Date]]="","",IF(tblScrap[[#This Row],[Mass]]="","",tblScrap[[#This Row],[Scrap mass]]*RecoveryKg))</f>
        <v>4.62</v>
      </c>
      <c r="O59" s="38">
        <f>IF(tblScrap[[#This Row],[Date]]="","",IF(tblScrap[[#This Row],[Material]]="","",tblScrap[[#This Row],[Material write-off]]+tblScrap[[#This Row],[Conversion write-off]]+tblScrap[[#This Row],[Disposal]]-tblScrap[[#This Row],[Recovery credit]]))</f>
        <v>28.695</v>
      </c>
      <c r="P59" s="41">
        <f>IF(tblScrap[[#This Row],[Date]]="","",IF(AND(tblScrap[[#This Row],[Date]]&gt;=FFrom,tblScrap[[#This Row],[Date]]&lt;=FTo,OR(DashPart="",tblScrap[[#This Row],[Part]]=DashPart)),tblScrap[[#This Row],[Date]],""))</f>
        <v>46272</v>
      </c>
      <c r="Q59"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59" s="43" t="s">
        <v>139</v>
      </c>
    </row>
    <row r="60" spans="2:18" x14ac:dyDescent="0.25">
      <c r="B60" s="36">
        <v>46273</v>
      </c>
      <c r="C60" s="28" t="s">
        <v>87</v>
      </c>
      <c r="D60" s="28" t="s">
        <v>96</v>
      </c>
      <c r="E60" s="28" t="s">
        <v>111</v>
      </c>
      <c r="F60" s="37">
        <v>4</v>
      </c>
      <c r="G60" s="38">
        <f>IF(tblScrap[[#This Row],[Date]]="","",IFERROR(INDEX(tblParts[Material],MATCH(tblScrap[[#This Row],[Part]],tblParts[Part],0)),""))</f>
        <v>6.1</v>
      </c>
      <c r="H60" s="38">
        <f>IF(tblScrap[[#This Row],[Date]]="","",SUMIFS(tblStageCosts[Conversion to date],tblStageCosts[Part],tblScrap[[#This Row],[Part]],tblStageCosts[Operation],tblScrap[[#This Row],[Operation]]))</f>
        <v>4.2</v>
      </c>
      <c r="I60" s="39">
        <f>IF(tblScrap[[#This Row],[Date]]="","",IFERROR(INDEX(tblParts[Mass],MATCH(tblScrap[[#This Row],[Part]],tblParts[Part],0)),""))</f>
        <v>1.85</v>
      </c>
      <c r="J60" s="40">
        <f>IF(tblScrap[[#This Row],[Date]]="","",IF(tblScrap[[#This Row],[Mass]]="","",tblScrap[[#This Row],[Scrapped]]*tblScrap[[#This Row],[Mass]]))</f>
        <v>7.4</v>
      </c>
      <c r="K60" s="38">
        <f>IF(tblScrap[[#This Row],[Date]]="","",IF(tblScrap[[#This Row],[Material]]="","",tblScrap[[#This Row],[Scrapped]]*tblScrap[[#This Row],[Material]]))</f>
        <v>24.4</v>
      </c>
      <c r="L60" s="38">
        <f>IF(tblScrap[[#This Row],[Date]]="","",tblScrap[[#This Row],[Scrapped]]*tblScrap[[#This Row],[Conversion to date]])</f>
        <v>16.8</v>
      </c>
      <c r="M60" s="38">
        <f>IF(tblScrap[[#This Row],[Date]]="","",IF(tblScrap[[#This Row],[Mass]]="","",tblScrap[[#This Row],[Scrap mass]]*DisposalKg))</f>
        <v>0.37</v>
      </c>
      <c r="N60" s="38">
        <f>IF(tblScrap[[#This Row],[Date]]="","",IF(tblScrap[[#This Row],[Mass]]="","",tblScrap[[#This Row],[Scrap mass]]*RecoveryKg))</f>
        <v>10.36</v>
      </c>
      <c r="O60" s="38">
        <f>IF(tblScrap[[#This Row],[Date]]="","",IF(tblScrap[[#This Row],[Material]]="","",tblScrap[[#This Row],[Material write-off]]+tblScrap[[#This Row],[Conversion write-off]]+tblScrap[[#This Row],[Disposal]]-tblScrap[[#This Row],[Recovery credit]]))</f>
        <v>31.21</v>
      </c>
      <c r="P60" s="41">
        <f>IF(tblScrap[[#This Row],[Date]]="","",IF(AND(tblScrap[[#This Row],[Date]]&gt;=FFrom,tblScrap[[#This Row],[Date]]&lt;=FTo,OR(DashPart="",tblScrap[[#This Row],[Part]]=DashPart)),tblScrap[[#This Row],[Date]],""))</f>
        <v>46273</v>
      </c>
      <c r="Q60"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60" s="43" t="s">
        <v>139</v>
      </c>
    </row>
    <row r="61" spans="2:18" x14ac:dyDescent="0.25">
      <c r="B61" s="36">
        <v>46273</v>
      </c>
      <c r="C61" s="28" t="s">
        <v>89</v>
      </c>
      <c r="D61" s="28" t="s">
        <v>96</v>
      </c>
      <c r="E61" s="28" t="s">
        <v>109</v>
      </c>
      <c r="F61" s="37">
        <v>3</v>
      </c>
      <c r="G61" s="38">
        <f>IF(tblScrap[[#This Row],[Date]]="","",IFERROR(INDEX(tblParts[Material],MATCH(tblScrap[[#This Row],[Part]],tblParts[Part],0)),""))</f>
        <v>8.6</v>
      </c>
      <c r="H61" s="38">
        <f>IF(tblScrap[[#This Row],[Date]]="","",SUMIFS(tblStageCosts[Conversion to date],tblStageCosts[Part],tblScrap[[#This Row],[Part]],tblStageCosts[Operation],tblScrap[[#This Row],[Operation]]))</f>
        <v>5.4</v>
      </c>
      <c r="I61" s="39">
        <f>IF(tblScrap[[#This Row],[Date]]="","",IFERROR(INDEX(tblParts[Mass],MATCH(tblScrap[[#This Row],[Part]],tblParts[Part],0)),""))</f>
        <v>2.6</v>
      </c>
      <c r="J61" s="40">
        <f>IF(tblScrap[[#This Row],[Date]]="","",IF(tblScrap[[#This Row],[Mass]]="","",tblScrap[[#This Row],[Scrapped]]*tblScrap[[#This Row],[Mass]]))</f>
        <v>7.8</v>
      </c>
      <c r="K61" s="38">
        <f>IF(tblScrap[[#This Row],[Date]]="","",IF(tblScrap[[#This Row],[Material]]="","",tblScrap[[#This Row],[Scrapped]]*tblScrap[[#This Row],[Material]]))</f>
        <v>25.8</v>
      </c>
      <c r="L61" s="38">
        <f>IF(tblScrap[[#This Row],[Date]]="","",tblScrap[[#This Row],[Scrapped]]*tblScrap[[#This Row],[Conversion to date]])</f>
        <v>16.2</v>
      </c>
      <c r="M61" s="38">
        <f>IF(tblScrap[[#This Row],[Date]]="","",IF(tblScrap[[#This Row],[Mass]]="","",tblScrap[[#This Row],[Scrap mass]]*DisposalKg))</f>
        <v>0.39</v>
      </c>
      <c r="N61" s="38">
        <f>IF(tblScrap[[#This Row],[Date]]="","",IF(tblScrap[[#This Row],[Mass]]="","",tblScrap[[#This Row],[Scrap mass]]*RecoveryKg))</f>
        <v>10.92</v>
      </c>
      <c r="O61" s="38">
        <f>IF(tblScrap[[#This Row],[Date]]="","",IF(tblScrap[[#This Row],[Material]]="","",tblScrap[[#This Row],[Material write-off]]+tblScrap[[#This Row],[Conversion write-off]]+tblScrap[[#This Row],[Disposal]]-tblScrap[[#This Row],[Recovery credit]]))</f>
        <v>31.47</v>
      </c>
      <c r="P61" s="41">
        <f>IF(tblScrap[[#This Row],[Date]]="","",IF(AND(tblScrap[[#This Row],[Date]]&gt;=FFrom,tblScrap[[#This Row],[Date]]&lt;=FTo,OR(DashPart="",tblScrap[[#This Row],[Part]]=DashPart)),tblScrap[[#This Row],[Date]],""))</f>
        <v>46273</v>
      </c>
      <c r="Q61"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61" s="43" t="s">
        <v>139</v>
      </c>
    </row>
    <row r="62" spans="2:18" x14ac:dyDescent="0.25">
      <c r="B62" s="36">
        <v>46273</v>
      </c>
      <c r="C62" s="28" t="s">
        <v>89</v>
      </c>
      <c r="D62" s="28" t="s">
        <v>100</v>
      </c>
      <c r="E62" s="28" t="s">
        <v>115</v>
      </c>
      <c r="F62" s="37">
        <v>3</v>
      </c>
      <c r="G62" s="38">
        <f>IF(tblScrap[[#This Row],[Date]]="","",IFERROR(INDEX(tblParts[Material],MATCH(tblScrap[[#This Row],[Part]],tblParts[Part],0)),""))</f>
        <v>8.6</v>
      </c>
      <c r="H62" s="38">
        <f>IF(tblScrap[[#This Row],[Date]]="","",SUMIFS(tblStageCosts[Conversion to date],tblStageCosts[Part],tblScrap[[#This Row],[Part]],tblStageCosts[Operation],tblScrap[[#This Row],[Operation]]))</f>
        <v>15.8</v>
      </c>
      <c r="I62" s="39">
        <f>IF(tblScrap[[#This Row],[Date]]="","",IFERROR(INDEX(tblParts[Mass],MATCH(tblScrap[[#This Row],[Part]],tblParts[Part],0)),""))</f>
        <v>2.6</v>
      </c>
      <c r="J62" s="40">
        <f>IF(tblScrap[[#This Row],[Date]]="","",IF(tblScrap[[#This Row],[Mass]]="","",tblScrap[[#This Row],[Scrapped]]*tblScrap[[#This Row],[Mass]]))</f>
        <v>7.8</v>
      </c>
      <c r="K62" s="38">
        <f>IF(tblScrap[[#This Row],[Date]]="","",IF(tblScrap[[#This Row],[Material]]="","",tblScrap[[#This Row],[Scrapped]]*tblScrap[[#This Row],[Material]]))</f>
        <v>25.8</v>
      </c>
      <c r="L62" s="38">
        <f>IF(tblScrap[[#This Row],[Date]]="","",tblScrap[[#This Row],[Scrapped]]*tblScrap[[#This Row],[Conversion to date]])</f>
        <v>47.4</v>
      </c>
      <c r="M62" s="38">
        <f>IF(tblScrap[[#This Row],[Date]]="","",IF(tblScrap[[#This Row],[Mass]]="","",tblScrap[[#This Row],[Scrap mass]]*DisposalKg))</f>
        <v>0.39</v>
      </c>
      <c r="N62" s="38">
        <f>IF(tblScrap[[#This Row],[Date]]="","",IF(tblScrap[[#This Row],[Mass]]="","",tblScrap[[#This Row],[Scrap mass]]*RecoveryKg))</f>
        <v>10.92</v>
      </c>
      <c r="O62" s="38">
        <f>IF(tblScrap[[#This Row],[Date]]="","",IF(tblScrap[[#This Row],[Material]]="","",tblScrap[[#This Row],[Material write-off]]+tblScrap[[#This Row],[Conversion write-off]]+tblScrap[[#This Row],[Disposal]]-tblScrap[[#This Row],[Recovery credit]]))</f>
        <v>62.67</v>
      </c>
      <c r="P62" s="41">
        <f>IF(tblScrap[[#This Row],[Date]]="","",IF(AND(tblScrap[[#This Row],[Date]]&gt;=FFrom,tblScrap[[#This Row],[Date]]&lt;=FTo,OR(DashPart="",tblScrap[[#This Row],[Part]]=DashPart)),tblScrap[[#This Row],[Date]],""))</f>
        <v>46273</v>
      </c>
      <c r="Q62"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62" s="43" t="s">
        <v>139</v>
      </c>
    </row>
    <row r="63" spans="2:18" x14ac:dyDescent="0.25">
      <c r="B63" s="36">
        <v>46273</v>
      </c>
      <c r="C63" s="28" t="s">
        <v>91</v>
      </c>
      <c r="D63" s="28" t="s">
        <v>100</v>
      </c>
      <c r="E63" s="28" t="s">
        <v>117</v>
      </c>
      <c r="F63" s="37">
        <v>6</v>
      </c>
      <c r="G63" s="38">
        <f>IF(tblScrap[[#This Row],[Date]]="","",IFERROR(INDEX(tblParts[Material],MATCH(tblScrap[[#This Row],[Part]],tblParts[Part],0)),""))</f>
        <v>2.05</v>
      </c>
      <c r="H63" s="38">
        <f>IF(tblScrap[[#This Row],[Date]]="","",SUMIFS(tblStageCosts[Conversion to date],tblStageCosts[Part],tblScrap[[#This Row],[Part]],tblStageCosts[Operation],tblScrap[[#This Row],[Operation]]))</f>
        <v>3.1</v>
      </c>
      <c r="I63" s="39">
        <f>IF(tblScrap[[#This Row],[Date]]="","",IFERROR(INDEX(tblParts[Mass],MATCH(tblScrap[[#This Row],[Part]],tblParts[Part],0)),""))</f>
        <v>0.62</v>
      </c>
      <c r="J63" s="40">
        <f>IF(tblScrap[[#This Row],[Date]]="","",IF(tblScrap[[#This Row],[Mass]]="","",tblScrap[[#This Row],[Scrapped]]*tblScrap[[#This Row],[Mass]]))</f>
        <v>3.72</v>
      </c>
      <c r="K63" s="38">
        <f>IF(tblScrap[[#This Row],[Date]]="","",IF(tblScrap[[#This Row],[Material]]="","",tblScrap[[#This Row],[Scrapped]]*tblScrap[[#This Row],[Material]]))</f>
        <v>12.3</v>
      </c>
      <c r="L63" s="38">
        <f>IF(tblScrap[[#This Row],[Date]]="","",tblScrap[[#This Row],[Scrapped]]*tblScrap[[#This Row],[Conversion to date]])</f>
        <v>18.6</v>
      </c>
      <c r="M63" s="38">
        <f>IF(tblScrap[[#This Row],[Date]]="","",IF(tblScrap[[#This Row],[Mass]]="","",tblScrap[[#This Row],[Scrap mass]]*DisposalKg))</f>
        <v>0.186</v>
      </c>
      <c r="N63" s="38">
        <f>IF(tblScrap[[#This Row],[Date]]="","",IF(tblScrap[[#This Row],[Mass]]="","",tblScrap[[#This Row],[Scrap mass]]*RecoveryKg))</f>
        <v>5.208</v>
      </c>
      <c r="O63" s="38">
        <f>IF(tblScrap[[#This Row],[Date]]="","",IF(tblScrap[[#This Row],[Material]]="","",tblScrap[[#This Row],[Material write-off]]+tblScrap[[#This Row],[Conversion write-off]]+tblScrap[[#This Row],[Disposal]]-tblScrap[[#This Row],[Recovery credit]]))</f>
        <v>25.878</v>
      </c>
      <c r="P63" s="41">
        <f>IF(tblScrap[[#This Row],[Date]]="","",IF(AND(tblScrap[[#This Row],[Date]]&gt;=FFrom,tblScrap[[#This Row],[Date]]&lt;=FTo,OR(DashPart="",tblScrap[[#This Row],[Part]]=DashPart)),tblScrap[[#This Row],[Date]],""))</f>
        <v>46273</v>
      </c>
      <c r="Q63"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63" s="43" t="s">
        <v>139</v>
      </c>
    </row>
    <row r="64" spans="2:18" x14ac:dyDescent="0.25">
      <c r="B64" s="36">
        <v>46273</v>
      </c>
      <c r="C64" s="28" t="s">
        <v>91</v>
      </c>
      <c r="D64" s="28" t="s">
        <v>104</v>
      </c>
      <c r="E64" s="28" t="s">
        <v>121</v>
      </c>
      <c r="F64" s="37">
        <v>9</v>
      </c>
      <c r="G64" s="38">
        <f>IF(tblScrap[[#This Row],[Date]]="","",IFERROR(INDEX(tblParts[Material],MATCH(tblScrap[[#This Row],[Part]],tblParts[Part],0)),""))</f>
        <v>2.05</v>
      </c>
      <c r="H64" s="38">
        <f>IF(tblScrap[[#This Row],[Date]]="","",SUMIFS(tblStageCosts[Conversion to date],tblStageCosts[Part],tblScrap[[#This Row],[Part]],tblStageCosts[Operation],tblScrap[[#This Row],[Operation]]))</f>
        <v>3.3</v>
      </c>
      <c r="I64" s="39">
        <f>IF(tblScrap[[#This Row],[Date]]="","",IFERROR(INDEX(tblParts[Mass],MATCH(tblScrap[[#This Row],[Part]],tblParts[Part],0)),""))</f>
        <v>0.62</v>
      </c>
      <c r="J64" s="40">
        <f>IF(tblScrap[[#This Row],[Date]]="","",IF(tblScrap[[#This Row],[Mass]]="","",tblScrap[[#This Row],[Scrapped]]*tblScrap[[#This Row],[Mass]]))</f>
        <v>5.58</v>
      </c>
      <c r="K64" s="38">
        <f>IF(tblScrap[[#This Row],[Date]]="","",IF(tblScrap[[#This Row],[Material]]="","",tblScrap[[#This Row],[Scrapped]]*tblScrap[[#This Row],[Material]]))</f>
        <v>18.45</v>
      </c>
      <c r="L64" s="38">
        <f>IF(tblScrap[[#This Row],[Date]]="","",tblScrap[[#This Row],[Scrapped]]*tblScrap[[#This Row],[Conversion to date]])</f>
        <v>29.7</v>
      </c>
      <c r="M64" s="38">
        <f>IF(tblScrap[[#This Row],[Date]]="","",IF(tblScrap[[#This Row],[Mass]]="","",tblScrap[[#This Row],[Scrap mass]]*DisposalKg))</f>
        <v>0.279</v>
      </c>
      <c r="N64" s="38">
        <f>IF(tblScrap[[#This Row],[Date]]="","",IF(tblScrap[[#This Row],[Mass]]="","",tblScrap[[#This Row],[Scrap mass]]*RecoveryKg))</f>
        <v>7.812</v>
      </c>
      <c r="O64" s="38">
        <f>IF(tblScrap[[#This Row],[Date]]="","",IF(tblScrap[[#This Row],[Material]]="","",tblScrap[[#This Row],[Material write-off]]+tblScrap[[#This Row],[Conversion write-off]]+tblScrap[[#This Row],[Disposal]]-tblScrap[[#This Row],[Recovery credit]]))</f>
        <v>40.617</v>
      </c>
      <c r="P64" s="41">
        <f>IF(tblScrap[[#This Row],[Date]]="","",IF(AND(tblScrap[[#This Row],[Date]]&gt;=FFrom,tblScrap[[#This Row],[Date]]&lt;=FTo,OR(DashPart="",tblScrap[[#This Row],[Part]]=DashPart)),tblScrap[[#This Row],[Date]],""))</f>
        <v>46273</v>
      </c>
      <c r="Q64"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64" s="43" t="s">
        <v>139</v>
      </c>
    </row>
    <row r="65" spans="2:18" x14ac:dyDescent="0.25">
      <c r="B65" s="36">
        <v>46273</v>
      </c>
      <c r="C65" s="28" t="s">
        <v>93</v>
      </c>
      <c r="D65" s="28" t="s">
        <v>96</v>
      </c>
      <c r="E65" s="28" t="s">
        <v>109</v>
      </c>
      <c r="F65" s="37">
        <v>6</v>
      </c>
      <c r="G65" s="38">
        <f>IF(tblScrap[[#This Row],[Date]]="","",IFERROR(INDEX(tblParts[Material],MATCH(tblScrap[[#This Row],[Part]],tblParts[Part],0)),""))</f>
        <v>3.65</v>
      </c>
      <c r="H65" s="38">
        <f>IF(tblScrap[[#This Row],[Date]]="","",SUMIFS(tblStageCosts[Conversion to date],tblStageCosts[Part],tblScrap[[#This Row],[Part]],tblStageCosts[Operation],tblScrap[[#This Row],[Operation]]))</f>
        <v>2.6</v>
      </c>
      <c r="I65" s="39">
        <f>IF(tblScrap[[#This Row],[Date]]="","",IFERROR(INDEX(tblParts[Mass],MATCH(tblScrap[[#This Row],[Part]],tblParts[Part],0)),""))</f>
        <v>1.1</v>
      </c>
      <c r="J65" s="40">
        <f>IF(tblScrap[[#This Row],[Date]]="","",IF(tblScrap[[#This Row],[Mass]]="","",tblScrap[[#This Row],[Scrapped]]*tblScrap[[#This Row],[Mass]]))</f>
        <v>6.6</v>
      </c>
      <c r="K65" s="38">
        <f>IF(tblScrap[[#This Row],[Date]]="","",IF(tblScrap[[#This Row],[Material]]="","",tblScrap[[#This Row],[Scrapped]]*tblScrap[[#This Row],[Material]]))</f>
        <v>21.9</v>
      </c>
      <c r="L65" s="38">
        <f>IF(tblScrap[[#This Row],[Date]]="","",tblScrap[[#This Row],[Scrapped]]*tblScrap[[#This Row],[Conversion to date]])</f>
        <v>15.6</v>
      </c>
      <c r="M65" s="38">
        <f>IF(tblScrap[[#This Row],[Date]]="","",IF(tblScrap[[#This Row],[Mass]]="","",tblScrap[[#This Row],[Scrap mass]]*DisposalKg))</f>
        <v>0.33</v>
      </c>
      <c r="N65" s="38">
        <f>IF(tblScrap[[#This Row],[Date]]="","",IF(tblScrap[[#This Row],[Mass]]="","",tblScrap[[#This Row],[Scrap mass]]*RecoveryKg))</f>
        <v>9.24</v>
      </c>
      <c r="O65" s="38">
        <f>IF(tblScrap[[#This Row],[Date]]="","",IF(tblScrap[[#This Row],[Material]]="","",tblScrap[[#This Row],[Material write-off]]+tblScrap[[#This Row],[Conversion write-off]]+tblScrap[[#This Row],[Disposal]]-tblScrap[[#This Row],[Recovery credit]]))</f>
        <v>28.59</v>
      </c>
      <c r="P65" s="41">
        <f>IF(tblScrap[[#This Row],[Date]]="","",IF(AND(tblScrap[[#This Row],[Date]]&gt;=FFrom,tblScrap[[#This Row],[Date]]&lt;=FTo,OR(DashPart="",tblScrap[[#This Row],[Part]]=DashPart)),tblScrap[[#This Row],[Date]],""))</f>
        <v>46273</v>
      </c>
      <c r="Q65"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65" s="43" t="s">
        <v>139</v>
      </c>
    </row>
    <row r="66" spans="2:18" x14ac:dyDescent="0.25">
      <c r="B66" s="36">
        <v>46274</v>
      </c>
      <c r="C66" s="28" t="s">
        <v>87</v>
      </c>
      <c r="D66" s="28" t="s">
        <v>96</v>
      </c>
      <c r="E66" s="28" t="s">
        <v>111</v>
      </c>
      <c r="F66" s="37">
        <v>8</v>
      </c>
      <c r="G66" s="38">
        <f>IF(tblScrap[[#This Row],[Date]]="","",IFERROR(INDEX(tblParts[Material],MATCH(tblScrap[[#This Row],[Part]],tblParts[Part],0)),""))</f>
        <v>6.1</v>
      </c>
      <c r="H66" s="38">
        <f>IF(tblScrap[[#This Row],[Date]]="","",SUMIFS(tblStageCosts[Conversion to date],tblStageCosts[Part],tblScrap[[#This Row],[Part]],tblStageCosts[Operation],tblScrap[[#This Row],[Operation]]))</f>
        <v>4.2</v>
      </c>
      <c r="I66" s="39">
        <f>IF(tblScrap[[#This Row],[Date]]="","",IFERROR(INDEX(tblParts[Mass],MATCH(tblScrap[[#This Row],[Part]],tblParts[Part],0)),""))</f>
        <v>1.85</v>
      </c>
      <c r="J66" s="40">
        <f>IF(tblScrap[[#This Row],[Date]]="","",IF(tblScrap[[#This Row],[Mass]]="","",tblScrap[[#This Row],[Scrapped]]*tblScrap[[#This Row],[Mass]]))</f>
        <v>14.8</v>
      </c>
      <c r="K66" s="38">
        <f>IF(tblScrap[[#This Row],[Date]]="","",IF(tblScrap[[#This Row],[Material]]="","",tblScrap[[#This Row],[Scrapped]]*tblScrap[[#This Row],[Material]]))</f>
        <v>48.8</v>
      </c>
      <c r="L66" s="38">
        <f>IF(tblScrap[[#This Row],[Date]]="","",tblScrap[[#This Row],[Scrapped]]*tblScrap[[#This Row],[Conversion to date]])</f>
        <v>33.6</v>
      </c>
      <c r="M66" s="38">
        <f>IF(tblScrap[[#This Row],[Date]]="","",IF(tblScrap[[#This Row],[Mass]]="","",tblScrap[[#This Row],[Scrap mass]]*DisposalKg))</f>
        <v>0.74</v>
      </c>
      <c r="N66" s="38">
        <f>IF(tblScrap[[#This Row],[Date]]="","",IF(tblScrap[[#This Row],[Mass]]="","",tblScrap[[#This Row],[Scrap mass]]*RecoveryKg))</f>
        <v>20.72</v>
      </c>
      <c r="O66" s="38">
        <f>IF(tblScrap[[#This Row],[Date]]="","",IF(tblScrap[[#This Row],[Material]]="","",tblScrap[[#This Row],[Material write-off]]+tblScrap[[#This Row],[Conversion write-off]]+tblScrap[[#This Row],[Disposal]]-tblScrap[[#This Row],[Recovery credit]]))</f>
        <v>62.42</v>
      </c>
      <c r="P66" s="41">
        <f>IF(tblScrap[[#This Row],[Date]]="","",IF(AND(tblScrap[[#This Row],[Date]]&gt;=FFrom,tblScrap[[#This Row],[Date]]&lt;=FTo,OR(DashPart="",tblScrap[[#This Row],[Part]]=DashPart)),tblScrap[[#This Row],[Date]],""))</f>
        <v>46274</v>
      </c>
      <c r="Q66"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66" s="43" t="s">
        <v>139</v>
      </c>
    </row>
    <row r="67" spans="2:18" x14ac:dyDescent="0.25">
      <c r="B67" s="36">
        <v>46274</v>
      </c>
      <c r="C67" s="28" t="s">
        <v>87</v>
      </c>
      <c r="D67" s="28" t="s">
        <v>102</v>
      </c>
      <c r="E67" s="28" t="s">
        <v>113</v>
      </c>
      <c r="F67" s="37">
        <v>1</v>
      </c>
      <c r="G67" s="38">
        <f>IF(tblScrap[[#This Row],[Date]]="","",IFERROR(INDEX(tblParts[Material],MATCH(tblScrap[[#This Row],[Part]],tblParts[Part],0)),""))</f>
        <v>6.1</v>
      </c>
      <c r="H67" s="38">
        <f>IF(tblScrap[[#This Row],[Date]]="","",SUMIFS(tblStageCosts[Conversion to date],tblStageCosts[Part],tblScrap[[#This Row],[Part]],tblStageCosts[Operation],tblScrap[[#This Row],[Operation]]))</f>
        <v>12.4</v>
      </c>
      <c r="I67" s="39">
        <f>IF(tblScrap[[#This Row],[Date]]="","",IFERROR(INDEX(tblParts[Mass],MATCH(tblScrap[[#This Row],[Part]],tblParts[Part],0)),""))</f>
        <v>1.85</v>
      </c>
      <c r="J67" s="40">
        <f>IF(tblScrap[[#This Row],[Date]]="","",IF(tblScrap[[#This Row],[Mass]]="","",tblScrap[[#This Row],[Scrapped]]*tblScrap[[#This Row],[Mass]]))</f>
        <v>1.85</v>
      </c>
      <c r="K67" s="38">
        <f>IF(tblScrap[[#This Row],[Date]]="","",IF(tblScrap[[#This Row],[Material]]="","",tblScrap[[#This Row],[Scrapped]]*tblScrap[[#This Row],[Material]]))</f>
        <v>6.1</v>
      </c>
      <c r="L67" s="38">
        <f>IF(tblScrap[[#This Row],[Date]]="","",tblScrap[[#This Row],[Scrapped]]*tblScrap[[#This Row],[Conversion to date]])</f>
        <v>12.4</v>
      </c>
      <c r="M67" s="38">
        <f>IF(tblScrap[[#This Row],[Date]]="","",IF(tblScrap[[#This Row],[Mass]]="","",tblScrap[[#This Row],[Scrap mass]]*DisposalKg))</f>
        <v>0.0925</v>
      </c>
      <c r="N67" s="38">
        <f>IF(tblScrap[[#This Row],[Date]]="","",IF(tblScrap[[#This Row],[Mass]]="","",tblScrap[[#This Row],[Scrap mass]]*RecoveryKg))</f>
        <v>2.59</v>
      </c>
      <c r="O67" s="38">
        <f>IF(tblScrap[[#This Row],[Date]]="","",IF(tblScrap[[#This Row],[Material]]="","",tblScrap[[#This Row],[Material write-off]]+tblScrap[[#This Row],[Conversion write-off]]+tblScrap[[#This Row],[Disposal]]-tblScrap[[#This Row],[Recovery credit]]))</f>
        <v>16.0025</v>
      </c>
      <c r="P67" s="41">
        <f>IF(tblScrap[[#This Row],[Date]]="","",IF(AND(tblScrap[[#This Row],[Date]]&gt;=FFrom,tblScrap[[#This Row],[Date]]&lt;=FTo,OR(DashPart="",tblScrap[[#This Row],[Part]]=DashPart)),tblScrap[[#This Row],[Date]],""))</f>
        <v>46274</v>
      </c>
      <c r="Q67"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67" s="43" t="s">
        <v>139</v>
      </c>
    </row>
    <row r="68" spans="2:18" x14ac:dyDescent="0.25">
      <c r="B68" s="36">
        <v>46274</v>
      </c>
      <c r="C68" s="28" t="s">
        <v>89</v>
      </c>
      <c r="D68" s="28" t="s">
        <v>102</v>
      </c>
      <c r="E68" s="28" t="s">
        <v>113</v>
      </c>
      <c r="F68" s="37">
        <v>5</v>
      </c>
      <c r="G68" s="38">
        <f>IF(tblScrap[[#This Row],[Date]]="","",IFERROR(INDEX(tblParts[Material],MATCH(tblScrap[[#This Row],[Part]],tblParts[Part],0)),""))</f>
        <v>8.6</v>
      </c>
      <c r="H68" s="38">
        <f>IF(tblScrap[[#This Row],[Date]]="","",SUMIFS(tblStageCosts[Conversion to date],tblStageCosts[Part],tblScrap[[#This Row],[Part]],tblStageCosts[Operation],tblScrap[[#This Row],[Operation]]))</f>
        <v>16.9</v>
      </c>
      <c r="I68" s="39">
        <f>IF(tblScrap[[#This Row],[Date]]="","",IFERROR(INDEX(tblParts[Mass],MATCH(tblScrap[[#This Row],[Part]],tblParts[Part],0)),""))</f>
        <v>2.6</v>
      </c>
      <c r="J68" s="40">
        <f>IF(tblScrap[[#This Row],[Date]]="","",IF(tblScrap[[#This Row],[Mass]]="","",tblScrap[[#This Row],[Scrapped]]*tblScrap[[#This Row],[Mass]]))</f>
        <v>13</v>
      </c>
      <c r="K68" s="38">
        <f>IF(tblScrap[[#This Row],[Date]]="","",IF(tblScrap[[#This Row],[Material]]="","",tblScrap[[#This Row],[Scrapped]]*tblScrap[[#This Row],[Material]]))</f>
        <v>43</v>
      </c>
      <c r="L68" s="38">
        <f>IF(tblScrap[[#This Row],[Date]]="","",tblScrap[[#This Row],[Scrapped]]*tblScrap[[#This Row],[Conversion to date]])</f>
        <v>84.5</v>
      </c>
      <c r="M68" s="38">
        <f>IF(tblScrap[[#This Row],[Date]]="","",IF(tblScrap[[#This Row],[Mass]]="","",tblScrap[[#This Row],[Scrap mass]]*DisposalKg))</f>
        <v>0.65</v>
      </c>
      <c r="N68" s="38">
        <f>IF(tblScrap[[#This Row],[Date]]="","",IF(tblScrap[[#This Row],[Mass]]="","",tblScrap[[#This Row],[Scrap mass]]*RecoveryKg))</f>
        <v>18.2</v>
      </c>
      <c r="O68" s="38">
        <f>IF(tblScrap[[#This Row],[Date]]="","",IF(tblScrap[[#This Row],[Material]]="","",tblScrap[[#This Row],[Material write-off]]+tblScrap[[#This Row],[Conversion write-off]]+tblScrap[[#This Row],[Disposal]]-tblScrap[[#This Row],[Recovery credit]]))</f>
        <v>109.95</v>
      </c>
      <c r="P68" s="41">
        <f>IF(tblScrap[[#This Row],[Date]]="","",IF(AND(tblScrap[[#This Row],[Date]]&gt;=FFrom,tblScrap[[#This Row],[Date]]&lt;=FTo,OR(DashPart="",tblScrap[[#This Row],[Part]]=DashPart)),tblScrap[[#This Row],[Date]],""))</f>
        <v>46274</v>
      </c>
      <c r="Q68"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68" s="43" t="s">
        <v>139</v>
      </c>
    </row>
    <row r="69" spans="2:18" x14ac:dyDescent="0.25">
      <c r="B69" s="36">
        <v>46274</v>
      </c>
      <c r="C69" s="28" t="s">
        <v>89</v>
      </c>
      <c r="D69" s="28" t="s">
        <v>100</v>
      </c>
      <c r="E69" s="28" t="s">
        <v>115</v>
      </c>
      <c r="F69" s="37">
        <v>1</v>
      </c>
      <c r="G69" s="38">
        <f>IF(tblScrap[[#This Row],[Date]]="","",IFERROR(INDEX(tblParts[Material],MATCH(tblScrap[[#This Row],[Part]],tblParts[Part],0)),""))</f>
        <v>8.6</v>
      </c>
      <c r="H69" s="38">
        <f>IF(tblScrap[[#This Row],[Date]]="","",SUMIFS(tblStageCosts[Conversion to date],tblStageCosts[Part],tblScrap[[#This Row],[Part]],tblStageCosts[Operation],tblScrap[[#This Row],[Operation]]))</f>
        <v>15.8</v>
      </c>
      <c r="I69" s="39">
        <f>IF(tblScrap[[#This Row],[Date]]="","",IFERROR(INDEX(tblParts[Mass],MATCH(tblScrap[[#This Row],[Part]],tblParts[Part],0)),""))</f>
        <v>2.6</v>
      </c>
      <c r="J69" s="40">
        <f>IF(tblScrap[[#This Row],[Date]]="","",IF(tblScrap[[#This Row],[Mass]]="","",tblScrap[[#This Row],[Scrapped]]*tblScrap[[#This Row],[Mass]]))</f>
        <v>2.6</v>
      </c>
      <c r="K69" s="38">
        <f>IF(tblScrap[[#This Row],[Date]]="","",IF(tblScrap[[#This Row],[Material]]="","",tblScrap[[#This Row],[Scrapped]]*tblScrap[[#This Row],[Material]]))</f>
        <v>8.6</v>
      </c>
      <c r="L69" s="38">
        <f>IF(tblScrap[[#This Row],[Date]]="","",tblScrap[[#This Row],[Scrapped]]*tblScrap[[#This Row],[Conversion to date]])</f>
        <v>15.8</v>
      </c>
      <c r="M69" s="38">
        <f>IF(tblScrap[[#This Row],[Date]]="","",IF(tblScrap[[#This Row],[Mass]]="","",tblScrap[[#This Row],[Scrap mass]]*DisposalKg))</f>
        <v>0.13</v>
      </c>
      <c r="N69" s="38">
        <f>IF(tblScrap[[#This Row],[Date]]="","",IF(tblScrap[[#This Row],[Mass]]="","",tblScrap[[#This Row],[Scrap mass]]*RecoveryKg))</f>
        <v>3.64</v>
      </c>
      <c r="O69" s="38">
        <f>IF(tblScrap[[#This Row],[Date]]="","",IF(tblScrap[[#This Row],[Material]]="","",tblScrap[[#This Row],[Material write-off]]+tblScrap[[#This Row],[Conversion write-off]]+tblScrap[[#This Row],[Disposal]]-tblScrap[[#This Row],[Recovery credit]]))</f>
        <v>20.89</v>
      </c>
      <c r="P69" s="41">
        <f>IF(tblScrap[[#This Row],[Date]]="","",IF(AND(tblScrap[[#This Row],[Date]]&gt;=FFrom,tblScrap[[#This Row],[Date]]&lt;=FTo,OR(DashPart="",tblScrap[[#This Row],[Part]]=DashPart)),tblScrap[[#This Row],[Date]],""))</f>
        <v>46274</v>
      </c>
      <c r="Q69"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69" s="43" t="s">
        <v>139</v>
      </c>
    </row>
    <row r="70" spans="2:18" x14ac:dyDescent="0.25">
      <c r="B70" s="36">
        <v>46274</v>
      </c>
      <c r="C70" s="28" t="s">
        <v>91</v>
      </c>
      <c r="D70" s="28" t="s">
        <v>96</v>
      </c>
      <c r="E70" s="28" t="s">
        <v>111</v>
      </c>
      <c r="F70" s="37">
        <v>19</v>
      </c>
      <c r="G70" s="38">
        <f>IF(tblScrap[[#This Row],[Date]]="","",IFERROR(INDEX(tblParts[Material],MATCH(tblScrap[[#This Row],[Part]],tblParts[Part],0)),""))</f>
        <v>2.05</v>
      </c>
      <c r="H70" s="38">
        <f>IF(tblScrap[[#This Row],[Date]]="","",SUMIFS(tblStageCosts[Conversion to date],tblStageCosts[Part],tblScrap[[#This Row],[Part]],tblStageCosts[Operation],tblScrap[[#This Row],[Operation]]))</f>
        <v>1.3</v>
      </c>
      <c r="I70" s="39">
        <f>IF(tblScrap[[#This Row],[Date]]="","",IFERROR(INDEX(tblParts[Mass],MATCH(tblScrap[[#This Row],[Part]],tblParts[Part],0)),""))</f>
        <v>0.62</v>
      </c>
      <c r="J70" s="40">
        <f>IF(tblScrap[[#This Row],[Date]]="","",IF(tblScrap[[#This Row],[Mass]]="","",tblScrap[[#This Row],[Scrapped]]*tblScrap[[#This Row],[Mass]]))</f>
        <v>11.78</v>
      </c>
      <c r="K70" s="38">
        <f>IF(tblScrap[[#This Row],[Date]]="","",IF(tblScrap[[#This Row],[Material]]="","",tblScrap[[#This Row],[Scrapped]]*tblScrap[[#This Row],[Material]]))</f>
        <v>38.95</v>
      </c>
      <c r="L70" s="38">
        <f>IF(tblScrap[[#This Row],[Date]]="","",tblScrap[[#This Row],[Scrapped]]*tblScrap[[#This Row],[Conversion to date]])</f>
        <v>24.7</v>
      </c>
      <c r="M70" s="38">
        <f>IF(tblScrap[[#This Row],[Date]]="","",IF(tblScrap[[#This Row],[Mass]]="","",tblScrap[[#This Row],[Scrap mass]]*DisposalKg))</f>
        <v>0.589</v>
      </c>
      <c r="N70" s="38">
        <f>IF(tblScrap[[#This Row],[Date]]="","",IF(tblScrap[[#This Row],[Mass]]="","",tblScrap[[#This Row],[Scrap mass]]*RecoveryKg))</f>
        <v>16.492</v>
      </c>
      <c r="O70" s="38">
        <f>IF(tblScrap[[#This Row],[Date]]="","",IF(tblScrap[[#This Row],[Material]]="","",tblScrap[[#This Row],[Material write-off]]+tblScrap[[#This Row],[Conversion write-off]]+tblScrap[[#This Row],[Disposal]]-tblScrap[[#This Row],[Recovery credit]]))</f>
        <v>47.747</v>
      </c>
      <c r="P70" s="41">
        <f>IF(tblScrap[[#This Row],[Date]]="","",IF(AND(tblScrap[[#This Row],[Date]]&gt;=FFrom,tblScrap[[#This Row],[Date]]&lt;=FTo,OR(DashPart="",tblScrap[[#This Row],[Part]]=DashPart)),tblScrap[[#This Row],[Date]],""))</f>
        <v>46274</v>
      </c>
      <c r="Q70"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70" s="43" t="s">
        <v>139</v>
      </c>
    </row>
    <row r="71" spans="2:18" x14ac:dyDescent="0.25">
      <c r="B71" s="36">
        <v>46274</v>
      </c>
      <c r="C71" s="28" t="s">
        <v>91</v>
      </c>
      <c r="D71" s="28" t="s">
        <v>100</v>
      </c>
      <c r="E71" s="28" t="s">
        <v>117</v>
      </c>
      <c r="F71" s="37">
        <v>7</v>
      </c>
      <c r="G71" s="38">
        <f>IF(tblScrap[[#This Row],[Date]]="","",IFERROR(INDEX(tblParts[Material],MATCH(tblScrap[[#This Row],[Part]],tblParts[Part],0)),""))</f>
        <v>2.05</v>
      </c>
      <c r="H71" s="38">
        <f>IF(tblScrap[[#This Row],[Date]]="","",SUMIFS(tblStageCosts[Conversion to date],tblStageCosts[Part],tblScrap[[#This Row],[Part]],tblStageCosts[Operation],tblScrap[[#This Row],[Operation]]))</f>
        <v>3.1</v>
      </c>
      <c r="I71" s="39">
        <f>IF(tblScrap[[#This Row],[Date]]="","",IFERROR(INDEX(tblParts[Mass],MATCH(tblScrap[[#This Row],[Part]],tblParts[Part],0)),""))</f>
        <v>0.62</v>
      </c>
      <c r="J71" s="40">
        <f>IF(tblScrap[[#This Row],[Date]]="","",IF(tblScrap[[#This Row],[Mass]]="","",tblScrap[[#This Row],[Scrapped]]*tblScrap[[#This Row],[Mass]]))</f>
        <v>4.34</v>
      </c>
      <c r="K71" s="38">
        <f>IF(tblScrap[[#This Row],[Date]]="","",IF(tblScrap[[#This Row],[Material]]="","",tblScrap[[#This Row],[Scrapped]]*tblScrap[[#This Row],[Material]]))</f>
        <v>14.35</v>
      </c>
      <c r="L71" s="38">
        <f>IF(tblScrap[[#This Row],[Date]]="","",tblScrap[[#This Row],[Scrapped]]*tblScrap[[#This Row],[Conversion to date]])</f>
        <v>21.7</v>
      </c>
      <c r="M71" s="38">
        <f>IF(tblScrap[[#This Row],[Date]]="","",IF(tblScrap[[#This Row],[Mass]]="","",tblScrap[[#This Row],[Scrap mass]]*DisposalKg))</f>
        <v>0.217</v>
      </c>
      <c r="N71" s="38">
        <f>IF(tblScrap[[#This Row],[Date]]="","",IF(tblScrap[[#This Row],[Mass]]="","",tblScrap[[#This Row],[Scrap mass]]*RecoveryKg))</f>
        <v>6.076</v>
      </c>
      <c r="O71" s="38">
        <f>IF(tblScrap[[#This Row],[Date]]="","",IF(tblScrap[[#This Row],[Material]]="","",tblScrap[[#This Row],[Material write-off]]+tblScrap[[#This Row],[Conversion write-off]]+tblScrap[[#This Row],[Disposal]]-tblScrap[[#This Row],[Recovery credit]]))</f>
        <v>30.191</v>
      </c>
      <c r="P71" s="41">
        <f>IF(tblScrap[[#This Row],[Date]]="","",IF(AND(tblScrap[[#This Row],[Date]]&gt;=FFrom,tblScrap[[#This Row],[Date]]&lt;=FTo,OR(DashPart="",tblScrap[[#This Row],[Part]]=DashPart)),tblScrap[[#This Row],[Date]],""))</f>
        <v>46274</v>
      </c>
      <c r="Q71"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71" s="43" t="s">
        <v>139</v>
      </c>
    </row>
    <row r="72" spans="2:18" x14ac:dyDescent="0.25">
      <c r="B72" s="36">
        <v>46274</v>
      </c>
      <c r="C72" s="28" t="s">
        <v>93</v>
      </c>
      <c r="D72" s="28" t="s">
        <v>96</v>
      </c>
      <c r="E72" s="28" t="s">
        <v>109</v>
      </c>
      <c r="F72" s="37">
        <v>7</v>
      </c>
      <c r="G72" s="38">
        <f>IF(tblScrap[[#This Row],[Date]]="","",IFERROR(INDEX(tblParts[Material],MATCH(tblScrap[[#This Row],[Part]],tblParts[Part],0)),""))</f>
        <v>3.65</v>
      </c>
      <c r="H72" s="38">
        <f>IF(tblScrap[[#This Row],[Date]]="","",SUMIFS(tblStageCosts[Conversion to date],tblStageCosts[Part],tblScrap[[#This Row],[Part]],tblStageCosts[Operation],tblScrap[[#This Row],[Operation]]))</f>
        <v>2.6</v>
      </c>
      <c r="I72" s="39">
        <f>IF(tblScrap[[#This Row],[Date]]="","",IFERROR(INDEX(tblParts[Mass],MATCH(tblScrap[[#This Row],[Part]],tblParts[Part],0)),""))</f>
        <v>1.1</v>
      </c>
      <c r="J72" s="40">
        <f>IF(tblScrap[[#This Row],[Date]]="","",IF(tblScrap[[#This Row],[Mass]]="","",tblScrap[[#This Row],[Scrapped]]*tblScrap[[#This Row],[Mass]]))</f>
        <v>7.7</v>
      </c>
      <c r="K72" s="38">
        <f>IF(tblScrap[[#This Row],[Date]]="","",IF(tblScrap[[#This Row],[Material]]="","",tblScrap[[#This Row],[Scrapped]]*tblScrap[[#This Row],[Material]]))</f>
        <v>25.55</v>
      </c>
      <c r="L72" s="38">
        <f>IF(tblScrap[[#This Row],[Date]]="","",tblScrap[[#This Row],[Scrapped]]*tblScrap[[#This Row],[Conversion to date]])</f>
        <v>18.2</v>
      </c>
      <c r="M72" s="38">
        <f>IF(tblScrap[[#This Row],[Date]]="","",IF(tblScrap[[#This Row],[Mass]]="","",tblScrap[[#This Row],[Scrap mass]]*DisposalKg))</f>
        <v>0.385</v>
      </c>
      <c r="N72" s="38">
        <f>IF(tblScrap[[#This Row],[Date]]="","",IF(tblScrap[[#This Row],[Mass]]="","",tblScrap[[#This Row],[Scrap mass]]*RecoveryKg))</f>
        <v>10.78</v>
      </c>
      <c r="O72" s="38">
        <f>IF(tblScrap[[#This Row],[Date]]="","",IF(tblScrap[[#This Row],[Material]]="","",tblScrap[[#This Row],[Material write-off]]+tblScrap[[#This Row],[Conversion write-off]]+tblScrap[[#This Row],[Disposal]]-tblScrap[[#This Row],[Recovery credit]]))</f>
        <v>33.355</v>
      </c>
      <c r="P72" s="41">
        <f>IF(tblScrap[[#This Row],[Date]]="","",IF(AND(tblScrap[[#This Row],[Date]]&gt;=FFrom,tblScrap[[#This Row],[Date]]&lt;=FTo,OR(DashPart="",tblScrap[[#This Row],[Part]]=DashPart)),tblScrap[[#This Row],[Date]],""))</f>
        <v>46274</v>
      </c>
      <c r="Q72"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72" s="43" t="s">
        <v>139</v>
      </c>
    </row>
    <row r="73" spans="2:18" x14ac:dyDescent="0.25">
      <c r="B73" s="36">
        <v>46275</v>
      </c>
      <c r="C73" s="28" t="s">
        <v>87</v>
      </c>
      <c r="D73" s="28" t="s">
        <v>96</v>
      </c>
      <c r="E73" s="28" t="s">
        <v>111</v>
      </c>
      <c r="F73" s="37">
        <v>7</v>
      </c>
      <c r="G73" s="38">
        <f>IF(tblScrap[[#This Row],[Date]]="","",IFERROR(INDEX(tblParts[Material],MATCH(tblScrap[[#This Row],[Part]],tblParts[Part],0)),""))</f>
        <v>6.1</v>
      </c>
      <c r="H73" s="38">
        <f>IF(tblScrap[[#This Row],[Date]]="","",SUMIFS(tblStageCosts[Conversion to date],tblStageCosts[Part],tblScrap[[#This Row],[Part]],tblStageCosts[Operation],tblScrap[[#This Row],[Operation]]))</f>
        <v>4.2</v>
      </c>
      <c r="I73" s="39">
        <f>IF(tblScrap[[#This Row],[Date]]="","",IFERROR(INDEX(tblParts[Mass],MATCH(tblScrap[[#This Row],[Part]],tblParts[Part],0)),""))</f>
        <v>1.85</v>
      </c>
      <c r="J73" s="40">
        <f>IF(tblScrap[[#This Row],[Date]]="","",IF(tblScrap[[#This Row],[Mass]]="","",tblScrap[[#This Row],[Scrapped]]*tblScrap[[#This Row],[Mass]]))</f>
        <v>12.95</v>
      </c>
      <c r="K73" s="38">
        <f>IF(tblScrap[[#This Row],[Date]]="","",IF(tblScrap[[#This Row],[Material]]="","",tblScrap[[#This Row],[Scrapped]]*tblScrap[[#This Row],[Material]]))</f>
        <v>42.7</v>
      </c>
      <c r="L73" s="38">
        <f>IF(tblScrap[[#This Row],[Date]]="","",tblScrap[[#This Row],[Scrapped]]*tblScrap[[#This Row],[Conversion to date]])</f>
        <v>29.4</v>
      </c>
      <c r="M73" s="38">
        <f>IF(tblScrap[[#This Row],[Date]]="","",IF(tblScrap[[#This Row],[Mass]]="","",tblScrap[[#This Row],[Scrap mass]]*DisposalKg))</f>
        <v>0.6475</v>
      </c>
      <c r="N73" s="38">
        <f>IF(tblScrap[[#This Row],[Date]]="","",IF(tblScrap[[#This Row],[Mass]]="","",tblScrap[[#This Row],[Scrap mass]]*RecoveryKg))</f>
        <v>18.13</v>
      </c>
      <c r="O73" s="38">
        <f>IF(tblScrap[[#This Row],[Date]]="","",IF(tblScrap[[#This Row],[Material]]="","",tblScrap[[#This Row],[Material write-off]]+tblScrap[[#This Row],[Conversion write-off]]+tblScrap[[#This Row],[Disposal]]-tblScrap[[#This Row],[Recovery credit]]))</f>
        <v>54.6175</v>
      </c>
      <c r="P73" s="41">
        <f>IF(tblScrap[[#This Row],[Date]]="","",IF(AND(tblScrap[[#This Row],[Date]]&gt;=FFrom,tblScrap[[#This Row],[Date]]&lt;=FTo,OR(DashPart="",tblScrap[[#This Row],[Part]]=DashPart)),tblScrap[[#This Row],[Date]],""))</f>
        <v>46275</v>
      </c>
      <c r="Q73"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73" s="43" t="s">
        <v>139</v>
      </c>
    </row>
    <row r="74" spans="2:18" x14ac:dyDescent="0.25">
      <c r="B74" s="36">
        <v>46275</v>
      </c>
      <c r="C74" s="28" t="s">
        <v>87</v>
      </c>
      <c r="D74" s="28" t="s">
        <v>100</v>
      </c>
      <c r="E74" s="28" t="s">
        <v>115</v>
      </c>
      <c r="F74" s="37">
        <v>2</v>
      </c>
      <c r="G74" s="38">
        <f>IF(tblScrap[[#This Row],[Date]]="","",IFERROR(INDEX(tblParts[Material],MATCH(tblScrap[[#This Row],[Part]],tblParts[Part],0)),""))</f>
        <v>6.1</v>
      </c>
      <c r="H74" s="38">
        <f>IF(tblScrap[[#This Row],[Date]]="","",SUMIFS(tblStageCosts[Conversion to date],tblStageCosts[Part],tblScrap[[#This Row],[Part]],tblStageCosts[Operation],tblScrap[[#This Row],[Operation]]))</f>
        <v>11.6</v>
      </c>
      <c r="I74" s="39">
        <f>IF(tblScrap[[#This Row],[Date]]="","",IFERROR(INDEX(tblParts[Mass],MATCH(tblScrap[[#This Row],[Part]],tblParts[Part],0)),""))</f>
        <v>1.85</v>
      </c>
      <c r="J74" s="40">
        <f>IF(tblScrap[[#This Row],[Date]]="","",IF(tblScrap[[#This Row],[Mass]]="","",tblScrap[[#This Row],[Scrapped]]*tblScrap[[#This Row],[Mass]]))</f>
        <v>3.7</v>
      </c>
      <c r="K74" s="38">
        <f>IF(tblScrap[[#This Row],[Date]]="","",IF(tblScrap[[#This Row],[Material]]="","",tblScrap[[#This Row],[Scrapped]]*tblScrap[[#This Row],[Material]]))</f>
        <v>12.2</v>
      </c>
      <c r="L74" s="38">
        <f>IF(tblScrap[[#This Row],[Date]]="","",tblScrap[[#This Row],[Scrapped]]*tblScrap[[#This Row],[Conversion to date]])</f>
        <v>23.2</v>
      </c>
      <c r="M74" s="38">
        <f>IF(tblScrap[[#This Row],[Date]]="","",IF(tblScrap[[#This Row],[Mass]]="","",tblScrap[[#This Row],[Scrap mass]]*DisposalKg))</f>
        <v>0.185</v>
      </c>
      <c r="N74" s="38">
        <f>IF(tblScrap[[#This Row],[Date]]="","",IF(tblScrap[[#This Row],[Mass]]="","",tblScrap[[#This Row],[Scrap mass]]*RecoveryKg))</f>
        <v>5.18</v>
      </c>
      <c r="O74" s="38">
        <f>IF(tblScrap[[#This Row],[Date]]="","",IF(tblScrap[[#This Row],[Material]]="","",tblScrap[[#This Row],[Material write-off]]+tblScrap[[#This Row],[Conversion write-off]]+tblScrap[[#This Row],[Disposal]]-tblScrap[[#This Row],[Recovery credit]]))</f>
        <v>30.405</v>
      </c>
      <c r="P74" s="41">
        <f>IF(tblScrap[[#This Row],[Date]]="","",IF(AND(tblScrap[[#This Row],[Date]]&gt;=FFrom,tblScrap[[#This Row],[Date]]&lt;=FTo,OR(DashPart="",tblScrap[[#This Row],[Part]]=DashPart)),tblScrap[[#This Row],[Date]],""))</f>
        <v>46275</v>
      </c>
      <c r="Q74"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74" s="43" t="s">
        <v>139</v>
      </c>
    </row>
    <row r="75" spans="2:18" x14ac:dyDescent="0.25">
      <c r="B75" s="36">
        <v>46275</v>
      </c>
      <c r="C75" s="28" t="s">
        <v>89</v>
      </c>
      <c r="D75" s="28" t="s">
        <v>96</v>
      </c>
      <c r="E75" s="28" t="s">
        <v>109</v>
      </c>
      <c r="F75" s="37">
        <v>5</v>
      </c>
      <c r="G75" s="38">
        <f>IF(tblScrap[[#This Row],[Date]]="","",IFERROR(INDEX(tblParts[Material],MATCH(tblScrap[[#This Row],[Part]],tblParts[Part],0)),""))</f>
        <v>8.6</v>
      </c>
      <c r="H75" s="38">
        <f>IF(tblScrap[[#This Row],[Date]]="","",SUMIFS(tblStageCosts[Conversion to date],tblStageCosts[Part],tblScrap[[#This Row],[Part]],tblStageCosts[Operation],tblScrap[[#This Row],[Operation]]))</f>
        <v>5.4</v>
      </c>
      <c r="I75" s="39">
        <f>IF(tblScrap[[#This Row],[Date]]="","",IFERROR(INDEX(tblParts[Mass],MATCH(tblScrap[[#This Row],[Part]],tblParts[Part],0)),""))</f>
        <v>2.6</v>
      </c>
      <c r="J75" s="40">
        <f>IF(tblScrap[[#This Row],[Date]]="","",IF(tblScrap[[#This Row],[Mass]]="","",tblScrap[[#This Row],[Scrapped]]*tblScrap[[#This Row],[Mass]]))</f>
        <v>13</v>
      </c>
      <c r="K75" s="38">
        <f>IF(tblScrap[[#This Row],[Date]]="","",IF(tblScrap[[#This Row],[Material]]="","",tblScrap[[#This Row],[Scrapped]]*tblScrap[[#This Row],[Material]]))</f>
        <v>43</v>
      </c>
      <c r="L75" s="38">
        <f>IF(tblScrap[[#This Row],[Date]]="","",tblScrap[[#This Row],[Scrapped]]*tblScrap[[#This Row],[Conversion to date]])</f>
        <v>27</v>
      </c>
      <c r="M75" s="38">
        <f>IF(tblScrap[[#This Row],[Date]]="","",IF(tblScrap[[#This Row],[Mass]]="","",tblScrap[[#This Row],[Scrap mass]]*DisposalKg))</f>
        <v>0.65</v>
      </c>
      <c r="N75" s="38">
        <f>IF(tblScrap[[#This Row],[Date]]="","",IF(tblScrap[[#This Row],[Mass]]="","",tblScrap[[#This Row],[Scrap mass]]*RecoveryKg))</f>
        <v>18.2</v>
      </c>
      <c r="O75" s="38">
        <f>IF(tblScrap[[#This Row],[Date]]="","",IF(tblScrap[[#This Row],[Material]]="","",tblScrap[[#This Row],[Material write-off]]+tblScrap[[#This Row],[Conversion write-off]]+tblScrap[[#This Row],[Disposal]]-tblScrap[[#This Row],[Recovery credit]]))</f>
        <v>52.45</v>
      </c>
      <c r="P75" s="41">
        <f>IF(tblScrap[[#This Row],[Date]]="","",IF(AND(tblScrap[[#This Row],[Date]]&gt;=FFrom,tblScrap[[#This Row],[Date]]&lt;=FTo,OR(DashPart="",tblScrap[[#This Row],[Part]]=DashPart)),tblScrap[[#This Row],[Date]],""))</f>
        <v>46275</v>
      </c>
      <c r="Q75"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75" s="43" t="s">
        <v>139</v>
      </c>
    </row>
    <row r="76" spans="2:18" x14ac:dyDescent="0.25">
      <c r="B76" s="36">
        <v>46275</v>
      </c>
      <c r="C76" s="28" t="s">
        <v>89</v>
      </c>
      <c r="D76" s="28" t="s">
        <v>102</v>
      </c>
      <c r="E76" s="28" t="s">
        <v>113</v>
      </c>
      <c r="F76" s="37">
        <v>9</v>
      </c>
      <c r="G76" s="38">
        <f>IF(tblScrap[[#This Row],[Date]]="","",IFERROR(INDEX(tblParts[Material],MATCH(tblScrap[[#This Row],[Part]],tblParts[Part],0)),""))</f>
        <v>8.6</v>
      </c>
      <c r="H76" s="38">
        <f>IF(tblScrap[[#This Row],[Date]]="","",SUMIFS(tblStageCosts[Conversion to date],tblStageCosts[Part],tblScrap[[#This Row],[Part]],tblStageCosts[Operation],tblScrap[[#This Row],[Operation]]))</f>
        <v>16.9</v>
      </c>
      <c r="I76" s="39">
        <f>IF(tblScrap[[#This Row],[Date]]="","",IFERROR(INDEX(tblParts[Mass],MATCH(tblScrap[[#This Row],[Part]],tblParts[Part],0)),""))</f>
        <v>2.6</v>
      </c>
      <c r="J76" s="40">
        <f>IF(tblScrap[[#This Row],[Date]]="","",IF(tblScrap[[#This Row],[Mass]]="","",tblScrap[[#This Row],[Scrapped]]*tblScrap[[#This Row],[Mass]]))</f>
        <v>23.4</v>
      </c>
      <c r="K76" s="38">
        <f>IF(tblScrap[[#This Row],[Date]]="","",IF(tblScrap[[#This Row],[Material]]="","",tblScrap[[#This Row],[Scrapped]]*tblScrap[[#This Row],[Material]]))</f>
        <v>77.4</v>
      </c>
      <c r="L76" s="38">
        <f>IF(tblScrap[[#This Row],[Date]]="","",tblScrap[[#This Row],[Scrapped]]*tblScrap[[#This Row],[Conversion to date]])</f>
        <v>152.1</v>
      </c>
      <c r="M76" s="38">
        <f>IF(tblScrap[[#This Row],[Date]]="","",IF(tblScrap[[#This Row],[Mass]]="","",tblScrap[[#This Row],[Scrap mass]]*DisposalKg))</f>
        <v>1.17</v>
      </c>
      <c r="N76" s="38">
        <f>IF(tblScrap[[#This Row],[Date]]="","",IF(tblScrap[[#This Row],[Mass]]="","",tblScrap[[#This Row],[Scrap mass]]*RecoveryKg))</f>
        <v>32.76</v>
      </c>
      <c r="O76" s="38">
        <f>IF(tblScrap[[#This Row],[Date]]="","",IF(tblScrap[[#This Row],[Material]]="","",tblScrap[[#This Row],[Material write-off]]+tblScrap[[#This Row],[Conversion write-off]]+tblScrap[[#This Row],[Disposal]]-tblScrap[[#This Row],[Recovery credit]]))</f>
        <v>197.91</v>
      </c>
      <c r="P76" s="41">
        <f>IF(tblScrap[[#This Row],[Date]]="","",IF(AND(tblScrap[[#This Row],[Date]]&gt;=FFrom,tblScrap[[#This Row],[Date]]&lt;=FTo,OR(DashPart="",tblScrap[[#This Row],[Part]]=DashPart)),tblScrap[[#This Row],[Date]],""))</f>
        <v>46275</v>
      </c>
      <c r="Q76"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76" s="43" t="s">
        <v>139</v>
      </c>
    </row>
    <row r="77" spans="2:18" x14ac:dyDescent="0.25">
      <c r="B77" s="36">
        <v>46275</v>
      </c>
      <c r="C77" s="28" t="s">
        <v>89</v>
      </c>
      <c r="D77" s="28" t="s">
        <v>100</v>
      </c>
      <c r="E77" s="28" t="s">
        <v>115</v>
      </c>
      <c r="F77" s="37">
        <v>3</v>
      </c>
      <c r="G77" s="38">
        <f>IF(tblScrap[[#This Row],[Date]]="","",IFERROR(INDEX(tblParts[Material],MATCH(tblScrap[[#This Row],[Part]],tblParts[Part],0)),""))</f>
        <v>8.6</v>
      </c>
      <c r="H77" s="38">
        <f>IF(tblScrap[[#This Row],[Date]]="","",SUMIFS(tblStageCosts[Conversion to date],tblStageCosts[Part],tblScrap[[#This Row],[Part]],tblStageCosts[Operation],tblScrap[[#This Row],[Operation]]))</f>
        <v>15.8</v>
      </c>
      <c r="I77" s="39">
        <f>IF(tblScrap[[#This Row],[Date]]="","",IFERROR(INDEX(tblParts[Mass],MATCH(tblScrap[[#This Row],[Part]],tblParts[Part],0)),""))</f>
        <v>2.6</v>
      </c>
      <c r="J77" s="40">
        <f>IF(tblScrap[[#This Row],[Date]]="","",IF(tblScrap[[#This Row],[Mass]]="","",tblScrap[[#This Row],[Scrapped]]*tblScrap[[#This Row],[Mass]]))</f>
        <v>7.8</v>
      </c>
      <c r="K77" s="38">
        <f>IF(tblScrap[[#This Row],[Date]]="","",IF(tblScrap[[#This Row],[Material]]="","",tblScrap[[#This Row],[Scrapped]]*tblScrap[[#This Row],[Material]]))</f>
        <v>25.8</v>
      </c>
      <c r="L77" s="38">
        <f>IF(tblScrap[[#This Row],[Date]]="","",tblScrap[[#This Row],[Scrapped]]*tblScrap[[#This Row],[Conversion to date]])</f>
        <v>47.4</v>
      </c>
      <c r="M77" s="38">
        <f>IF(tblScrap[[#This Row],[Date]]="","",IF(tblScrap[[#This Row],[Mass]]="","",tblScrap[[#This Row],[Scrap mass]]*DisposalKg))</f>
        <v>0.39</v>
      </c>
      <c r="N77" s="38">
        <f>IF(tblScrap[[#This Row],[Date]]="","",IF(tblScrap[[#This Row],[Mass]]="","",tblScrap[[#This Row],[Scrap mass]]*RecoveryKg))</f>
        <v>10.92</v>
      </c>
      <c r="O77" s="38">
        <f>IF(tblScrap[[#This Row],[Date]]="","",IF(tblScrap[[#This Row],[Material]]="","",tblScrap[[#This Row],[Material write-off]]+tblScrap[[#This Row],[Conversion write-off]]+tblScrap[[#This Row],[Disposal]]-tblScrap[[#This Row],[Recovery credit]]))</f>
        <v>62.67</v>
      </c>
      <c r="P77" s="41">
        <f>IF(tblScrap[[#This Row],[Date]]="","",IF(AND(tblScrap[[#This Row],[Date]]&gt;=FFrom,tblScrap[[#This Row],[Date]]&lt;=FTo,OR(DashPart="",tblScrap[[#This Row],[Part]]=DashPart)),tblScrap[[#This Row],[Date]],""))</f>
        <v>46275</v>
      </c>
      <c r="Q77"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77" s="43" t="s">
        <v>139</v>
      </c>
    </row>
    <row r="78" spans="2:18" x14ac:dyDescent="0.25">
      <c r="B78" s="36">
        <v>46276</v>
      </c>
      <c r="C78" s="28" t="s">
        <v>87</v>
      </c>
      <c r="D78" s="28" t="s">
        <v>100</v>
      </c>
      <c r="E78" s="28" t="s">
        <v>115</v>
      </c>
      <c r="F78" s="37">
        <v>2</v>
      </c>
      <c r="G78" s="38">
        <f>IF(tblScrap[[#This Row],[Date]]="","",IFERROR(INDEX(tblParts[Material],MATCH(tblScrap[[#This Row],[Part]],tblParts[Part],0)),""))</f>
        <v>6.1</v>
      </c>
      <c r="H78" s="38">
        <f>IF(tblScrap[[#This Row],[Date]]="","",SUMIFS(tblStageCosts[Conversion to date],tblStageCosts[Part],tblScrap[[#This Row],[Part]],tblStageCosts[Operation],tblScrap[[#This Row],[Operation]]))</f>
        <v>11.6</v>
      </c>
      <c r="I78" s="39">
        <f>IF(tblScrap[[#This Row],[Date]]="","",IFERROR(INDEX(tblParts[Mass],MATCH(tblScrap[[#This Row],[Part]],tblParts[Part],0)),""))</f>
        <v>1.85</v>
      </c>
      <c r="J78" s="40">
        <f>IF(tblScrap[[#This Row],[Date]]="","",IF(tblScrap[[#This Row],[Mass]]="","",tblScrap[[#This Row],[Scrapped]]*tblScrap[[#This Row],[Mass]]))</f>
        <v>3.7</v>
      </c>
      <c r="K78" s="38">
        <f>IF(tblScrap[[#This Row],[Date]]="","",IF(tblScrap[[#This Row],[Material]]="","",tblScrap[[#This Row],[Scrapped]]*tblScrap[[#This Row],[Material]]))</f>
        <v>12.2</v>
      </c>
      <c r="L78" s="38">
        <f>IF(tblScrap[[#This Row],[Date]]="","",tblScrap[[#This Row],[Scrapped]]*tblScrap[[#This Row],[Conversion to date]])</f>
        <v>23.2</v>
      </c>
      <c r="M78" s="38">
        <f>IF(tblScrap[[#This Row],[Date]]="","",IF(tblScrap[[#This Row],[Mass]]="","",tblScrap[[#This Row],[Scrap mass]]*DisposalKg))</f>
        <v>0.185</v>
      </c>
      <c r="N78" s="38">
        <f>IF(tblScrap[[#This Row],[Date]]="","",IF(tblScrap[[#This Row],[Mass]]="","",tblScrap[[#This Row],[Scrap mass]]*RecoveryKg))</f>
        <v>5.18</v>
      </c>
      <c r="O78" s="38">
        <f>IF(tblScrap[[#This Row],[Date]]="","",IF(tblScrap[[#This Row],[Material]]="","",tblScrap[[#This Row],[Material write-off]]+tblScrap[[#This Row],[Conversion write-off]]+tblScrap[[#This Row],[Disposal]]-tblScrap[[#This Row],[Recovery credit]]))</f>
        <v>30.405</v>
      </c>
      <c r="P78" s="41">
        <f>IF(tblScrap[[#This Row],[Date]]="","",IF(AND(tblScrap[[#This Row],[Date]]&gt;=FFrom,tblScrap[[#This Row],[Date]]&lt;=FTo,OR(DashPart="",tblScrap[[#This Row],[Part]]=DashPart)),tblScrap[[#This Row],[Date]],""))</f>
        <v>46276</v>
      </c>
      <c r="Q78"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78" s="43" t="s">
        <v>139</v>
      </c>
    </row>
    <row r="79" spans="2:18" x14ac:dyDescent="0.25">
      <c r="B79" s="36">
        <v>46276</v>
      </c>
      <c r="C79" s="28" t="s">
        <v>89</v>
      </c>
      <c r="D79" s="28" t="s">
        <v>102</v>
      </c>
      <c r="E79" s="28" t="s">
        <v>113</v>
      </c>
      <c r="F79" s="37">
        <v>7</v>
      </c>
      <c r="G79" s="38">
        <f>IF(tblScrap[[#This Row],[Date]]="","",IFERROR(INDEX(tblParts[Material],MATCH(tblScrap[[#This Row],[Part]],tblParts[Part],0)),""))</f>
        <v>8.6</v>
      </c>
      <c r="H79" s="38">
        <f>IF(tblScrap[[#This Row],[Date]]="","",SUMIFS(tblStageCosts[Conversion to date],tblStageCosts[Part],tblScrap[[#This Row],[Part]],tblStageCosts[Operation],tblScrap[[#This Row],[Operation]]))</f>
        <v>16.9</v>
      </c>
      <c r="I79" s="39">
        <f>IF(tblScrap[[#This Row],[Date]]="","",IFERROR(INDEX(tblParts[Mass],MATCH(tblScrap[[#This Row],[Part]],tblParts[Part],0)),""))</f>
        <v>2.6</v>
      </c>
      <c r="J79" s="40">
        <f>IF(tblScrap[[#This Row],[Date]]="","",IF(tblScrap[[#This Row],[Mass]]="","",tblScrap[[#This Row],[Scrapped]]*tblScrap[[#This Row],[Mass]]))</f>
        <v>18.2</v>
      </c>
      <c r="K79" s="38">
        <f>IF(tblScrap[[#This Row],[Date]]="","",IF(tblScrap[[#This Row],[Material]]="","",tblScrap[[#This Row],[Scrapped]]*tblScrap[[#This Row],[Material]]))</f>
        <v>60.2</v>
      </c>
      <c r="L79" s="38">
        <f>IF(tblScrap[[#This Row],[Date]]="","",tblScrap[[#This Row],[Scrapped]]*tblScrap[[#This Row],[Conversion to date]])</f>
        <v>118.3</v>
      </c>
      <c r="M79" s="38">
        <f>IF(tblScrap[[#This Row],[Date]]="","",IF(tblScrap[[#This Row],[Mass]]="","",tblScrap[[#This Row],[Scrap mass]]*DisposalKg))</f>
        <v>0.91</v>
      </c>
      <c r="N79" s="38">
        <f>IF(tblScrap[[#This Row],[Date]]="","",IF(tblScrap[[#This Row],[Mass]]="","",tblScrap[[#This Row],[Scrap mass]]*RecoveryKg))</f>
        <v>25.48</v>
      </c>
      <c r="O79" s="38">
        <f>IF(tblScrap[[#This Row],[Date]]="","",IF(tblScrap[[#This Row],[Material]]="","",tblScrap[[#This Row],[Material write-off]]+tblScrap[[#This Row],[Conversion write-off]]+tblScrap[[#This Row],[Disposal]]-tblScrap[[#This Row],[Recovery credit]]))</f>
        <v>153.93</v>
      </c>
      <c r="P79" s="41">
        <f>IF(tblScrap[[#This Row],[Date]]="","",IF(AND(tblScrap[[#This Row],[Date]]&gt;=FFrom,tblScrap[[#This Row],[Date]]&lt;=FTo,OR(DashPart="",tblScrap[[#This Row],[Part]]=DashPart)),tblScrap[[#This Row],[Date]],""))</f>
        <v>46276</v>
      </c>
      <c r="Q79"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79" s="43" t="s">
        <v>139</v>
      </c>
    </row>
    <row r="80" spans="2:18" x14ac:dyDescent="0.25">
      <c r="B80" s="36">
        <v>46276</v>
      </c>
      <c r="C80" s="28" t="s">
        <v>91</v>
      </c>
      <c r="D80" s="28" t="s">
        <v>96</v>
      </c>
      <c r="E80" s="28" t="s">
        <v>111</v>
      </c>
      <c r="F80" s="37">
        <v>10</v>
      </c>
      <c r="G80" s="38">
        <f>IF(tblScrap[[#This Row],[Date]]="","",IFERROR(INDEX(tblParts[Material],MATCH(tblScrap[[#This Row],[Part]],tblParts[Part],0)),""))</f>
        <v>2.05</v>
      </c>
      <c r="H80" s="38">
        <f>IF(tblScrap[[#This Row],[Date]]="","",SUMIFS(tblStageCosts[Conversion to date],tblStageCosts[Part],tblScrap[[#This Row],[Part]],tblStageCosts[Operation],tblScrap[[#This Row],[Operation]]))</f>
        <v>1.3</v>
      </c>
      <c r="I80" s="39">
        <f>IF(tblScrap[[#This Row],[Date]]="","",IFERROR(INDEX(tblParts[Mass],MATCH(tblScrap[[#This Row],[Part]],tblParts[Part],0)),""))</f>
        <v>0.62</v>
      </c>
      <c r="J80" s="40">
        <f>IF(tblScrap[[#This Row],[Date]]="","",IF(tblScrap[[#This Row],[Mass]]="","",tblScrap[[#This Row],[Scrapped]]*tblScrap[[#This Row],[Mass]]))</f>
        <v>6.2</v>
      </c>
      <c r="K80" s="38">
        <f>IF(tblScrap[[#This Row],[Date]]="","",IF(tblScrap[[#This Row],[Material]]="","",tblScrap[[#This Row],[Scrapped]]*tblScrap[[#This Row],[Material]]))</f>
        <v>20.5</v>
      </c>
      <c r="L80" s="38">
        <f>IF(tblScrap[[#This Row],[Date]]="","",tblScrap[[#This Row],[Scrapped]]*tblScrap[[#This Row],[Conversion to date]])</f>
        <v>13</v>
      </c>
      <c r="M80" s="38">
        <f>IF(tblScrap[[#This Row],[Date]]="","",IF(tblScrap[[#This Row],[Mass]]="","",tblScrap[[#This Row],[Scrap mass]]*DisposalKg))</f>
        <v>0.31</v>
      </c>
      <c r="N80" s="38">
        <f>IF(tblScrap[[#This Row],[Date]]="","",IF(tblScrap[[#This Row],[Mass]]="","",tblScrap[[#This Row],[Scrap mass]]*RecoveryKg))</f>
        <v>8.68</v>
      </c>
      <c r="O80" s="38">
        <f>IF(tblScrap[[#This Row],[Date]]="","",IF(tblScrap[[#This Row],[Material]]="","",tblScrap[[#This Row],[Material write-off]]+tblScrap[[#This Row],[Conversion write-off]]+tblScrap[[#This Row],[Disposal]]-tblScrap[[#This Row],[Recovery credit]]))</f>
        <v>25.13</v>
      </c>
      <c r="P80" s="41">
        <f>IF(tblScrap[[#This Row],[Date]]="","",IF(AND(tblScrap[[#This Row],[Date]]&gt;=FFrom,tblScrap[[#This Row],[Date]]&lt;=FTo,OR(DashPart="",tblScrap[[#This Row],[Part]]=DashPart)),tblScrap[[#This Row],[Date]],""))</f>
        <v>46276</v>
      </c>
      <c r="Q80"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80" s="43" t="s">
        <v>139</v>
      </c>
    </row>
    <row r="81" spans="2:18" x14ac:dyDescent="0.25">
      <c r="B81" s="36">
        <v>46276</v>
      </c>
      <c r="C81" s="28" t="s">
        <v>91</v>
      </c>
      <c r="D81" s="28" t="s">
        <v>100</v>
      </c>
      <c r="E81" s="28" t="s">
        <v>117</v>
      </c>
      <c r="F81" s="37">
        <v>5</v>
      </c>
      <c r="G81" s="38">
        <f>IF(tblScrap[[#This Row],[Date]]="","",IFERROR(INDEX(tblParts[Material],MATCH(tblScrap[[#This Row],[Part]],tblParts[Part],0)),""))</f>
        <v>2.05</v>
      </c>
      <c r="H81" s="38">
        <f>IF(tblScrap[[#This Row],[Date]]="","",SUMIFS(tblStageCosts[Conversion to date],tblStageCosts[Part],tblScrap[[#This Row],[Part]],tblStageCosts[Operation],tblScrap[[#This Row],[Operation]]))</f>
        <v>3.1</v>
      </c>
      <c r="I81" s="39">
        <f>IF(tblScrap[[#This Row],[Date]]="","",IFERROR(INDEX(tblParts[Mass],MATCH(tblScrap[[#This Row],[Part]],tblParts[Part],0)),""))</f>
        <v>0.62</v>
      </c>
      <c r="J81" s="40">
        <f>IF(tblScrap[[#This Row],[Date]]="","",IF(tblScrap[[#This Row],[Mass]]="","",tblScrap[[#This Row],[Scrapped]]*tblScrap[[#This Row],[Mass]]))</f>
        <v>3.1</v>
      </c>
      <c r="K81" s="38">
        <f>IF(tblScrap[[#This Row],[Date]]="","",IF(tblScrap[[#This Row],[Material]]="","",tblScrap[[#This Row],[Scrapped]]*tblScrap[[#This Row],[Material]]))</f>
        <v>10.25</v>
      </c>
      <c r="L81" s="38">
        <f>IF(tblScrap[[#This Row],[Date]]="","",tblScrap[[#This Row],[Scrapped]]*tblScrap[[#This Row],[Conversion to date]])</f>
        <v>15.5</v>
      </c>
      <c r="M81" s="38">
        <f>IF(tblScrap[[#This Row],[Date]]="","",IF(tblScrap[[#This Row],[Mass]]="","",tblScrap[[#This Row],[Scrap mass]]*DisposalKg))</f>
        <v>0.155</v>
      </c>
      <c r="N81" s="38">
        <f>IF(tblScrap[[#This Row],[Date]]="","",IF(tblScrap[[#This Row],[Mass]]="","",tblScrap[[#This Row],[Scrap mass]]*RecoveryKg))</f>
        <v>4.34</v>
      </c>
      <c r="O81" s="38">
        <f>IF(tblScrap[[#This Row],[Date]]="","",IF(tblScrap[[#This Row],[Material]]="","",tblScrap[[#This Row],[Material write-off]]+tblScrap[[#This Row],[Conversion write-off]]+tblScrap[[#This Row],[Disposal]]-tblScrap[[#This Row],[Recovery credit]]))</f>
        <v>21.565</v>
      </c>
      <c r="P81" s="41">
        <f>IF(tblScrap[[#This Row],[Date]]="","",IF(AND(tblScrap[[#This Row],[Date]]&gt;=FFrom,tblScrap[[#This Row],[Date]]&lt;=FTo,OR(DashPart="",tblScrap[[#This Row],[Part]]=DashPart)),tblScrap[[#This Row],[Date]],""))</f>
        <v>46276</v>
      </c>
      <c r="Q81"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81" s="43" t="s">
        <v>139</v>
      </c>
    </row>
    <row r="82" spans="2:18" x14ac:dyDescent="0.25">
      <c r="B82" s="36">
        <v>46276</v>
      </c>
      <c r="C82" s="28" t="s">
        <v>93</v>
      </c>
      <c r="D82" s="28" t="s">
        <v>96</v>
      </c>
      <c r="E82" s="28" t="s">
        <v>109</v>
      </c>
      <c r="F82" s="37">
        <v>7</v>
      </c>
      <c r="G82" s="38">
        <f>IF(tblScrap[[#This Row],[Date]]="","",IFERROR(INDEX(tblParts[Material],MATCH(tblScrap[[#This Row],[Part]],tblParts[Part],0)),""))</f>
        <v>3.65</v>
      </c>
      <c r="H82" s="38">
        <f>IF(tblScrap[[#This Row],[Date]]="","",SUMIFS(tblStageCosts[Conversion to date],tblStageCosts[Part],tblScrap[[#This Row],[Part]],tblStageCosts[Operation],tblScrap[[#This Row],[Operation]]))</f>
        <v>2.6</v>
      </c>
      <c r="I82" s="39">
        <f>IF(tblScrap[[#This Row],[Date]]="","",IFERROR(INDEX(tblParts[Mass],MATCH(tblScrap[[#This Row],[Part]],tblParts[Part],0)),""))</f>
        <v>1.1</v>
      </c>
      <c r="J82" s="40">
        <f>IF(tblScrap[[#This Row],[Date]]="","",IF(tblScrap[[#This Row],[Mass]]="","",tblScrap[[#This Row],[Scrapped]]*tblScrap[[#This Row],[Mass]]))</f>
        <v>7.7</v>
      </c>
      <c r="K82" s="38">
        <f>IF(tblScrap[[#This Row],[Date]]="","",IF(tblScrap[[#This Row],[Material]]="","",tblScrap[[#This Row],[Scrapped]]*tblScrap[[#This Row],[Material]]))</f>
        <v>25.55</v>
      </c>
      <c r="L82" s="38">
        <f>IF(tblScrap[[#This Row],[Date]]="","",tblScrap[[#This Row],[Scrapped]]*tblScrap[[#This Row],[Conversion to date]])</f>
        <v>18.2</v>
      </c>
      <c r="M82" s="38">
        <f>IF(tblScrap[[#This Row],[Date]]="","",IF(tblScrap[[#This Row],[Mass]]="","",tblScrap[[#This Row],[Scrap mass]]*DisposalKg))</f>
        <v>0.385</v>
      </c>
      <c r="N82" s="38">
        <f>IF(tblScrap[[#This Row],[Date]]="","",IF(tblScrap[[#This Row],[Mass]]="","",tblScrap[[#This Row],[Scrap mass]]*RecoveryKg))</f>
        <v>10.78</v>
      </c>
      <c r="O82" s="38">
        <f>IF(tblScrap[[#This Row],[Date]]="","",IF(tblScrap[[#This Row],[Material]]="","",tblScrap[[#This Row],[Material write-off]]+tblScrap[[#This Row],[Conversion write-off]]+tblScrap[[#This Row],[Disposal]]-tblScrap[[#This Row],[Recovery credit]]))</f>
        <v>33.355</v>
      </c>
      <c r="P82" s="41">
        <f>IF(tblScrap[[#This Row],[Date]]="","",IF(AND(tblScrap[[#This Row],[Date]]&gt;=FFrom,tblScrap[[#This Row],[Date]]&lt;=FTo,OR(DashPart="",tblScrap[[#This Row],[Part]]=DashPart)),tblScrap[[#This Row],[Date]],""))</f>
        <v>46276</v>
      </c>
      <c r="Q82"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82" s="43" t="s">
        <v>139</v>
      </c>
    </row>
    <row r="83" spans="2:18" x14ac:dyDescent="0.25">
      <c r="B83" s="36">
        <v>46276</v>
      </c>
      <c r="C83" s="28" t="s">
        <v>93</v>
      </c>
      <c r="D83" s="28" t="s">
        <v>100</v>
      </c>
      <c r="E83" s="28" t="s">
        <v>119</v>
      </c>
      <c r="F83" s="37">
        <v>5</v>
      </c>
      <c r="G83" s="38">
        <f>IF(tblScrap[[#This Row],[Date]]="","",IFERROR(INDEX(tblParts[Material],MATCH(tblScrap[[#This Row],[Part]],tblParts[Part],0)),""))</f>
        <v>3.65</v>
      </c>
      <c r="H83" s="38">
        <f>IF(tblScrap[[#This Row],[Date]]="","",SUMIFS(tblStageCosts[Conversion to date],tblStageCosts[Part],tblScrap[[#This Row],[Part]],tblStageCosts[Operation],tblScrap[[#This Row],[Operation]]))</f>
        <v>6.9</v>
      </c>
      <c r="I83" s="39">
        <f>IF(tblScrap[[#This Row],[Date]]="","",IFERROR(INDEX(tblParts[Mass],MATCH(tblScrap[[#This Row],[Part]],tblParts[Part],0)),""))</f>
        <v>1.1</v>
      </c>
      <c r="J83" s="40">
        <f>IF(tblScrap[[#This Row],[Date]]="","",IF(tblScrap[[#This Row],[Mass]]="","",tblScrap[[#This Row],[Scrapped]]*tblScrap[[#This Row],[Mass]]))</f>
        <v>5.5</v>
      </c>
      <c r="K83" s="38">
        <f>IF(tblScrap[[#This Row],[Date]]="","",IF(tblScrap[[#This Row],[Material]]="","",tblScrap[[#This Row],[Scrapped]]*tblScrap[[#This Row],[Material]]))</f>
        <v>18.25</v>
      </c>
      <c r="L83" s="38">
        <f>IF(tblScrap[[#This Row],[Date]]="","",tblScrap[[#This Row],[Scrapped]]*tblScrap[[#This Row],[Conversion to date]])</f>
        <v>34.5</v>
      </c>
      <c r="M83" s="38">
        <f>IF(tblScrap[[#This Row],[Date]]="","",IF(tblScrap[[#This Row],[Mass]]="","",tblScrap[[#This Row],[Scrap mass]]*DisposalKg))</f>
        <v>0.275</v>
      </c>
      <c r="N83" s="38">
        <f>IF(tblScrap[[#This Row],[Date]]="","",IF(tblScrap[[#This Row],[Mass]]="","",tblScrap[[#This Row],[Scrap mass]]*RecoveryKg))</f>
        <v>7.7</v>
      </c>
      <c r="O83" s="38">
        <f>IF(tblScrap[[#This Row],[Date]]="","",IF(tblScrap[[#This Row],[Material]]="","",tblScrap[[#This Row],[Material write-off]]+tblScrap[[#This Row],[Conversion write-off]]+tblScrap[[#This Row],[Disposal]]-tblScrap[[#This Row],[Recovery credit]]))</f>
        <v>45.325</v>
      </c>
      <c r="P83" s="41">
        <f>IF(tblScrap[[#This Row],[Date]]="","",IF(AND(tblScrap[[#This Row],[Date]]&gt;=FFrom,tblScrap[[#This Row],[Date]]&lt;=FTo,OR(DashPart="",tblScrap[[#This Row],[Part]]=DashPart)),tblScrap[[#This Row],[Date]],""))</f>
        <v>46276</v>
      </c>
      <c r="Q83"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83" s="43" t="s">
        <v>139</v>
      </c>
    </row>
    <row r="84" spans="2:18" x14ac:dyDescent="0.25">
      <c r="B84" s="36">
        <v>46276</v>
      </c>
      <c r="C84" s="28" t="s">
        <v>93</v>
      </c>
      <c r="D84" s="28" t="s">
        <v>104</v>
      </c>
      <c r="E84" s="28" t="s">
        <v>123</v>
      </c>
      <c r="F84" s="37">
        <v>3</v>
      </c>
      <c r="G84" s="38">
        <f>IF(tblScrap[[#This Row],[Date]]="","",IFERROR(INDEX(tblParts[Material],MATCH(tblScrap[[#This Row],[Part]],tblParts[Part],0)),""))</f>
        <v>3.65</v>
      </c>
      <c r="H84" s="38">
        <f>IF(tblScrap[[#This Row],[Date]]="","",SUMIFS(tblStageCosts[Conversion to date],tblStageCosts[Part],tblScrap[[#This Row],[Part]],tblStageCosts[Operation],tblScrap[[#This Row],[Operation]]))</f>
        <v>7.7</v>
      </c>
      <c r="I84" s="39">
        <f>IF(tblScrap[[#This Row],[Date]]="","",IFERROR(INDEX(tblParts[Mass],MATCH(tblScrap[[#This Row],[Part]],tblParts[Part],0)),""))</f>
        <v>1.1</v>
      </c>
      <c r="J84" s="40">
        <f>IF(tblScrap[[#This Row],[Date]]="","",IF(tblScrap[[#This Row],[Mass]]="","",tblScrap[[#This Row],[Scrapped]]*tblScrap[[#This Row],[Mass]]))</f>
        <v>3.3</v>
      </c>
      <c r="K84" s="38">
        <f>IF(tblScrap[[#This Row],[Date]]="","",IF(tblScrap[[#This Row],[Material]]="","",tblScrap[[#This Row],[Scrapped]]*tblScrap[[#This Row],[Material]]))</f>
        <v>10.95</v>
      </c>
      <c r="L84" s="38">
        <f>IF(tblScrap[[#This Row],[Date]]="","",tblScrap[[#This Row],[Scrapped]]*tblScrap[[#This Row],[Conversion to date]])</f>
        <v>23.1</v>
      </c>
      <c r="M84" s="38">
        <f>IF(tblScrap[[#This Row],[Date]]="","",IF(tblScrap[[#This Row],[Mass]]="","",tblScrap[[#This Row],[Scrap mass]]*DisposalKg))</f>
        <v>0.165</v>
      </c>
      <c r="N84" s="38">
        <f>IF(tblScrap[[#This Row],[Date]]="","",IF(tblScrap[[#This Row],[Mass]]="","",tblScrap[[#This Row],[Scrap mass]]*RecoveryKg))</f>
        <v>4.62</v>
      </c>
      <c r="O84" s="38">
        <f>IF(tblScrap[[#This Row],[Date]]="","",IF(tblScrap[[#This Row],[Material]]="","",tblScrap[[#This Row],[Material write-off]]+tblScrap[[#This Row],[Conversion write-off]]+tblScrap[[#This Row],[Disposal]]-tblScrap[[#This Row],[Recovery credit]]))</f>
        <v>29.595</v>
      </c>
      <c r="P84" s="41">
        <f>IF(tblScrap[[#This Row],[Date]]="","",IF(AND(tblScrap[[#This Row],[Date]]&gt;=FFrom,tblScrap[[#This Row],[Date]]&lt;=FTo,OR(DashPart="",tblScrap[[#This Row],[Part]]=DashPart)),tblScrap[[#This Row],[Date]],""))</f>
        <v>46276</v>
      </c>
      <c r="Q84"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84" s="43" t="s">
        <v>140</v>
      </c>
    </row>
    <row r="85" spans="2:18" x14ac:dyDescent="0.25">
      <c r="B85" s="36">
        <v>46279</v>
      </c>
      <c r="C85" s="28" t="s">
        <v>89</v>
      </c>
      <c r="D85" s="28" t="s">
        <v>96</v>
      </c>
      <c r="E85" s="28" t="s">
        <v>109</v>
      </c>
      <c r="F85" s="37">
        <v>3</v>
      </c>
      <c r="G85" s="38">
        <f>IF(tblScrap[[#This Row],[Date]]="","",IFERROR(INDEX(tblParts[Material],MATCH(tblScrap[[#This Row],[Part]],tblParts[Part],0)),""))</f>
        <v>8.6</v>
      </c>
      <c r="H85" s="38">
        <f>IF(tblScrap[[#This Row],[Date]]="","",SUMIFS(tblStageCosts[Conversion to date],tblStageCosts[Part],tblScrap[[#This Row],[Part]],tblStageCosts[Operation],tblScrap[[#This Row],[Operation]]))</f>
        <v>5.4</v>
      </c>
      <c r="I85" s="39">
        <f>IF(tblScrap[[#This Row],[Date]]="","",IFERROR(INDEX(tblParts[Mass],MATCH(tblScrap[[#This Row],[Part]],tblParts[Part],0)),""))</f>
        <v>2.6</v>
      </c>
      <c r="J85" s="40">
        <f>IF(tblScrap[[#This Row],[Date]]="","",IF(tblScrap[[#This Row],[Mass]]="","",tblScrap[[#This Row],[Scrapped]]*tblScrap[[#This Row],[Mass]]))</f>
        <v>7.8</v>
      </c>
      <c r="K85" s="38">
        <f>IF(tblScrap[[#This Row],[Date]]="","",IF(tblScrap[[#This Row],[Material]]="","",tblScrap[[#This Row],[Scrapped]]*tblScrap[[#This Row],[Material]]))</f>
        <v>25.8</v>
      </c>
      <c r="L85" s="38">
        <f>IF(tblScrap[[#This Row],[Date]]="","",tblScrap[[#This Row],[Scrapped]]*tblScrap[[#This Row],[Conversion to date]])</f>
        <v>16.2</v>
      </c>
      <c r="M85" s="38">
        <f>IF(tblScrap[[#This Row],[Date]]="","",IF(tblScrap[[#This Row],[Mass]]="","",tblScrap[[#This Row],[Scrap mass]]*DisposalKg))</f>
        <v>0.39</v>
      </c>
      <c r="N85" s="38">
        <f>IF(tblScrap[[#This Row],[Date]]="","",IF(tblScrap[[#This Row],[Mass]]="","",tblScrap[[#This Row],[Scrap mass]]*RecoveryKg))</f>
        <v>10.92</v>
      </c>
      <c r="O85" s="38">
        <f>IF(tblScrap[[#This Row],[Date]]="","",IF(tblScrap[[#This Row],[Material]]="","",tblScrap[[#This Row],[Material write-off]]+tblScrap[[#This Row],[Conversion write-off]]+tblScrap[[#This Row],[Disposal]]-tblScrap[[#This Row],[Recovery credit]]))</f>
        <v>31.47</v>
      </c>
      <c r="P85" s="41">
        <f>IF(tblScrap[[#This Row],[Date]]="","",IF(AND(tblScrap[[#This Row],[Date]]&gt;=FFrom,tblScrap[[#This Row],[Date]]&lt;=FTo,OR(DashPart="",tblScrap[[#This Row],[Part]]=DashPart)),tblScrap[[#This Row],[Date]],""))</f>
        <v>46279</v>
      </c>
      <c r="Q85"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85" s="43" t="s">
        <v>139</v>
      </c>
    </row>
    <row r="86" spans="2:18" x14ac:dyDescent="0.25">
      <c r="B86" s="36">
        <v>46279</v>
      </c>
      <c r="C86" s="28" t="s">
        <v>89</v>
      </c>
      <c r="D86" s="28" t="s">
        <v>102</v>
      </c>
      <c r="E86" s="28" t="s">
        <v>113</v>
      </c>
      <c r="F86" s="37">
        <v>2</v>
      </c>
      <c r="G86" s="38">
        <f>IF(tblScrap[[#This Row],[Date]]="","",IFERROR(INDEX(tblParts[Material],MATCH(tblScrap[[#This Row],[Part]],tblParts[Part],0)),""))</f>
        <v>8.6</v>
      </c>
      <c r="H86" s="38">
        <f>IF(tblScrap[[#This Row],[Date]]="","",SUMIFS(tblStageCosts[Conversion to date],tblStageCosts[Part],tblScrap[[#This Row],[Part]],tblStageCosts[Operation],tblScrap[[#This Row],[Operation]]))</f>
        <v>16.9</v>
      </c>
      <c r="I86" s="39">
        <f>IF(tblScrap[[#This Row],[Date]]="","",IFERROR(INDEX(tblParts[Mass],MATCH(tblScrap[[#This Row],[Part]],tblParts[Part],0)),""))</f>
        <v>2.6</v>
      </c>
      <c r="J86" s="40">
        <f>IF(tblScrap[[#This Row],[Date]]="","",IF(tblScrap[[#This Row],[Mass]]="","",tblScrap[[#This Row],[Scrapped]]*tblScrap[[#This Row],[Mass]]))</f>
        <v>5.2</v>
      </c>
      <c r="K86" s="38">
        <f>IF(tblScrap[[#This Row],[Date]]="","",IF(tblScrap[[#This Row],[Material]]="","",tblScrap[[#This Row],[Scrapped]]*tblScrap[[#This Row],[Material]]))</f>
        <v>17.2</v>
      </c>
      <c r="L86" s="38">
        <f>IF(tblScrap[[#This Row],[Date]]="","",tblScrap[[#This Row],[Scrapped]]*tblScrap[[#This Row],[Conversion to date]])</f>
        <v>33.8</v>
      </c>
      <c r="M86" s="38">
        <f>IF(tblScrap[[#This Row],[Date]]="","",IF(tblScrap[[#This Row],[Mass]]="","",tblScrap[[#This Row],[Scrap mass]]*DisposalKg))</f>
        <v>0.26</v>
      </c>
      <c r="N86" s="38">
        <f>IF(tblScrap[[#This Row],[Date]]="","",IF(tblScrap[[#This Row],[Mass]]="","",tblScrap[[#This Row],[Scrap mass]]*RecoveryKg))</f>
        <v>7.28</v>
      </c>
      <c r="O86" s="38">
        <f>IF(tblScrap[[#This Row],[Date]]="","",IF(tblScrap[[#This Row],[Material]]="","",tblScrap[[#This Row],[Material write-off]]+tblScrap[[#This Row],[Conversion write-off]]+tblScrap[[#This Row],[Disposal]]-tblScrap[[#This Row],[Recovery credit]]))</f>
        <v>43.98</v>
      </c>
      <c r="P86" s="41">
        <f>IF(tblScrap[[#This Row],[Date]]="","",IF(AND(tblScrap[[#This Row],[Date]]&gt;=FFrom,tblScrap[[#This Row],[Date]]&lt;=FTo,OR(DashPart="",tblScrap[[#This Row],[Part]]=DashPart)),tblScrap[[#This Row],[Date]],""))</f>
        <v>46279</v>
      </c>
      <c r="Q86"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86" s="43" t="s">
        <v>139</v>
      </c>
    </row>
    <row r="87" spans="2:18" x14ac:dyDescent="0.25">
      <c r="B87" s="36">
        <v>46279</v>
      </c>
      <c r="C87" s="28" t="s">
        <v>91</v>
      </c>
      <c r="D87" s="28" t="s">
        <v>96</v>
      </c>
      <c r="E87" s="28" t="s">
        <v>111</v>
      </c>
      <c r="F87" s="37">
        <v>11</v>
      </c>
      <c r="G87" s="38">
        <f>IF(tblScrap[[#This Row],[Date]]="","",IFERROR(INDEX(tblParts[Material],MATCH(tblScrap[[#This Row],[Part]],tblParts[Part],0)),""))</f>
        <v>2.05</v>
      </c>
      <c r="H87" s="38">
        <f>IF(tblScrap[[#This Row],[Date]]="","",SUMIFS(tblStageCosts[Conversion to date],tblStageCosts[Part],tblScrap[[#This Row],[Part]],tblStageCosts[Operation],tblScrap[[#This Row],[Operation]]))</f>
        <v>1.3</v>
      </c>
      <c r="I87" s="39">
        <f>IF(tblScrap[[#This Row],[Date]]="","",IFERROR(INDEX(tblParts[Mass],MATCH(tblScrap[[#This Row],[Part]],tblParts[Part],0)),""))</f>
        <v>0.62</v>
      </c>
      <c r="J87" s="40">
        <f>IF(tblScrap[[#This Row],[Date]]="","",IF(tblScrap[[#This Row],[Mass]]="","",tblScrap[[#This Row],[Scrapped]]*tblScrap[[#This Row],[Mass]]))</f>
        <v>6.82</v>
      </c>
      <c r="K87" s="38">
        <f>IF(tblScrap[[#This Row],[Date]]="","",IF(tblScrap[[#This Row],[Material]]="","",tblScrap[[#This Row],[Scrapped]]*tblScrap[[#This Row],[Material]]))</f>
        <v>22.55</v>
      </c>
      <c r="L87" s="38">
        <f>IF(tblScrap[[#This Row],[Date]]="","",tblScrap[[#This Row],[Scrapped]]*tblScrap[[#This Row],[Conversion to date]])</f>
        <v>14.3</v>
      </c>
      <c r="M87" s="38">
        <f>IF(tblScrap[[#This Row],[Date]]="","",IF(tblScrap[[#This Row],[Mass]]="","",tblScrap[[#This Row],[Scrap mass]]*DisposalKg))</f>
        <v>0.341</v>
      </c>
      <c r="N87" s="38">
        <f>IF(tblScrap[[#This Row],[Date]]="","",IF(tblScrap[[#This Row],[Mass]]="","",tblScrap[[#This Row],[Scrap mass]]*RecoveryKg))</f>
        <v>9.548</v>
      </c>
      <c r="O87" s="38">
        <f>IF(tblScrap[[#This Row],[Date]]="","",IF(tblScrap[[#This Row],[Material]]="","",tblScrap[[#This Row],[Material write-off]]+tblScrap[[#This Row],[Conversion write-off]]+tblScrap[[#This Row],[Disposal]]-tblScrap[[#This Row],[Recovery credit]]))</f>
        <v>27.643</v>
      </c>
      <c r="P87" s="41">
        <f>IF(tblScrap[[#This Row],[Date]]="","",IF(AND(tblScrap[[#This Row],[Date]]&gt;=FFrom,tblScrap[[#This Row],[Date]]&lt;=FTo,OR(DashPart="",tblScrap[[#This Row],[Part]]=DashPart)),tblScrap[[#This Row],[Date]],""))</f>
        <v>46279</v>
      </c>
      <c r="Q87"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87" s="43" t="s">
        <v>139</v>
      </c>
    </row>
    <row r="88" spans="2:18" x14ac:dyDescent="0.25">
      <c r="B88" s="36">
        <v>46279</v>
      </c>
      <c r="C88" s="28" t="s">
        <v>91</v>
      </c>
      <c r="D88" s="28" t="s">
        <v>100</v>
      </c>
      <c r="E88" s="28" t="s">
        <v>117</v>
      </c>
      <c r="F88" s="37">
        <v>9</v>
      </c>
      <c r="G88" s="38">
        <f>IF(tblScrap[[#This Row],[Date]]="","",IFERROR(INDEX(tblParts[Material],MATCH(tblScrap[[#This Row],[Part]],tblParts[Part],0)),""))</f>
        <v>2.05</v>
      </c>
      <c r="H88" s="38">
        <f>IF(tblScrap[[#This Row],[Date]]="","",SUMIFS(tblStageCosts[Conversion to date],tblStageCosts[Part],tblScrap[[#This Row],[Part]],tblStageCosts[Operation],tblScrap[[#This Row],[Operation]]))</f>
        <v>3.1</v>
      </c>
      <c r="I88" s="39">
        <f>IF(tblScrap[[#This Row],[Date]]="","",IFERROR(INDEX(tblParts[Mass],MATCH(tblScrap[[#This Row],[Part]],tblParts[Part],0)),""))</f>
        <v>0.62</v>
      </c>
      <c r="J88" s="40">
        <f>IF(tblScrap[[#This Row],[Date]]="","",IF(tblScrap[[#This Row],[Mass]]="","",tblScrap[[#This Row],[Scrapped]]*tblScrap[[#This Row],[Mass]]))</f>
        <v>5.58</v>
      </c>
      <c r="K88" s="38">
        <f>IF(tblScrap[[#This Row],[Date]]="","",IF(tblScrap[[#This Row],[Material]]="","",tblScrap[[#This Row],[Scrapped]]*tblScrap[[#This Row],[Material]]))</f>
        <v>18.45</v>
      </c>
      <c r="L88" s="38">
        <f>IF(tblScrap[[#This Row],[Date]]="","",tblScrap[[#This Row],[Scrapped]]*tblScrap[[#This Row],[Conversion to date]])</f>
        <v>27.9</v>
      </c>
      <c r="M88" s="38">
        <f>IF(tblScrap[[#This Row],[Date]]="","",IF(tblScrap[[#This Row],[Mass]]="","",tblScrap[[#This Row],[Scrap mass]]*DisposalKg))</f>
        <v>0.279</v>
      </c>
      <c r="N88" s="38">
        <f>IF(tblScrap[[#This Row],[Date]]="","",IF(tblScrap[[#This Row],[Mass]]="","",tblScrap[[#This Row],[Scrap mass]]*RecoveryKg))</f>
        <v>7.812</v>
      </c>
      <c r="O88" s="38">
        <f>IF(tblScrap[[#This Row],[Date]]="","",IF(tblScrap[[#This Row],[Material]]="","",tblScrap[[#This Row],[Material write-off]]+tblScrap[[#This Row],[Conversion write-off]]+tblScrap[[#This Row],[Disposal]]-tblScrap[[#This Row],[Recovery credit]]))</f>
        <v>38.817</v>
      </c>
      <c r="P88" s="41">
        <f>IF(tblScrap[[#This Row],[Date]]="","",IF(AND(tblScrap[[#This Row],[Date]]&gt;=FFrom,tblScrap[[#This Row],[Date]]&lt;=FTo,OR(DashPart="",tblScrap[[#This Row],[Part]]=DashPart)),tblScrap[[#This Row],[Date]],""))</f>
        <v>46279</v>
      </c>
      <c r="Q88"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88" s="43" t="s">
        <v>139</v>
      </c>
    </row>
    <row r="89" spans="2:18" x14ac:dyDescent="0.25">
      <c r="B89" s="36">
        <v>46279</v>
      </c>
      <c r="C89" s="28" t="s">
        <v>93</v>
      </c>
      <c r="D89" s="28" t="s">
        <v>96</v>
      </c>
      <c r="E89" s="28" t="s">
        <v>109</v>
      </c>
      <c r="F89" s="37">
        <v>12</v>
      </c>
      <c r="G89" s="38">
        <f>IF(tblScrap[[#This Row],[Date]]="","",IFERROR(INDEX(tblParts[Material],MATCH(tblScrap[[#This Row],[Part]],tblParts[Part],0)),""))</f>
        <v>3.65</v>
      </c>
      <c r="H89" s="38">
        <f>IF(tblScrap[[#This Row],[Date]]="","",SUMIFS(tblStageCosts[Conversion to date],tblStageCosts[Part],tblScrap[[#This Row],[Part]],tblStageCosts[Operation],tblScrap[[#This Row],[Operation]]))</f>
        <v>2.6</v>
      </c>
      <c r="I89" s="39">
        <f>IF(tblScrap[[#This Row],[Date]]="","",IFERROR(INDEX(tblParts[Mass],MATCH(tblScrap[[#This Row],[Part]],tblParts[Part],0)),""))</f>
        <v>1.1</v>
      </c>
      <c r="J89" s="40">
        <f>IF(tblScrap[[#This Row],[Date]]="","",IF(tblScrap[[#This Row],[Mass]]="","",tblScrap[[#This Row],[Scrapped]]*tblScrap[[#This Row],[Mass]]))</f>
        <v>13.2</v>
      </c>
      <c r="K89" s="38">
        <f>IF(tblScrap[[#This Row],[Date]]="","",IF(tblScrap[[#This Row],[Material]]="","",tblScrap[[#This Row],[Scrapped]]*tblScrap[[#This Row],[Material]]))</f>
        <v>43.8</v>
      </c>
      <c r="L89" s="38">
        <f>IF(tblScrap[[#This Row],[Date]]="","",tblScrap[[#This Row],[Scrapped]]*tblScrap[[#This Row],[Conversion to date]])</f>
        <v>31.2</v>
      </c>
      <c r="M89" s="38">
        <f>IF(tblScrap[[#This Row],[Date]]="","",IF(tblScrap[[#This Row],[Mass]]="","",tblScrap[[#This Row],[Scrap mass]]*DisposalKg))</f>
        <v>0.66</v>
      </c>
      <c r="N89" s="38">
        <f>IF(tblScrap[[#This Row],[Date]]="","",IF(tblScrap[[#This Row],[Mass]]="","",tblScrap[[#This Row],[Scrap mass]]*RecoveryKg))</f>
        <v>18.48</v>
      </c>
      <c r="O89" s="38">
        <f>IF(tblScrap[[#This Row],[Date]]="","",IF(tblScrap[[#This Row],[Material]]="","",tblScrap[[#This Row],[Material write-off]]+tblScrap[[#This Row],[Conversion write-off]]+tblScrap[[#This Row],[Disposal]]-tblScrap[[#This Row],[Recovery credit]]))</f>
        <v>57.18</v>
      </c>
      <c r="P89" s="41">
        <f>IF(tblScrap[[#This Row],[Date]]="","",IF(AND(tblScrap[[#This Row],[Date]]&gt;=FFrom,tblScrap[[#This Row],[Date]]&lt;=FTo,OR(DashPart="",tblScrap[[#This Row],[Part]]=DashPart)),tblScrap[[#This Row],[Date]],""))</f>
        <v>46279</v>
      </c>
      <c r="Q89"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89" s="43" t="s">
        <v>139</v>
      </c>
    </row>
    <row r="90" spans="2:18" x14ac:dyDescent="0.25">
      <c r="B90" s="36">
        <v>46279</v>
      </c>
      <c r="C90" s="28" t="s">
        <v>93</v>
      </c>
      <c r="D90" s="28" t="s">
        <v>100</v>
      </c>
      <c r="E90" s="28" t="s">
        <v>119</v>
      </c>
      <c r="F90" s="37">
        <v>6</v>
      </c>
      <c r="G90" s="38">
        <f>IF(tblScrap[[#This Row],[Date]]="","",IFERROR(INDEX(tblParts[Material],MATCH(tblScrap[[#This Row],[Part]],tblParts[Part],0)),""))</f>
        <v>3.65</v>
      </c>
      <c r="H90" s="38">
        <f>IF(tblScrap[[#This Row],[Date]]="","",SUMIFS(tblStageCosts[Conversion to date],tblStageCosts[Part],tblScrap[[#This Row],[Part]],tblStageCosts[Operation],tblScrap[[#This Row],[Operation]]))</f>
        <v>6.9</v>
      </c>
      <c r="I90" s="39">
        <f>IF(tblScrap[[#This Row],[Date]]="","",IFERROR(INDEX(tblParts[Mass],MATCH(tblScrap[[#This Row],[Part]],tblParts[Part],0)),""))</f>
        <v>1.1</v>
      </c>
      <c r="J90" s="40">
        <f>IF(tblScrap[[#This Row],[Date]]="","",IF(tblScrap[[#This Row],[Mass]]="","",tblScrap[[#This Row],[Scrapped]]*tblScrap[[#This Row],[Mass]]))</f>
        <v>6.6</v>
      </c>
      <c r="K90" s="38">
        <f>IF(tblScrap[[#This Row],[Date]]="","",IF(tblScrap[[#This Row],[Material]]="","",tblScrap[[#This Row],[Scrapped]]*tblScrap[[#This Row],[Material]]))</f>
        <v>21.9</v>
      </c>
      <c r="L90" s="38">
        <f>IF(tblScrap[[#This Row],[Date]]="","",tblScrap[[#This Row],[Scrapped]]*tblScrap[[#This Row],[Conversion to date]])</f>
        <v>41.4</v>
      </c>
      <c r="M90" s="38">
        <f>IF(tblScrap[[#This Row],[Date]]="","",IF(tblScrap[[#This Row],[Mass]]="","",tblScrap[[#This Row],[Scrap mass]]*DisposalKg))</f>
        <v>0.33</v>
      </c>
      <c r="N90" s="38">
        <f>IF(tblScrap[[#This Row],[Date]]="","",IF(tblScrap[[#This Row],[Mass]]="","",tblScrap[[#This Row],[Scrap mass]]*RecoveryKg))</f>
        <v>9.24</v>
      </c>
      <c r="O90" s="38">
        <f>IF(tblScrap[[#This Row],[Date]]="","",IF(tblScrap[[#This Row],[Material]]="","",tblScrap[[#This Row],[Material write-off]]+tblScrap[[#This Row],[Conversion write-off]]+tblScrap[[#This Row],[Disposal]]-tblScrap[[#This Row],[Recovery credit]]))</f>
        <v>54.39</v>
      </c>
      <c r="P90" s="41">
        <f>IF(tblScrap[[#This Row],[Date]]="","",IF(AND(tblScrap[[#This Row],[Date]]&gt;=FFrom,tblScrap[[#This Row],[Date]]&lt;=FTo,OR(DashPart="",tblScrap[[#This Row],[Part]]=DashPart)),tblScrap[[#This Row],[Date]],""))</f>
        <v>46279</v>
      </c>
      <c r="Q90"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90" s="43" t="s">
        <v>139</v>
      </c>
    </row>
    <row r="91" spans="2:18" x14ac:dyDescent="0.25">
      <c r="B91" s="36">
        <v>46280</v>
      </c>
      <c r="C91" s="28" t="s">
        <v>91</v>
      </c>
      <c r="D91" s="28" t="s">
        <v>100</v>
      </c>
      <c r="E91" s="28" t="s">
        <v>117</v>
      </c>
      <c r="F91" s="37">
        <v>12</v>
      </c>
      <c r="G91" s="38">
        <f>IF(tblScrap[[#This Row],[Date]]="","",IFERROR(INDEX(tblParts[Material],MATCH(tblScrap[[#This Row],[Part]],tblParts[Part],0)),""))</f>
        <v>2.05</v>
      </c>
      <c r="H91" s="38">
        <f>IF(tblScrap[[#This Row],[Date]]="","",SUMIFS(tblStageCosts[Conversion to date],tblStageCosts[Part],tblScrap[[#This Row],[Part]],tblStageCosts[Operation],tblScrap[[#This Row],[Operation]]))</f>
        <v>3.1</v>
      </c>
      <c r="I91" s="39">
        <f>IF(tblScrap[[#This Row],[Date]]="","",IFERROR(INDEX(tblParts[Mass],MATCH(tblScrap[[#This Row],[Part]],tblParts[Part],0)),""))</f>
        <v>0.62</v>
      </c>
      <c r="J91" s="40">
        <f>IF(tblScrap[[#This Row],[Date]]="","",IF(tblScrap[[#This Row],[Mass]]="","",tblScrap[[#This Row],[Scrapped]]*tblScrap[[#This Row],[Mass]]))</f>
        <v>7.44</v>
      </c>
      <c r="K91" s="38">
        <f>IF(tblScrap[[#This Row],[Date]]="","",IF(tblScrap[[#This Row],[Material]]="","",tblScrap[[#This Row],[Scrapped]]*tblScrap[[#This Row],[Material]]))</f>
        <v>24.6</v>
      </c>
      <c r="L91" s="38">
        <f>IF(tblScrap[[#This Row],[Date]]="","",tblScrap[[#This Row],[Scrapped]]*tblScrap[[#This Row],[Conversion to date]])</f>
        <v>37.2</v>
      </c>
      <c r="M91" s="38">
        <f>IF(tblScrap[[#This Row],[Date]]="","",IF(tblScrap[[#This Row],[Mass]]="","",tblScrap[[#This Row],[Scrap mass]]*DisposalKg))</f>
        <v>0.372</v>
      </c>
      <c r="N91" s="38">
        <f>IF(tblScrap[[#This Row],[Date]]="","",IF(tblScrap[[#This Row],[Mass]]="","",tblScrap[[#This Row],[Scrap mass]]*RecoveryKg))</f>
        <v>10.416</v>
      </c>
      <c r="O91" s="38">
        <f>IF(tblScrap[[#This Row],[Date]]="","",IF(tblScrap[[#This Row],[Material]]="","",tblScrap[[#This Row],[Material write-off]]+tblScrap[[#This Row],[Conversion write-off]]+tblScrap[[#This Row],[Disposal]]-tblScrap[[#This Row],[Recovery credit]]))</f>
        <v>51.756</v>
      </c>
      <c r="P91" s="41">
        <f>IF(tblScrap[[#This Row],[Date]]="","",IF(AND(tblScrap[[#This Row],[Date]]&gt;=FFrom,tblScrap[[#This Row],[Date]]&lt;=FTo,OR(DashPart="",tblScrap[[#This Row],[Part]]=DashPart)),tblScrap[[#This Row],[Date]],""))</f>
        <v>46280</v>
      </c>
      <c r="Q91"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91" s="43" t="s">
        <v>139</v>
      </c>
    </row>
    <row r="92" spans="2:18" x14ac:dyDescent="0.25">
      <c r="B92" s="36">
        <v>46280</v>
      </c>
      <c r="C92" s="28" t="s">
        <v>93</v>
      </c>
      <c r="D92" s="28" t="s">
        <v>96</v>
      </c>
      <c r="E92" s="28" t="s">
        <v>109</v>
      </c>
      <c r="F92" s="37">
        <v>7</v>
      </c>
      <c r="G92" s="38">
        <f>IF(tblScrap[[#This Row],[Date]]="","",IFERROR(INDEX(tblParts[Material],MATCH(tblScrap[[#This Row],[Part]],tblParts[Part],0)),""))</f>
        <v>3.65</v>
      </c>
      <c r="H92" s="38">
        <f>IF(tblScrap[[#This Row],[Date]]="","",SUMIFS(tblStageCosts[Conversion to date],tblStageCosts[Part],tblScrap[[#This Row],[Part]],tblStageCosts[Operation],tblScrap[[#This Row],[Operation]]))</f>
        <v>2.6</v>
      </c>
      <c r="I92" s="39">
        <f>IF(tblScrap[[#This Row],[Date]]="","",IFERROR(INDEX(tblParts[Mass],MATCH(tblScrap[[#This Row],[Part]],tblParts[Part],0)),""))</f>
        <v>1.1</v>
      </c>
      <c r="J92" s="40">
        <f>IF(tblScrap[[#This Row],[Date]]="","",IF(tblScrap[[#This Row],[Mass]]="","",tblScrap[[#This Row],[Scrapped]]*tblScrap[[#This Row],[Mass]]))</f>
        <v>7.7</v>
      </c>
      <c r="K92" s="38">
        <f>IF(tblScrap[[#This Row],[Date]]="","",IF(tblScrap[[#This Row],[Material]]="","",tblScrap[[#This Row],[Scrapped]]*tblScrap[[#This Row],[Material]]))</f>
        <v>25.55</v>
      </c>
      <c r="L92" s="38">
        <f>IF(tblScrap[[#This Row],[Date]]="","",tblScrap[[#This Row],[Scrapped]]*tblScrap[[#This Row],[Conversion to date]])</f>
        <v>18.2</v>
      </c>
      <c r="M92" s="38">
        <f>IF(tblScrap[[#This Row],[Date]]="","",IF(tblScrap[[#This Row],[Mass]]="","",tblScrap[[#This Row],[Scrap mass]]*DisposalKg))</f>
        <v>0.385</v>
      </c>
      <c r="N92" s="38">
        <f>IF(tblScrap[[#This Row],[Date]]="","",IF(tblScrap[[#This Row],[Mass]]="","",tblScrap[[#This Row],[Scrap mass]]*RecoveryKg))</f>
        <v>10.78</v>
      </c>
      <c r="O92" s="38">
        <f>IF(tblScrap[[#This Row],[Date]]="","",IF(tblScrap[[#This Row],[Material]]="","",tblScrap[[#This Row],[Material write-off]]+tblScrap[[#This Row],[Conversion write-off]]+tblScrap[[#This Row],[Disposal]]-tblScrap[[#This Row],[Recovery credit]]))</f>
        <v>33.355</v>
      </c>
      <c r="P92" s="41">
        <f>IF(tblScrap[[#This Row],[Date]]="","",IF(AND(tblScrap[[#This Row],[Date]]&gt;=FFrom,tblScrap[[#This Row],[Date]]&lt;=FTo,OR(DashPart="",tblScrap[[#This Row],[Part]]=DashPart)),tblScrap[[#This Row],[Date]],""))</f>
        <v>46280</v>
      </c>
      <c r="Q92"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92" s="43" t="s">
        <v>139</v>
      </c>
    </row>
    <row r="93" spans="2:18" x14ac:dyDescent="0.25">
      <c r="B93" s="36">
        <v>46280</v>
      </c>
      <c r="C93" s="28" t="s">
        <v>93</v>
      </c>
      <c r="D93" s="28" t="s">
        <v>102</v>
      </c>
      <c r="E93" s="28" t="s">
        <v>113</v>
      </c>
      <c r="F93" s="37">
        <v>4</v>
      </c>
      <c r="G93" s="38">
        <f>IF(tblScrap[[#This Row],[Date]]="","",IFERROR(INDEX(tblParts[Material],MATCH(tblScrap[[#This Row],[Part]],tblParts[Part],0)),""))</f>
        <v>3.65</v>
      </c>
      <c r="H93" s="38">
        <f>IF(tblScrap[[#This Row],[Date]]="","",SUMIFS(tblStageCosts[Conversion to date],tblStageCosts[Part],tblScrap[[#This Row],[Part]],tblStageCosts[Operation],tblScrap[[#This Row],[Operation]]))</f>
        <v>7.4</v>
      </c>
      <c r="I93" s="39">
        <f>IF(tblScrap[[#This Row],[Date]]="","",IFERROR(INDEX(tblParts[Mass],MATCH(tblScrap[[#This Row],[Part]],tblParts[Part],0)),""))</f>
        <v>1.1</v>
      </c>
      <c r="J93" s="40">
        <f>IF(tblScrap[[#This Row],[Date]]="","",IF(tblScrap[[#This Row],[Mass]]="","",tblScrap[[#This Row],[Scrapped]]*tblScrap[[#This Row],[Mass]]))</f>
        <v>4.4</v>
      </c>
      <c r="K93" s="38">
        <f>IF(tblScrap[[#This Row],[Date]]="","",IF(tblScrap[[#This Row],[Material]]="","",tblScrap[[#This Row],[Scrapped]]*tblScrap[[#This Row],[Material]]))</f>
        <v>14.6</v>
      </c>
      <c r="L93" s="38">
        <f>IF(tblScrap[[#This Row],[Date]]="","",tblScrap[[#This Row],[Scrapped]]*tblScrap[[#This Row],[Conversion to date]])</f>
        <v>29.6</v>
      </c>
      <c r="M93" s="38">
        <f>IF(tblScrap[[#This Row],[Date]]="","",IF(tblScrap[[#This Row],[Mass]]="","",tblScrap[[#This Row],[Scrap mass]]*DisposalKg))</f>
        <v>0.22</v>
      </c>
      <c r="N93" s="38">
        <f>IF(tblScrap[[#This Row],[Date]]="","",IF(tblScrap[[#This Row],[Mass]]="","",tblScrap[[#This Row],[Scrap mass]]*RecoveryKg))</f>
        <v>6.16</v>
      </c>
      <c r="O93" s="38">
        <f>IF(tblScrap[[#This Row],[Date]]="","",IF(tblScrap[[#This Row],[Material]]="","",tblScrap[[#This Row],[Material write-off]]+tblScrap[[#This Row],[Conversion write-off]]+tblScrap[[#This Row],[Disposal]]-tblScrap[[#This Row],[Recovery credit]]))</f>
        <v>38.26</v>
      </c>
      <c r="P93" s="41">
        <f>IF(tblScrap[[#This Row],[Date]]="","",IF(AND(tblScrap[[#This Row],[Date]]&gt;=FFrom,tblScrap[[#This Row],[Date]]&lt;=FTo,OR(DashPart="",tblScrap[[#This Row],[Part]]=DashPart)),tblScrap[[#This Row],[Date]],""))</f>
        <v>46280</v>
      </c>
      <c r="Q93"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93" s="43" t="s">
        <v>139</v>
      </c>
    </row>
    <row r="94" spans="2:18" x14ac:dyDescent="0.25">
      <c r="B94" s="36">
        <v>46281</v>
      </c>
      <c r="C94" s="28" t="s">
        <v>87</v>
      </c>
      <c r="D94" s="28" t="s">
        <v>100</v>
      </c>
      <c r="E94" s="28" t="s">
        <v>115</v>
      </c>
      <c r="F94" s="37">
        <v>3</v>
      </c>
      <c r="G94" s="38">
        <f>IF(tblScrap[[#This Row],[Date]]="","",IFERROR(INDEX(tblParts[Material],MATCH(tblScrap[[#This Row],[Part]],tblParts[Part],0)),""))</f>
        <v>6.1</v>
      </c>
      <c r="H94" s="38">
        <f>IF(tblScrap[[#This Row],[Date]]="","",SUMIFS(tblStageCosts[Conversion to date],tblStageCosts[Part],tblScrap[[#This Row],[Part]],tblStageCosts[Operation],tblScrap[[#This Row],[Operation]]))</f>
        <v>11.6</v>
      </c>
      <c r="I94" s="39">
        <f>IF(tblScrap[[#This Row],[Date]]="","",IFERROR(INDEX(tblParts[Mass],MATCH(tblScrap[[#This Row],[Part]],tblParts[Part],0)),""))</f>
        <v>1.85</v>
      </c>
      <c r="J94" s="40">
        <f>IF(tblScrap[[#This Row],[Date]]="","",IF(tblScrap[[#This Row],[Mass]]="","",tblScrap[[#This Row],[Scrapped]]*tblScrap[[#This Row],[Mass]]))</f>
        <v>5.55</v>
      </c>
      <c r="K94" s="38">
        <f>IF(tblScrap[[#This Row],[Date]]="","",IF(tblScrap[[#This Row],[Material]]="","",tblScrap[[#This Row],[Scrapped]]*tblScrap[[#This Row],[Material]]))</f>
        <v>18.3</v>
      </c>
      <c r="L94" s="38">
        <f>IF(tblScrap[[#This Row],[Date]]="","",tblScrap[[#This Row],[Scrapped]]*tblScrap[[#This Row],[Conversion to date]])</f>
        <v>34.8</v>
      </c>
      <c r="M94" s="38">
        <f>IF(tblScrap[[#This Row],[Date]]="","",IF(tblScrap[[#This Row],[Mass]]="","",tblScrap[[#This Row],[Scrap mass]]*DisposalKg))</f>
        <v>0.2775</v>
      </c>
      <c r="N94" s="38">
        <f>IF(tblScrap[[#This Row],[Date]]="","",IF(tblScrap[[#This Row],[Mass]]="","",tblScrap[[#This Row],[Scrap mass]]*RecoveryKg))</f>
        <v>7.77</v>
      </c>
      <c r="O94" s="38">
        <f>IF(tblScrap[[#This Row],[Date]]="","",IF(tblScrap[[#This Row],[Material]]="","",tblScrap[[#This Row],[Material write-off]]+tblScrap[[#This Row],[Conversion write-off]]+tblScrap[[#This Row],[Disposal]]-tblScrap[[#This Row],[Recovery credit]]))</f>
        <v>45.6075</v>
      </c>
      <c r="P94" s="41">
        <f>IF(tblScrap[[#This Row],[Date]]="","",IF(AND(tblScrap[[#This Row],[Date]]&gt;=FFrom,tblScrap[[#This Row],[Date]]&lt;=FTo,OR(DashPart="",tblScrap[[#This Row],[Part]]=DashPart)),tblScrap[[#This Row],[Date]],""))</f>
        <v>46281</v>
      </c>
      <c r="Q94"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94" s="43" t="s">
        <v>139</v>
      </c>
    </row>
    <row r="95" spans="2:18" x14ac:dyDescent="0.25">
      <c r="B95" s="36">
        <v>46281</v>
      </c>
      <c r="C95" s="28" t="s">
        <v>87</v>
      </c>
      <c r="D95" s="28" t="s">
        <v>102</v>
      </c>
      <c r="E95" s="28" t="s">
        <v>113</v>
      </c>
      <c r="F95" s="37">
        <v>1</v>
      </c>
      <c r="G95" s="38">
        <f>IF(tblScrap[[#This Row],[Date]]="","",IFERROR(INDEX(tblParts[Material],MATCH(tblScrap[[#This Row],[Part]],tblParts[Part],0)),""))</f>
        <v>6.1</v>
      </c>
      <c r="H95" s="38">
        <f>IF(tblScrap[[#This Row],[Date]]="","",SUMIFS(tblStageCosts[Conversion to date],tblStageCosts[Part],tblScrap[[#This Row],[Part]],tblStageCosts[Operation],tblScrap[[#This Row],[Operation]]))</f>
        <v>12.4</v>
      </c>
      <c r="I95" s="39">
        <f>IF(tblScrap[[#This Row],[Date]]="","",IFERROR(INDEX(tblParts[Mass],MATCH(tblScrap[[#This Row],[Part]],tblParts[Part],0)),""))</f>
        <v>1.85</v>
      </c>
      <c r="J95" s="40">
        <f>IF(tblScrap[[#This Row],[Date]]="","",IF(tblScrap[[#This Row],[Mass]]="","",tblScrap[[#This Row],[Scrapped]]*tblScrap[[#This Row],[Mass]]))</f>
        <v>1.85</v>
      </c>
      <c r="K95" s="38">
        <f>IF(tblScrap[[#This Row],[Date]]="","",IF(tblScrap[[#This Row],[Material]]="","",tblScrap[[#This Row],[Scrapped]]*tblScrap[[#This Row],[Material]]))</f>
        <v>6.1</v>
      </c>
      <c r="L95" s="38">
        <f>IF(tblScrap[[#This Row],[Date]]="","",tblScrap[[#This Row],[Scrapped]]*tblScrap[[#This Row],[Conversion to date]])</f>
        <v>12.4</v>
      </c>
      <c r="M95" s="38">
        <f>IF(tblScrap[[#This Row],[Date]]="","",IF(tblScrap[[#This Row],[Mass]]="","",tblScrap[[#This Row],[Scrap mass]]*DisposalKg))</f>
        <v>0.0925</v>
      </c>
      <c r="N95" s="38">
        <f>IF(tblScrap[[#This Row],[Date]]="","",IF(tblScrap[[#This Row],[Mass]]="","",tblScrap[[#This Row],[Scrap mass]]*RecoveryKg))</f>
        <v>2.59</v>
      </c>
      <c r="O95" s="38">
        <f>IF(tblScrap[[#This Row],[Date]]="","",IF(tblScrap[[#This Row],[Material]]="","",tblScrap[[#This Row],[Material write-off]]+tblScrap[[#This Row],[Conversion write-off]]+tblScrap[[#This Row],[Disposal]]-tblScrap[[#This Row],[Recovery credit]]))</f>
        <v>16.0025</v>
      </c>
      <c r="P95" s="41">
        <f>IF(tblScrap[[#This Row],[Date]]="","",IF(AND(tblScrap[[#This Row],[Date]]&gt;=FFrom,tblScrap[[#This Row],[Date]]&lt;=FTo,OR(DashPart="",tblScrap[[#This Row],[Part]]=DashPart)),tblScrap[[#This Row],[Date]],""))</f>
        <v>46281</v>
      </c>
      <c r="Q95"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95" s="43" t="s">
        <v>139</v>
      </c>
    </row>
    <row r="96" spans="2:18" x14ac:dyDescent="0.25">
      <c r="B96" s="36">
        <v>46281</v>
      </c>
      <c r="C96" s="28" t="s">
        <v>91</v>
      </c>
      <c r="D96" s="28" t="s">
        <v>96</v>
      </c>
      <c r="E96" s="28" t="s">
        <v>111</v>
      </c>
      <c r="F96" s="37">
        <v>16</v>
      </c>
      <c r="G96" s="38">
        <f>IF(tblScrap[[#This Row],[Date]]="","",IFERROR(INDEX(tblParts[Material],MATCH(tblScrap[[#This Row],[Part]],tblParts[Part],0)),""))</f>
        <v>2.05</v>
      </c>
      <c r="H96" s="38">
        <f>IF(tblScrap[[#This Row],[Date]]="","",SUMIFS(tblStageCosts[Conversion to date],tblStageCosts[Part],tblScrap[[#This Row],[Part]],tblStageCosts[Operation],tblScrap[[#This Row],[Operation]]))</f>
        <v>1.3</v>
      </c>
      <c r="I96" s="39">
        <f>IF(tblScrap[[#This Row],[Date]]="","",IFERROR(INDEX(tblParts[Mass],MATCH(tblScrap[[#This Row],[Part]],tblParts[Part],0)),""))</f>
        <v>0.62</v>
      </c>
      <c r="J96" s="40">
        <f>IF(tblScrap[[#This Row],[Date]]="","",IF(tblScrap[[#This Row],[Mass]]="","",tblScrap[[#This Row],[Scrapped]]*tblScrap[[#This Row],[Mass]]))</f>
        <v>9.92</v>
      </c>
      <c r="K96" s="38">
        <f>IF(tblScrap[[#This Row],[Date]]="","",IF(tblScrap[[#This Row],[Material]]="","",tblScrap[[#This Row],[Scrapped]]*tblScrap[[#This Row],[Material]]))</f>
        <v>32.8</v>
      </c>
      <c r="L96" s="38">
        <f>IF(tblScrap[[#This Row],[Date]]="","",tblScrap[[#This Row],[Scrapped]]*tblScrap[[#This Row],[Conversion to date]])</f>
        <v>20.8</v>
      </c>
      <c r="M96" s="38">
        <f>IF(tblScrap[[#This Row],[Date]]="","",IF(tblScrap[[#This Row],[Mass]]="","",tblScrap[[#This Row],[Scrap mass]]*DisposalKg))</f>
        <v>0.496</v>
      </c>
      <c r="N96" s="38">
        <f>IF(tblScrap[[#This Row],[Date]]="","",IF(tblScrap[[#This Row],[Mass]]="","",tblScrap[[#This Row],[Scrap mass]]*RecoveryKg))</f>
        <v>13.888</v>
      </c>
      <c r="O96" s="38">
        <f>IF(tblScrap[[#This Row],[Date]]="","",IF(tblScrap[[#This Row],[Material]]="","",tblScrap[[#This Row],[Material write-off]]+tblScrap[[#This Row],[Conversion write-off]]+tblScrap[[#This Row],[Disposal]]-tblScrap[[#This Row],[Recovery credit]]))</f>
        <v>40.208</v>
      </c>
      <c r="P96" s="41">
        <f>IF(tblScrap[[#This Row],[Date]]="","",IF(AND(tblScrap[[#This Row],[Date]]&gt;=FFrom,tblScrap[[#This Row],[Date]]&lt;=FTo,OR(DashPart="",tblScrap[[#This Row],[Part]]=DashPart)),tblScrap[[#This Row],[Date]],""))</f>
        <v>46281</v>
      </c>
      <c r="Q96"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96" s="43" t="s">
        <v>139</v>
      </c>
    </row>
    <row r="97" spans="2:18" x14ac:dyDescent="0.25">
      <c r="B97" s="36">
        <v>46281</v>
      </c>
      <c r="C97" s="28" t="s">
        <v>91</v>
      </c>
      <c r="D97" s="28" t="s">
        <v>100</v>
      </c>
      <c r="E97" s="28" t="s">
        <v>117</v>
      </c>
      <c r="F97" s="37">
        <v>6</v>
      </c>
      <c r="G97" s="38">
        <f>IF(tblScrap[[#This Row],[Date]]="","",IFERROR(INDEX(tblParts[Material],MATCH(tblScrap[[#This Row],[Part]],tblParts[Part],0)),""))</f>
        <v>2.05</v>
      </c>
      <c r="H97" s="38">
        <f>IF(tblScrap[[#This Row],[Date]]="","",SUMIFS(tblStageCosts[Conversion to date],tblStageCosts[Part],tblScrap[[#This Row],[Part]],tblStageCosts[Operation],tblScrap[[#This Row],[Operation]]))</f>
        <v>3.1</v>
      </c>
      <c r="I97" s="39">
        <f>IF(tblScrap[[#This Row],[Date]]="","",IFERROR(INDEX(tblParts[Mass],MATCH(tblScrap[[#This Row],[Part]],tblParts[Part],0)),""))</f>
        <v>0.62</v>
      </c>
      <c r="J97" s="40">
        <f>IF(tblScrap[[#This Row],[Date]]="","",IF(tblScrap[[#This Row],[Mass]]="","",tblScrap[[#This Row],[Scrapped]]*tblScrap[[#This Row],[Mass]]))</f>
        <v>3.72</v>
      </c>
      <c r="K97" s="38">
        <f>IF(tblScrap[[#This Row],[Date]]="","",IF(tblScrap[[#This Row],[Material]]="","",tblScrap[[#This Row],[Scrapped]]*tblScrap[[#This Row],[Material]]))</f>
        <v>12.3</v>
      </c>
      <c r="L97" s="38">
        <f>IF(tblScrap[[#This Row],[Date]]="","",tblScrap[[#This Row],[Scrapped]]*tblScrap[[#This Row],[Conversion to date]])</f>
        <v>18.6</v>
      </c>
      <c r="M97" s="38">
        <f>IF(tblScrap[[#This Row],[Date]]="","",IF(tblScrap[[#This Row],[Mass]]="","",tblScrap[[#This Row],[Scrap mass]]*DisposalKg))</f>
        <v>0.186</v>
      </c>
      <c r="N97" s="38">
        <f>IF(tblScrap[[#This Row],[Date]]="","",IF(tblScrap[[#This Row],[Mass]]="","",tblScrap[[#This Row],[Scrap mass]]*RecoveryKg))</f>
        <v>5.208</v>
      </c>
      <c r="O97" s="38">
        <f>IF(tblScrap[[#This Row],[Date]]="","",IF(tblScrap[[#This Row],[Material]]="","",tblScrap[[#This Row],[Material write-off]]+tblScrap[[#This Row],[Conversion write-off]]+tblScrap[[#This Row],[Disposal]]-tblScrap[[#This Row],[Recovery credit]]))</f>
        <v>25.878</v>
      </c>
      <c r="P97" s="41">
        <f>IF(tblScrap[[#This Row],[Date]]="","",IF(AND(tblScrap[[#This Row],[Date]]&gt;=FFrom,tblScrap[[#This Row],[Date]]&lt;=FTo,OR(DashPart="",tblScrap[[#This Row],[Part]]=DashPart)),tblScrap[[#This Row],[Date]],""))</f>
        <v>46281</v>
      </c>
      <c r="Q97"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97" s="43" t="s">
        <v>139</v>
      </c>
    </row>
    <row r="98" spans="2:18" x14ac:dyDescent="0.25">
      <c r="B98" s="36">
        <v>46281</v>
      </c>
      <c r="C98" s="28" t="s">
        <v>93</v>
      </c>
      <c r="D98" s="28" t="s">
        <v>96</v>
      </c>
      <c r="E98" s="28" t="s">
        <v>109</v>
      </c>
      <c r="F98" s="37">
        <v>12</v>
      </c>
      <c r="G98" s="38">
        <f>IF(tblScrap[[#This Row],[Date]]="","",IFERROR(INDEX(tblParts[Material],MATCH(tblScrap[[#This Row],[Part]],tblParts[Part],0)),""))</f>
        <v>3.65</v>
      </c>
      <c r="H98" s="38">
        <f>IF(tblScrap[[#This Row],[Date]]="","",SUMIFS(tblStageCosts[Conversion to date],tblStageCosts[Part],tblScrap[[#This Row],[Part]],tblStageCosts[Operation],tblScrap[[#This Row],[Operation]]))</f>
        <v>2.6</v>
      </c>
      <c r="I98" s="39">
        <f>IF(tblScrap[[#This Row],[Date]]="","",IFERROR(INDEX(tblParts[Mass],MATCH(tblScrap[[#This Row],[Part]],tblParts[Part],0)),""))</f>
        <v>1.1</v>
      </c>
      <c r="J98" s="40">
        <f>IF(tblScrap[[#This Row],[Date]]="","",IF(tblScrap[[#This Row],[Mass]]="","",tblScrap[[#This Row],[Scrapped]]*tblScrap[[#This Row],[Mass]]))</f>
        <v>13.2</v>
      </c>
      <c r="K98" s="38">
        <f>IF(tblScrap[[#This Row],[Date]]="","",IF(tblScrap[[#This Row],[Material]]="","",tblScrap[[#This Row],[Scrapped]]*tblScrap[[#This Row],[Material]]))</f>
        <v>43.8</v>
      </c>
      <c r="L98" s="38">
        <f>IF(tblScrap[[#This Row],[Date]]="","",tblScrap[[#This Row],[Scrapped]]*tblScrap[[#This Row],[Conversion to date]])</f>
        <v>31.2</v>
      </c>
      <c r="M98" s="38">
        <f>IF(tblScrap[[#This Row],[Date]]="","",IF(tblScrap[[#This Row],[Mass]]="","",tblScrap[[#This Row],[Scrap mass]]*DisposalKg))</f>
        <v>0.66</v>
      </c>
      <c r="N98" s="38">
        <f>IF(tblScrap[[#This Row],[Date]]="","",IF(tblScrap[[#This Row],[Mass]]="","",tblScrap[[#This Row],[Scrap mass]]*RecoveryKg))</f>
        <v>18.48</v>
      </c>
      <c r="O98" s="38">
        <f>IF(tblScrap[[#This Row],[Date]]="","",IF(tblScrap[[#This Row],[Material]]="","",tblScrap[[#This Row],[Material write-off]]+tblScrap[[#This Row],[Conversion write-off]]+tblScrap[[#This Row],[Disposal]]-tblScrap[[#This Row],[Recovery credit]]))</f>
        <v>57.18</v>
      </c>
      <c r="P98" s="41">
        <f>IF(tblScrap[[#This Row],[Date]]="","",IF(AND(tblScrap[[#This Row],[Date]]&gt;=FFrom,tblScrap[[#This Row],[Date]]&lt;=FTo,OR(DashPart="",tblScrap[[#This Row],[Part]]=DashPart)),tblScrap[[#This Row],[Date]],""))</f>
        <v>46281</v>
      </c>
      <c r="Q98"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98" s="43" t="s">
        <v>139</v>
      </c>
    </row>
    <row r="99" spans="2:18" x14ac:dyDescent="0.25">
      <c r="B99" s="36">
        <v>46282</v>
      </c>
      <c r="C99" s="28" t="s">
        <v>89</v>
      </c>
      <c r="D99" s="28" t="s">
        <v>96</v>
      </c>
      <c r="E99" s="28" t="s">
        <v>109</v>
      </c>
      <c r="F99" s="37">
        <v>6</v>
      </c>
      <c r="G99" s="38">
        <f>IF(tblScrap[[#This Row],[Date]]="","",IFERROR(INDEX(tblParts[Material],MATCH(tblScrap[[#This Row],[Part]],tblParts[Part],0)),""))</f>
        <v>8.6</v>
      </c>
      <c r="H99" s="38">
        <f>IF(tblScrap[[#This Row],[Date]]="","",SUMIFS(tblStageCosts[Conversion to date],tblStageCosts[Part],tblScrap[[#This Row],[Part]],tblStageCosts[Operation],tblScrap[[#This Row],[Operation]]))</f>
        <v>5.4</v>
      </c>
      <c r="I99" s="39">
        <f>IF(tblScrap[[#This Row],[Date]]="","",IFERROR(INDEX(tblParts[Mass],MATCH(tblScrap[[#This Row],[Part]],tblParts[Part],0)),""))</f>
        <v>2.6</v>
      </c>
      <c r="J99" s="40">
        <f>IF(tblScrap[[#This Row],[Date]]="","",IF(tblScrap[[#This Row],[Mass]]="","",tblScrap[[#This Row],[Scrapped]]*tblScrap[[#This Row],[Mass]]))</f>
        <v>15.6</v>
      </c>
      <c r="K99" s="38">
        <f>IF(tblScrap[[#This Row],[Date]]="","",IF(tblScrap[[#This Row],[Material]]="","",tblScrap[[#This Row],[Scrapped]]*tblScrap[[#This Row],[Material]]))</f>
        <v>51.6</v>
      </c>
      <c r="L99" s="38">
        <f>IF(tblScrap[[#This Row],[Date]]="","",tblScrap[[#This Row],[Scrapped]]*tblScrap[[#This Row],[Conversion to date]])</f>
        <v>32.4</v>
      </c>
      <c r="M99" s="38">
        <f>IF(tblScrap[[#This Row],[Date]]="","",IF(tblScrap[[#This Row],[Mass]]="","",tblScrap[[#This Row],[Scrap mass]]*DisposalKg))</f>
        <v>0.78</v>
      </c>
      <c r="N99" s="38">
        <f>IF(tblScrap[[#This Row],[Date]]="","",IF(tblScrap[[#This Row],[Mass]]="","",tblScrap[[#This Row],[Scrap mass]]*RecoveryKg))</f>
        <v>21.84</v>
      </c>
      <c r="O99" s="38">
        <f>IF(tblScrap[[#This Row],[Date]]="","",IF(tblScrap[[#This Row],[Material]]="","",tblScrap[[#This Row],[Material write-off]]+tblScrap[[#This Row],[Conversion write-off]]+tblScrap[[#This Row],[Disposal]]-tblScrap[[#This Row],[Recovery credit]]))</f>
        <v>62.94</v>
      </c>
      <c r="P99" s="41">
        <f>IF(tblScrap[[#This Row],[Date]]="","",IF(AND(tblScrap[[#This Row],[Date]]&gt;=FFrom,tblScrap[[#This Row],[Date]]&lt;=FTo,OR(DashPart="",tblScrap[[#This Row],[Part]]=DashPart)),tblScrap[[#This Row],[Date]],""))</f>
        <v>46282</v>
      </c>
      <c r="Q99"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99" s="43" t="s">
        <v>139</v>
      </c>
    </row>
    <row r="100" spans="2:18" x14ac:dyDescent="0.25">
      <c r="B100" s="36">
        <v>46282</v>
      </c>
      <c r="C100" s="28" t="s">
        <v>91</v>
      </c>
      <c r="D100" s="28" t="s">
        <v>100</v>
      </c>
      <c r="E100" s="28" t="s">
        <v>117</v>
      </c>
      <c r="F100" s="37">
        <v>7</v>
      </c>
      <c r="G100" s="38">
        <f>IF(tblScrap[[#This Row],[Date]]="","",IFERROR(INDEX(tblParts[Material],MATCH(tblScrap[[#This Row],[Part]],tblParts[Part],0)),""))</f>
        <v>2.05</v>
      </c>
      <c r="H100" s="38">
        <f>IF(tblScrap[[#This Row],[Date]]="","",SUMIFS(tblStageCosts[Conversion to date],tblStageCosts[Part],tblScrap[[#This Row],[Part]],tblStageCosts[Operation],tblScrap[[#This Row],[Operation]]))</f>
        <v>3.1</v>
      </c>
      <c r="I100" s="39">
        <f>IF(tblScrap[[#This Row],[Date]]="","",IFERROR(INDEX(tblParts[Mass],MATCH(tblScrap[[#This Row],[Part]],tblParts[Part],0)),""))</f>
        <v>0.62</v>
      </c>
      <c r="J100" s="40">
        <f>IF(tblScrap[[#This Row],[Date]]="","",IF(tblScrap[[#This Row],[Mass]]="","",tblScrap[[#This Row],[Scrapped]]*tblScrap[[#This Row],[Mass]]))</f>
        <v>4.34</v>
      </c>
      <c r="K100" s="38">
        <f>IF(tblScrap[[#This Row],[Date]]="","",IF(tblScrap[[#This Row],[Material]]="","",tblScrap[[#This Row],[Scrapped]]*tblScrap[[#This Row],[Material]]))</f>
        <v>14.35</v>
      </c>
      <c r="L100" s="38">
        <f>IF(tblScrap[[#This Row],[Date]]="","",tblScrap[[#This Row],[Scrapped]]*tblScrap[[#This Row],[Conversion to date]])</f>
        <v>21.7</v>
      </c>
      <c r="M100" s="38">
        <f>IF(tblScrap[[#This Row],[Date]]="","",IF(tblScrap[[#This Row],[Mass]]="","",tblScrap[[#This Row],[Scrap mass]]*DisposalKg))</f>
        <v>0.217</v>
      </c>
      <c r="N100" s="38">
        <f>IF(tblScrap[[#This Row],[Date]]="","",IF(tblScrap[[#This Row],[Mass]]="","",tblScrap[[#This Row],[Scrap mass]]*RecoveryKg))</f>
        <v>6.076</v>
      </c>
      <c r="O100" s="38">
        <f>IF(tblScrap[[#This Row],[Date]]="","",IF(tblScrap[[#This Row],[Material]]="","",tblScrap[[#This Row],[Material write-off]]+tblScrap[[#This Row],[Conversion write-off]]+tblScrap[[#This Row],[Disposal]]-tblScrap[[#This Row],[Recovery credit]]))</f>
        <v>30.191</v>
      </c>
      <c r="P100" s="41">
        <f>IF(tblScrap[[#This Row],[Date]]="","",IF(AND(tblScrap[[#This Row],[Date]]&gt;=FFrom,tblScrap[[#This Row],[Date]]&lt;=FTo,OR(DashPart="",tblScrap[[#This Row],[Part]]=DashPart)),tblScrap[[#This Row],[Date]],""))</f>
        <v>46282</v>
      </c>
      <c r="Q100"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00" s="43" t="s">
        <v>139</v>
      </c>
    </row>
    <row r="101" spans="2:18" x14ac:dyDescent="0.25">
      <c r="B101" s="36">
        <v>46283</v>
      </c>
      <c r="C101" s="28" t="s">
        <v>87</v>
      </c>
      <c r="D101" s="28" t="s">
        <v>96</v>
      </c>
      <c r="E101" s="28" t="s">
        <v>111</v>
      </c>
      <c r="F101" s="37">
        <v>3</v>
      </c>
      <c r="G101" s="38">
        <f>IF(tblScrap[[#This Row],[Date]]="","",IFERROR(INDEX(tblParts[Material],MATCH(tblScrap[[#This Row],[Part]],tblParts[Part],0)),""))</f>
        <v>6.1</v>
      </c>
      <c r="H101" s="38">
        <f>IF(tblScrap[[#This Row],[Date]]="","",SUMIFS(tblStageCosts[Conversion to date],tblStageCosts[Part],tblScrap[[#This Row],[Part]],tblStageCosts[Operation],tblScrap[[#This Row],[Operation]]))</f>
        <v>4.2</v>
      </c>
      <c r="I101" s="39">
        <f>IF(tblScrap[[#This Row],[Date]]="","",IFERROR(INDEX(tblParts[Mass],MATCH(tblScrap[[#This Row],[Part]],tblParts[Part],0)),""))</f>
        <v>1.85</v>
      </c>
      <c r="J101" s="40">
        <f>IF(tblScrap[[#This Row],[Date]]="","",IF(tblScrap[[#This Row],[Mass]]="","",tblScrap[[#This Row],[Scrapped]]*tblScrap[[#This Row],[Mass]]))</f>
        <v>5.55</v>
      </c>
      <c r="K101" s="38">
        <f>IF(tblScrap[[#This Row],[Date]]="","",IF(tblScrap[[#This Row],[Material]]="","",tblScrap[[#This Row],[Scrapped]]*tblScrap[[#This Row],[Material]]))</f>
        <v>18.3</v>
      </c>
      <c r="L101" s="38">
        <f>IF(tblScrap[[#This Row],[Date]]="","",tblScrap[[#This Row],[Scrapped]]*tblScrap[[#This Row],[Conversion to date]])</f>
        <v>12.6</v>
      </c>
      <c r="M101" s="38">
        <f>IF(tblScrap[[#This Row],[Date]]="","",IF(tblScrap[[#This Row],[Mass]]="","",tblScrap[[#This Row],[Scrap mass]]*DisposalKg))</f>
        <v>0.2775</v>
      </c>
      <c r="N101" s="38">
        <f>IF(tblScrap[[#This Row],[Date]]="","",IF(tblScrap[[#This Row],[Mass]]="","",tblScrap[[#This Row],[Scrap mass]]*RecoveryKg))</f>
        <v>7.77</v>
      </c>
      <c r="O101" s="38">
        <f>IF(tblScrap[[#This Row],[Date]]="","",IF(tblScrap[[#This Row],[Material]]="","",tblScrap[[#This Row],[Material write-off]]+tblScrap[[#This Row],[Conversion write-off]]+tblScrap[[#This Row],[Disposal]]-tblScrap[[#This Row],[Recovery credit]]))</f>
        <v>23.4075</v>
      </c>
      <c r="P101" s="41">
        <f>IF(tblScrap[[#This Row],[Date]]="","",IF(AND(tblScrap[[#This Row],[Date]]&gt;=FFrom,tblScrap[[#This Row],[Date]]&lt;=FTo,OR(DashPart="",tblScrap[[#This Row],[Part]]=DashPart)),tblScrap[[#This Row],[Date]],""))</f>
        <v>46283</v>
      </c>
      <c r="Q101"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01" s="43" t="s">
        <v>139</v>
      </c>
    </row>
    <row r="102" spans="2:18" x14ac:dyDescent="0.25">
      <c r="B102" s="36">
        <v>46283</v>
      </c>
      <c r="C102" s="28" t="s">
        <v>89</v>
      </c>
      <c r="D102" s="28" t="s">
        <v>102</v>
      </c>
      <c r="E102" s="28" t="s">
        <v>113</v>
      </c>
      <c r="F102" s="37">
        <v>1</v>
      </c>
      <c r="G102" s="38">
        <f>IF(tblScrap[[#This Row],[Date]]="","",IFERROR(INDEX(tblParts[Material],MATCH(tblScrap[[#This Row],[Part]],tblParts[Part],0)),""))</f>
        <v>8.6</v>
      </c>
      <c r="H102" s="38">
        <f>IF(tblScrap[[#This Row],[Date]]="","",SUMIFS(tblStageCosts[Conversion to date],tblStageCosts[Part],tblScrap[[#This Row],[Part]],tblStageCosts[Operation],tblScrap[[#This Row],[Operation]]))</f>
        <v>16.9</v>
      </c>
      <c r="I102" s="39">
        <f>IF(tblScrap[[#This Row],[Date]]="","",IFERROR(INDEX(tblParts[Mass],MATCH(tblScrap[[#This Row],[Part]],tblParts[Part],0)),""))</f>
        <v>2.6</v>
      </c>
      <c r="J102" s="40">
        <f>IF(tblScrap[[#This Row],[Date]]="","",IF(tblScrap[[#This Row],[Mass]]="","",tblScrap[[#This Row],[Scrapped]]*tblScrap[[#This Row],[Mass]]))</f>
        <v>2.6</v>
      </c>
      <c r="K102" s="38">
        <f>IF(tblScrap[[#This Row],[Date]]="","",IF(tblScrap[[#This Row],[Material]]="","",tblScrap[[#This Row],[Scrapped]]*tblScrap[[#This Row],[Material]]))</f>
        <v>8.6</v>
      </c>
      <c r="L102" s="38">
        <f>IF(tblScrap[[#This Row],[Date]]="","",tblScrap[[#This Row],[Scrapped]]*tblScrap[[#This Row],[Conversion to date]])</f>
        <v>16.9</v>
      </c>
      <c r="M102" s="38">
        <f>IF(tblScrap[[#This Row],[Date]]="","",IF(tblScrap[[#This Row],[Mass]]="","",tblScrap[[#This Row],[Scrap mass]]*DisposalKg))</f>
        <v>0.13</v>
      </c>
      <c r="N102" s="38">
        <f>IF(tblScrap[[#This Row],[Date]]="","",IF(tblScrap[[#This Row],[Mass]]="","",tblScrap[[#This Row],[Scrap mass]]*RecoveryKg))</f>
        <v>3.64</v>
      </c>
      <c r="O102" s="38">
        <f>IF(tblScrap[[#This Row],[Date]]="","",IF(tblScrap[[#This Row],[Material]]="","",tblScrap[[#This Row],[Material write-off]]+tblScrap[[#This Row],[Conversion write-off]]+tblScrap[[#This Row],[Disposal]]-tblScrap[[#This Row],[Recovery credit]]))</f>
        <v>21.99</v>
      </c>
      <c r="P102" s="41">
        <f>IF(tblScrap[[#This Row],[Date]]="","",IF(AND(tblScrap[[#This Row],[Date]]&gt;=FFrom,tblScrap[[#This Row],[Date]]&lt;=FTo,OR(DashPart="",tblScrap[[#This Row],[Part]]=DashPart)),tblScrap[[#This Row],[Date]],""))</f>
        <v>46283</v>
      </c>
      <c r="Q102"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02" s="43" t="s">
        <v>139</v>
      </c>
    </row>
    <row r="103" spans="2:18" x14ac:dyDescent="0.25">
      <c r="B103" s="36">
        <v>46283</v>
      </c>
      <c r="C103" s="28" t="s">
        <v>91</v>
      </c>
      <c r="D103" s="28" t="s">
        <v>96</v>
      </c>
      <c r="E103" s="28" t="s">
        <v>111</v>
      </c>
      <c r="F103" s="37">
        <v>11</v>
      </c>
      <c r="G103" s="38">
        <f>IF(tblScrap[[#This Row],[Date]]="","",IFERROR(INDEX(tblParts[Material],MATCH(tblScrap[[#This Row],[Part]],tblParts[Part],0)),""))</f>
        <v>2.05</v>
      </c>
      <c r="H103" s="38">
        <f>IF(tblScrap[[#This Row],[Date]]="","",SUMIFS(tblStageCosts[Conversion to date],tblStageCosts[Part],tblScrap[[#This Row],[Part]],tblStageCosts[Operation],tblScrap[[#This Row],[Operation]]))</f>
        <v>1.3</v>
      </c>
      <c r="I103" s="39">
        <f>IF(tblScrap[[#This Row],[Date]]="","",IFERROR(INDEX(tblParts[Mass],MATCH(tblScrap[[#This Row],[Part]],tblParts[Part],0)),""))</f>
        <v>0.62</v>
      </c>
      <c r="J103" s="40">
        <f>IF(tblScrap[[#This Row],[Date]]="","",IF(tblScrap[[#This Row],[Mass]]="","",tblScrap[[#This Row],[Scrapped]]*tblScrap[[#This Row],[Mass]]))</f>
        <v>6.82</v>
      </c>
      <c r="K103" s="38">
        <f>IF(tblScrap[[#This Row],[Date]]="","",IF(tblScrap[[#This Row],[Material]]="","",tblScrap[[#This Row],[Scrapped]]*tblScrap[[#This Row],[Material]]))</f>
        <v>22.55</v>
      </c>
      <c r="L103" s="38">
        <f>IF(tblScrap[[#This Row],[Date]]="","",tblScrap[[#This Row],[Scrapped]]*tblScrap[[#This Row],[Conversion to date]])</f>
        <v>14.3</v>
      </c>
      <c r="M103" s="38">
        <f>IF(tblScrap[[#This Row],[Date]]="","",IF(tblScrap[[#This Row],[Mass]]="","",tblScrap[[#This Row],[Scrap mass]]*DisposalKg))</f>
        <v>0.341</v>
      </c>
      <c r="N103" s="38">
        <f>IF(tblScrap[[#This Row],[Date]]="","",IF(tblScrap[[#This Row],[Mass]]="","",tblScrap[[#This Row],[Scrap mass]]*RecoveryKg))</f>
        <v>9.548</v>
      </c>
      <c r="O103" s="38">
        <f>IF(tblScrap[[#This Row],[Date]]="","",IF(tblScrap[[#This Row],[Material]]="","",tblScrap[[#This Row],[Material write-off]]+tblScrap[[#This Row],[Conversion write-off]]+tblScrap[[#This Row],[Disposal]]-tblScrap[[#This Row],[Recovery credit]]))</f>
        <v>27.643</v>
      </c>
      <c r="P103" s="41">
        <f>IF(tblScrap[[#This Row],[Date]]="","",IF(AND(tblScrap[[#This Row],[Date]]&gt;=FFrom,tblScrap[[#This Row],[Date]]&lt;=FTo,OR(DashPart="",tblScrap[[#This Row],[Part]]=DashPart)),tblScrap[[#This Row],[Date]],""))</f>
        <v>46283</v>
      </c>
      <c r="Q103"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03" s="43" t="s">
        <v>139</v>
      </c>
    </row>
    <row r="104" spans="2:18" x14ac:dyDescent="0.25">
      <c r="B104" s="36">
        <v>46283</v>
      </c>
      <c r="C104" s="28" t="s">
        <v>91</v>
      </c>
      <c r="D104" s="28" t="s">
        <v>100</v>
      </c>
      <c r="E104" s="28" t="s">
        <v>117</v>
      </c>
      <c r="F104" s="37">
        <v>13</v>
      </c>
      <c r="G104" s="38">
        <f>IF(tblScrap[[#This Row],[Date]]="","",IFERROR(INDEX(tblParts[Material],MATCH(tblScrap[[#This Row],[Part]],tblParts[Part],0)),""))</f>
        <v>2.05</v>
      </c>
      <c r="H104" s="38">
        <f>IF(tblScrap[[#This Row],[Date]]="","",SUMIFS(tblStageCosts[Conversion to date],tblStageCosts[Part],tblScrap[[#This Row],[Part]],tblStageCosts[Operation],tblScrap[[#This Row],[Operation]]))</f>
        <v>3.1</v>
      </c>
      <c r="I104" s="39">
        <f>IF(tblScrap[[#This Row],[Date]]="","",IFERROR(INDEX(tblParts[Mass],MATCH(tblScrap[[#This Row],[Part]],tblParts[Part],0)),""))</f>
        <v>0.62</v>
      </c>
      <c r="J104" s="40">
        <f>IF(tblScrap[[#This Row],[Date]]="","",IF(tblScrap[[#This Row],[Mass]]="","",tblScrap[[#This Row],[Scrapped]]*tblScrap[[#This Row],[Mass]]))</f>
        <v>8.06</v>
      </c>
      <c r="K104" s="38">
        <f>IF(tblScrap[[#This Row],[Date]]="","",IF(tblScrap[[#This Row],[Material]]="","",tblScrap[[#This Row],[Scrapped]]*tblScrap[[#This Row],[Material]]))</f>
        <v>26.65</v>
      </c>
      <c r="L104" s="38">
        <f>IF(tblScrap[[#This Row],[Date]]="","",tblScrap[[#This Row],[Scrapped]]*tblScrap[[#This Row],[Conversion to date]])</f>
        <v>40.3</v>
      </c>
      <c r="M104" s="38">
        <f>IF(tblScrap[[#This Row],[Date]]="","",IF(tblScrap[[#This Row],[Mass]]="","",tblScrap[[#This Row],[Scrap mass]]*DisposalKg))</f>
        <v>0.403</v>
      </c>
      <c r="N104" s="38">
        <f>IF(tblScrap[[#This Row],[Date]]="","",IF(tblScrap[[#This Row],[Mass]]="","",tblScrap[[#This Row],[Scrap mass]]*RecoveryKg))</f>
        <v>11.284</v>
      </c>
      <c r="O104" s="38">
        <f>IF(tblScrap[[#This Row],[Date]]="","",IF(tblScrap[[#This Row],[Material]]="","",tblScrap[[#This Row],[Material write-off]]+tblScrap[[#This Row],[Conversion write-off]]+tblScrap[[#This Row],[Disposal]]-tblScrap[[#This Row],[Recovery credit]]))</f>
        <v>56.069</v>
      </c>
      <c r="P104" s="41">
        <f>IF(tblScrap[[#This Row],[Date]]="","",IF(AND(tblScrap[[#This Row],[Date]]&gt;=FFrom,tblScrap[[#This Row],[Date]]&lt;=FTo,OR(DashPart="",tblScrap[[#This Row],[Part]]=DashPart)),tblScrap[[#This Row],[Date]],""))</f>
        <v>46283</v>
      </c>
      <c r="Q104"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04" s="43" t="s">
        <v>139</v>
      </c>
    </row>
    <row r="105" spans="2:18" x14ac:dyDescent="0.25">
      <c r="B105" s="36">
        <v>46283</v>
      </c>
      <c r="C105" s="28" t="s">
        <v>93</v>
      </c>
      <c r="D105" s="28" t="s">
        <v>96</v>
      </c>
      <c r="E105" s="28" t="s">
        <v>109</v>
      </c>
      <c r="F105" s="37">
        <v>14</v>
      </c>
      <c r="G105" s="38">
        <f>IF(tblScrap[[#This Row],[Date]]="","",IFERROR(INDEX(tblParts[Material],MATCH(tblScrap[[#This Row],[Part]],tblParts[Part],0)),""))</f>
        <v>3.65</v>
      </c>
      <c r="H105" s="38">
        <f>IF(tblScrap[[#This Row],[Date]]="","",SUMIFS(tblStageCosts[Conversion to date],tblStageCosts[Part],tblScrap[[#This Row],[Part]],tblStageCosts[Operation],tblScrap[[#This Row],[Operation]]))</f>
        <v>2.6</v>
      </c>
      <c r="I105" s="39">
        <f>IF(tblScrap[[#This Row],[Date]]="","",IFERROR(INDEX(tblParts[Mass],MATCH(tblScrap[[#This Row],[Part]],tblParts[Part],0)),""))</f>
        <v>1.1</v>
      </c>
      <c r="J105" s="40">
        <f>IF(tblScrap[[#This Row],[Date]]="","",IF(tblScrap[[#This Row],[Mass]]="","",tblScrap[[#This Row],[Scrapped]]*tblScrap[[#This Row],[Mass]]))</f>
        <v>15.4</v>
      </c>
      <c r="K105" s="38">
        <f>IF(tblScrap[[#This Row],[Date]]="","",IF(tblScrap[[#This Row],[Material]]="","",tblScrap[[#This Row],[Scrapped]]*tblScrap[[#This Row],[Material]]))</f>
        <v>51.1</v>
      </c>
      <c r="L105" s="38">
        <f>IF(tblScrap[[#This Row],[Date]]="","",tblScrap[[#This Row],[Scrapped]]*tblScrap[[#This Row],[Conversion to date]])</f>
        <v>36.4</v>
      </c>
      <c r="M105" s="38">
        <f>IF(tblScrap[[#This Row],[Date]]="","",IF(tblScrap[[#This Row],[Mass]]="","",tblScrap[[#This Row],[Scrap mass]]*DisposalKg))</f>
        <v>0.77</v>
      </c>
      <c r="N105" s="38">
        <f>IF(tblScrap[[#This Row],[Date]]="","",IF(tblScrap[[#This Row],[Mass]]="","",tblScrap[[#This Row],[Scrap mass]]*RecoveryKg))</f>
        <v>21.56</v>
      </c>
      <c r="O105" s="38">
        <f>IF(tblScrap[[#This Row],[Date]]="","",IF(tblScrap[[#This Row],[Material]]="","",tblScrap[[#This Row],[Material write-off]]+tblScrap[[#This Row],[Conversion write-off]]+tblScrap[[#This Row],[Disposal]]-tblScrap[[#This Row],[Recovery credit]]))</f>
        <v>66.71</v>
      </c>
      <c r="P105" s="41">
        <f>IF(tblScrap[[#This Row],[Date]]="","",IF(AND(tblScrap[[#This Row],[Date]]&gt;=FFrom,tblScrap[[#This Row],[Date]]&lt;=FTo,OR(DashPart="",tblScrap[[#This Row],[Part]]=DashPart)),tblScrap[[#This Row],[Date]],""))</f>
        <v>46283</v>
      </c>
      <c r="Q105"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05" s="43" t="s">
        <v>139</v>
      </c>
    </row>
    <row r="106" spans="2:18" x14ac:dyDescent="0.25">
      <c r="B106" s="36">
        <v>46283</v>
      </c>
      <c r="C106" s="28" t="s">
        <v>93</v>
      </c>
      <c r="D106" s="28" t="s">
        <v>102</v>
      </c>
      <c r="E106" s="28" t="s">
        <v>113</v>
      </c>
      <c r="F106" s="37">
        <v>3</v>
      </c>
      <c r="G106" s="38">
        <f>IF(tblScrap[[#This Row],[Date]]="","",IFERROR(INDEX(tblParts[Material],MATCH(tblScrap[[#This Row],[Part]],tblParts[Part],0)),""))</f>
        <v>3.65</v>
      </c>
      <c r="H106" s="38">
        <f>IF(tblScrap[[#This Row],[Date]]="","",SUMIFS(tblStageCosts[Conversion to date],tblStageCosts[Part],tblScrap[[#This Row],[Part]],tblStageCosts[Operation],tblScrap[[#This Row],[Operation]]))</f>
        <v>7.4</v>
      </c>
      <c r="I106" s="39">
        <f>IF(tblScrap[[#This Row],[Date]]="","",IFERROR(INDEX(tblParts[Mass],MATCH(tblScrap[[#This Row],[Part]],tblParts[Part],0)),""))</f>
        <v>1.1</v>
      </c>
      <c r="J106" s="40">
        <f>IF(tblScrap[[#This Row],[Date]]="","",IF(tblScrap[[#This Row],[Mass]]="","",tblScrap[[#This Row],[Scrapped]]*tblScrap[[#This Row],[Mass]]))</f>
        <v>3.3</v>
      </c>
      <c r="K106" s="38">
        <f>IF(tblScrap[[#This Row],[Date]]="","",IF(tblScrap[[#This Row],[Material]]="","",tblScrap[[#This Row],[Scrapped]]*tblScrap[[#This Row],[Material]]))</f>
        <v>10.95</v>
      </c>
      <c r="L106" s="38">
        <f>IF(tblScrap[[#This Row],[Date]]="","",tblScrap[[#This Row],[Scrapped]]*tblScrap[[#This Row],[Conversion to date]])</f>
        <v>22.2</v>
      </c>
      <c r="M106" s="38">
        <f>IF(tblScrap[[#This Row],[Date]]="","",IF(tblScrap[[#This Row],[Mass]]="","",tblScrap[[#This Row],[Scrap mass]]*DisposalKg))</f>
        <v>0.165</v>
      </c>
      <c r="N106" s="38">
        <f>IF(tblScrap[[#This Row],[Date]]="","",IF(tblScrap[[#This Row],[Mass]]="","",tblScrap[[#This Row],[Scrap mass]]*RecoveryKg))</f>
        <v>4.62</v>
      </c>
      <c r="O106" s="38">
        <f>IF(tblScrap[[#This Row],[Date]]="","",IF(tblScrap[[#This Row],[Material]]="","",tblScrap[[#This Row],[Material write-off]]+tblScrap[[#This Row],[Conversion write-off]]+tblScrap[[#This Row],[Disposal]]-tblScrap[[#This Row],[Recovery credit]]))</f>
        <v>28.695</v>
      </c>
      <c r="P106" s="41">
        <f>IF(tblScrap[[#This Row],[Date]]="","",IF(AND(tblScrap[[#This Row],[Date]]&gt;=FFrom,tblScrap[[#This Row],[Date]]&lt;=FTo,OR(DashPart="",tblScrap[[#This Row],[Part]]=DashPart)),tblScrap[[#This Row],[Date]],""))</f>
        <v>46283</v>
      </c>
      <c r="Q106"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06" s="43" t="s">
        <v>139</v>
      </c>
    </row>
    <row r="107" spans="2:18" x14ac:dyDescent="0.25">
      <c r="B107" s="36">
        <v>46286</v>
      </c>
      <c r="C107" s="28" t="s">
        <v>87</v>
      </c>
      <c r="D107" s="28" t="s">
        <v>96</v>
      </c>
      <c r="E107" s="28" t="s">
        <v>111</v>
      </c>
      <c r="F107" s="37">
        <v>8</v>
      </c>
      <c r="G107" s="38">
        <f>IF(tblScrap[[#This Row],[Date]]="","",IFERROR(INDEX(tblParts[Material],MATCH(tblScrap[[#This Row],[Part]],tblParts[Part],0)),""))</f>
        <v>6.1</v>
      </c>
      <c r="H107" s="38">
        <f>IF(tblScrap[[#This Row],[Date]]="","",SUMIFS(tblStageCosts[Conversion to date],tblStageCosts[Part],tblScrap[[#This Row],[Part]],tblStageCosts[Operation],tblScrap[[#This Row],[Operation]]))</f>
        <v>4.2</v>
      </c>
      <c r="I107" s="39">
        <f>IF(tblScrap[[#This Row],[Date]]="","",IFERROR(INDEX(tblParts[Mass],MATCH(tblScrap[[#This Row],[Part]],tblParts[Part],0)),""))</f>
        <v>1.85</v>
      </c>
      <c r="J107" s="40">
        <f>IF(tblScrap[[#This Row],[Date]]="","",IF(tblScrap[[#This Row],[Mass]]="","",tblScrap[[#This Row],[Scrapped]]*tblScrap[[#This Row],[Mass]]))</f>
        <v>14.8</v>
      </c>
      <c r="K107" s="38">
        <f>IF(tblScrap[[#This Row],[Date]]="","",IF(tblScrap[[#This Row],[Material]]="","",tblScrap[[#This Row],[Scrapped]]*tblScrap[[#This Row],[Material]]))</f>
        <v>48.8</v>
      </c>
      <c r="L107" s="38">
        <f>IF(tblScrap[[#This Row],[Date]]="","",tblScrap[[#This Row],[Scrapped]]*tblScrap[[#This Row],[Conversion to date]])</f>
        <v>33.6</v>
      </c>
      <c r="M107" s="38">
        <f>IF(tblScrap[[#This Row],[Date]]="","",IF(tblScrap[[#This Row],[Mass]]="","",tblScrap[[#This Row],[Scrap mass]]*DisposalKg))</f>
        <v>0.74</v>
      </c>
      <c r="N107" s="38">
        <f>IF(tblScrap[[#This Row],[Date]]="","",IF(tblScrap[[#This Row],[Mass]]="","",tblScrap[[#This Row],[Scrap mass]]*RecoveryKg))</f>
        <v>20.72</v>
      </c>
      <c r="O107" s="38">
        <f>IF(tblScrap[[#This Row],[Date]]="","",IF(tblScrap[[#This Row],[Material]]="","",tblScrap[[#This Row],[Material write-off]]+tblScrap[[#This Row],[Conversion write-off]]+tblScrap[[#This Row],[Disposal]]-tblScrap[[#This Row],[Recovery credit]]))</f>
        <v>62.42</v>
      </c>
      <c r="P107" s="41">
        <f>IF(tblScrap[[#This Row],[Date]]="","",IF(AND(tblScrap[[#This Row],[Date]]&gt;=FFrom,tblScrap[[#This Row],[Date]]&lt;=FTo,OR(DashPart="",tblScrap[[#This Row],[Part]]=DashPart)),tblScrap[[#This Row],[Date]],""))</f>
        <v>46286</v>
      </c>
      <c r="Q107"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07" s="43" t="s">
        <v>139</v>
      </c>
    </row>
    <row r="108" spans="2:18" x14ac:dyDescent="0.25">
      <c r="B108" s="36">
        <v>46286</v>
      </c>
      <c r="C108" s="28" t="s">
        <v>89</v>
      </c>
      <c r="D108" s="28" t="s">
        <v>100</v>
      </c>
      <c r="E108" s="28" t="s">
        <v>115</v>
      </c>
      <c r="F108" s="37">
        <v>4</v>
      </c>
      <c r="G108" s="38">
        <f>IF(tblScrap[[#This Row],[Date]]="","",IFERROR(INDEX(tblParts[Material],MATCH(tblScrap[[#This Row],[Part]],tblParts[Part],0)),""))</f>
        <v>8.6</v>
      </c>
      <c r="H108" s="38">
        <f>IF(tblScrap[[#This Row],[Date]]="","",SUMIFS(tblStageCosts[Conversion to date],tblStageCosts[Part],tblScrap[[#This Row],[Part]],tblStageCosts[Operation],tblScrap[[#This Row],[Operation]]))</f>
        <v>15.8</v>
      </c>
      <c r="I108" s="39">
        <f>IF(tblScrap[[#This Row],[Date]]="","",IFERROR(INDEX(tblParts[Mass],MATCH(tblScrap[[#This Row],[Part]],tblParts[Part],0)),""))</f>
        <v>2.6</v>
      </c>
      <c r="J108" s="40">
        <f>IF(tblScrap[[#This Row],[Date]]="","",IF(tblScrap[[#This Row],[Mass]]="","",tblScrap[[#This Row],[Scrapped]]*tblScrap[[#This Row],[Mass]]))</f>
        <v>10.4</v>
      </c>
      <c r="K108" s="38">
        <f>IF(tblScrap[[#This Row],[Date]]="","",IF(tblScrap[[#This Row],[Material]]="","",tblScrap[[#This Row],[Scrapped]]*tblScrap[[#This Row],[Material]]))</f>
        <v>34.4</v>
      </c>
      <c r="L108" s="38">
        <f>IF(tblScrap[[#This Row],[Date]]="","",tblScrap[[#This Row],[Scrapped]]*tblScrap[[#This Row],[Conversion to date]])</f>
        <v>63.2</v>
      </c>
      <c r="M108" s="38">
        <f>IF(tblScrap[[#This Row],[Date]]="","",IF(tblScrap[[#This Row],[Mass]]="","",tblScrap[[#This Row],[Scrap mass]]*DisposalKg))</f>
        <v>0.52</v>
      </c>
      <c r="N108" s="38">
        <f>IF(tblScrap[[#This Row],[Date]]="","",IF(tblScrap[[#This Row],[Mass]]="","",tblScrap[[#This Row],[Scrap mass]]*RecoveryKg))</f>
        <v>14.56</v>
      </c>
      <c r="O108" s="38">
        <f>IF(tblScrap[[#This Row],[Date]]="","",IF(tblScrap[[#This Row],[Material]]="","",tblScrap[[#This Row],[Material write-off]]+tblScrap[[#This Row],[Conversion write-off]]+tblScrap[[#This Row],[Disposal]]-tblScrap[[#This Row],[Recovery credit]]))</f>
        <v>83.56</v>
      </c>
      <c r="P108" s="41">
        <f>IF(tblScrap[[#This Row],[Date]]="","",IF(AND(tblScrap[[#This Row],[Date]]&gt;=FFrom,tblScrap[[#This Row],[Date]]&lt;=FTo,OR(DashPart="",tblScrap[[#This Row],[Part]]=DashPart)),tblScrap[[#This Row],[Date]],""))</f>
        <v>46286</v>
      </c>
      <c r="Q108"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08" s="43" t="s">
        <v>139</v>
      </c>
    </row>
    <row r="109" spans="2:18" x14ac:dyDescent="0.25">
      <c r="B109" s="36">
        <v>46286</v>
      </c>
      <c r="C109" s="28" t="s">
        <v>91</v>
      </c>
      <c r="D109" s="28" t="s">
        <v>100</v>
      </c>
      <c r="E109" s="28" t="s">
        <v>117</v>
      </c>
      <c r="F109" s="37">
        <v>6</v>
      </c>
      <c r="G109" s="38">
        <f>IF(tblScrap[[#This Row],[Date]]="","",IFERROR(INDEX(tblParts[Material],MATCH(tblScrap[[#This Row],[Part]],tblParts[Part],0)),""))</f>
        <v>2.05</v>
      </c>
      <c r="H109" s="38">
        <f>IF(tblScrap[[#This Row],[Date]]="","",SUMIFS(tblStageCosts[Conversion to date],tblStageCosts[Part],tblScrap[[#This Row],[Part]],tblStageCosts[Operation],tblScrap[[#This Row],[Operation]]))</f>
        <v>3.1</v>
      </c>
      <c r="I109" s="39">
        <f>IF(tblScrap[[#This Row],[Date]]="","",IFERROR(INDEX(tblParts[Mass],MATCH(tblScrap[[#This Row],[Part]],tblParts[Part],0)),""))</f>
        <v>0.62</v>
      </c>
      <c r="J109" s="40">
        <f>IF(tblScrap[[#This Row],[Date]]="","",IF(tblScrap[[#This Row],[Mass]]="","",tblScrap[[#This Row],[Scrapped]]*tblScrap[[#This Row],[Mass]]))</f>
        <v>3.72</v>
      </c>
      <c r="K109" s="38">
        <f>IF(tblScrap[[#This Row],[Date]]="","",IF(tblScrap[[#This Row],[Material]]="","",tblScrap[[#This Row],[Scrapped]]*tblScrap[[#This Row],[Material]]))</f>
        <v>12.3</v>
      </c>
      <c r="L109" s="38">
        <f>IF(tblScrap[[#This Row],[Date]]="","",tblScrap[[#This Row],[Scrapped]]*tblScrap[[#This Row],[Conversion to date]])</f>
        <v>18.6</v>
      </c>
      <c r="M109" s="38">
        <f>IF(tblScrap[[#This Row],[Date]]="","",IF(tblScrap[[#This Row],[Mass]]="","",tblScrap[[#This Row],[Scrap mass]]*DisposalKg))</f>
        <v>0.186</v>
      </c>
      <c r="N109" s="38">
        <f>IF(tblScrap[[#This Row],[Date]]="","",IF(tblScrap[[#This Row],[Mass]]="","",tblScrap[[#This Row],[Scrap mass]]*RecoveryKg))</f>
        <v>5.208</v>
      </c>
      <c r="O109" s="38">
        <f>IF(tblScrap[[#This Row],[Date]]="","",IF(tblScrap[[#This Row],[Material]]="","",tblScrap[[#This Row],[Material write-off]]+tblScrap[[#This Row],[Conversion write-off]]+tblScrap[[#This Row],[Disposal]]-tblScrap[[#This Row],[Recovery credit]]))</f>
        <v>25.878</v>
      </c>
      <c r="P109" s="41">
        <f>IF(tblScrap[[#This Row],[Date]]="","",IF(AND(tblScrap[[#This Row],[Date]]&gt;=FFrom,tblScrap[[#This Row],[Date]]&lt;=FTo,OR(DashPart="",tblScrap[[#This Row],[Part]]=DashPart)),tblScrap[[#This Row],[Date]],""))</f>
        <v>46286</v>
      </c>
      <c r="Q109"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09" s="43" t="s">
        <v>139</v>
      </c>
    </row>
    <row r="110" spans="2:18" x14ac:dyDescent="0.25">
      <c r="B110" s="36">
        <v>46286</v>
      </c>
      <c r="C110" s="28" t="s">
        <v>93</v>
      </c>
      <c r="D110" s="28" t="s">
        <v>96</v>
      </c>
      <c r="E110" s="28" t="s">
        <v>109</v>
      </c>
      <c r="F110" s="37">
        <v>7</v>
      </c>
      <c r="G110" s="38">
        <f>IF(tblScrap[[#This Row],[Date]]="","",IFERROR(INDEX(tblParts[Material],MATCH(tblScrap[[#This Row],[Part]],tblParts[Part],0)),""))</f>
        <v>3.65</v>
      </c>
      <c r="H110" s="38">
        <f>IF(tblScrap[[#This Row],[Date]]="","",SUMIFS(tblStageCosts[Conversion to date],tblStageCosts[Part],tblScrap[[#This Row],[Part]],tblStageCosts[Operation],tblScrap[[#This Row],[Operation]]))</f>
        <v>2.6</v>
      </c>
      <c r="I110" s="39">
        <f>IF(tblScrap[[#This Row],[Date]]="","",IFERROR(INDEX(tblParts[Mass],MATCH(tblScrap[[#This Row],[Part]],tblParts[Part],0)),""))</f>
        <v>1.1</v>
      </c>
      <c r="J110" s="40">
        <f>IF(tblScrap[[#This Row],[Date]]="","",IF(tblScrap[[#This Row],[Mass]]="","",tblScrap[[#This Row],[Scrapped]]*tblScrap[[#This Row],[Mass]]))</f>
        <v>7.7</v>
      </c>
      <c r="K110" s="38">
        <f>IF(tblScrap[[#This Row],[Date]]="","",IF(tblScrap[[#This Row],[Material]]="","",tblScrap[[#This Row],[Scrapped]]*tblScrap[[#This Row],[Material]]))</f>
        <v>25.55</v>
      </c>
      <c r="L110" s="38">
        <f>IF(tblScrap[[#This Row],[Date]]="","",tblScrap[[#This Row],[Scrapped]]*tblScrap[[#This Row],[Conversion to date]])</f>
        <v>18.2</v>
      </c>
      <c r="M110" s="38">
        <f>IF(tblScrap[[#This Row],[Date]]="","",IF(tblScrap[[#This Row],[Mass]]="","",tblScrap[[#This Row],[Scrap mass]]*DisposalKg))</f>
        <v>0.385</v>
      </c>
      <c r="N110" s="38">
        <f>IF(tblScrap[[#This Row],[Date]]="","",IF(tblScrap[[#This Row],[Mass]]="","",tblScrap[[#This Row],[Scrap mass]]*RecoveryKg))</f>
        <v>10.78</v>
      </c>
      <c r="O110" s="38">
        <f>IF(tblScrap[[#This Row],[Date]]="","",IF(tblScrap[[#This Row],[Material]]="","",tblScrap[[#This Row],[Material write-off]]+tblScrap[[#This Row],[Conversion write-off]]+tblScrap[[#This Row],[Disposal]]-tblScrap[[#This Row],[Recovery credit]]))</f>
        <v>33.355</v>
      </c>
      <c r="P110" s="41">
        <f>IF(tblScrap[[#This Row],[Date]]="","",IF(AND(tblScrap[[#This Row],[Date]]&gt;=FFrom,tblScrap[[#This Row],[Date]]&lt;=FTo,OR(DashPart="",tblScrap[[#This Row],[Part]]=DashPart)),tblScrap[[#This Row],[Date]],""))</f>
        <v>46286</v>
      </c>
      <c r="Q110"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10" s="43" t="s">
        <v>139</v>
      </c>
    </row>
    <row r="111" spans="2:18" x14ac:dyDescent="0.25">
      <c r="B111" s="36">
        <v>46287</v>
      </c>
      <c r="C111" s="28" t="s">
        <v>89</v>
      </c>
      <c r="D111" s="28" t="s">
        <v>96</v>
      </c>
      <c r="E111" s="28" t="s">
        <v>109</v>
      </c>
      <c r="F111" s="37">
        <v>8</v>
      </c>
      <c r="G111" s="38">
        <f>IF(tblScrap[[#This Row],[Date]]="","",IFERROR(INDEX(tblParts[Material],MATCH(tblScrap[[#This Row],[Part]],tblParts[Part],0)),""))</f>
        <v>8.6</v>
      </c>
      <c r="H111" s="38">
        <f>IF(tblScrap[[#This Row],[Date]]="","",SUMIFS(tblStageCosts[Conversion to date],tblStageCosts[Part],tblScrap[[#This Row],[Part]],tblStageCosts[Operation],tblScrap[[#This Row],[Operation]]))</f>
        <v>5.4</v>
      </c>
      <c r="I111" s="39">
        <f>IF(tblScrap[[#This Row],[Date]]="","",IFERROR(INDEX(tblParts[Mass],MATCH(tblScrap[[#This Row],[Part]],tblParts[Part],0)),""))</f>
        <v>2.6</v>
      </c>
      <c r="J111" s="40">
        <f>IF(tblScrap[[#This Row],[Date]]="","",IF(tblScrap[[#This Row],[Mass]]="","",tblScrap[[#This Row],[Scrapped]]*tblScrap[[#This Row],[Mass]]))</f>
        <v>20.8</v>
      </c>
      <c r="K111" s="38">
        <f>IF(tblScrap[[#This Row],[Date]]="","",IF(tblScrap[[#This Row],[Material]]="","",tblScrap[[#This Row],[Scrapped]]*tblScrap[[#This Row],[Material]]))</f>
        <v>68.8</v>
      </c>
      <c r="L111" s="38">
        <f>IF(tblScrap[[#This Row],[Date]]="","",tblScrap[[#This Row],[Scrapped]]*tblScrap[[#This Row],[Conversion to date]])</f>
        <v>43.2</v>
      </c>
      <c r="M111" s="38">
        <f>IF(tblScrap[[#This Row],[Date]]="","",IF(tblScrap[[#This Row],[Mass]]="","",tblScrap[[#This Row],[Scrap mass]]*DisposalKg))</f>
        <v>1.04</v>
      </c>
      <c r="N111" s="38">
        <f>IF(tblScrap[[#This Row],[Date]]="","",IF(tblScrap[[#This Row],[Mass]]="","",tblScrap[[#This Row],[Scrap mass]]*RecoveryKg))</f>
        <v>29.12</v>
      </c>
      <c r="O111" s="38">
        <f>IF(tblScrap[[#This Row],[Date]]="","",IF(tblScrap[[#This Row],[Material]]="","",tblScrap[[#This Row],[Material write-off]]+tblScrap[[#This Row],[Conversion write-off]]+tblScrap[[#This Row],[Disposal]]-tblScrap[[#This Row],[Recovery credit]]))</f>
        <v>83.92</v>
      </c>
      <c r="P111" s="41">
        <f>IF(tblScrap[[#This Row],[Date]]="","",IF(AND(tblScrap[[#This Row],[Date]]&gt;=FFrom,tblScrap[[#This Row],[Date]]&lt;=FTo,OR(DashPart="",tblScrap[[#This Row],[Part]]=DashPart)),tblScrap[[#This Row],[Date]],""))</f>
        <v>46287</v>
      </c>
      <c r="Q111"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11" s="43" t="s">
        <v>139</v>
      </c>
    </row>
    <row r="112" spans="2:18" x14ac:dyDescent="0.25">
      <c r="B112" s="36">
        <v>46287</v>
      </c>
      <c r="C112" s="28" t="s">
        <v>91</v>
      </c>
      <c r="D112" s="28" t="s">
        <v>100</v>
      </c>
      <c r="E112" s="28" t="s">
        <v>117</v>
      </c>
      <c r="F112" s="37">
        <v>7</v>
      </c>
      <c r="G112" s="38">
        <f>IF(tblScrap[[#This Row],[Date]]="","",IFERROR(INDEX(tblParts[Material],MATCH(tblScrap[[#This Row],[Part]],tblParts[Part],0)),""))</f>
        <v>2.05</v>
      </c>
      <c r="H112" s="38">
        <f>IF(tblScrap[[#This Row],[Date]]="","",SUMIFS(tblStageCosts[Conversion to date],tblStageCosts[Part],tblScrap[[#This Row],[Part]],tblStageCosts[Operation],tblScrap[[#This Row],[Operation]]))</f>
        <v>3.1</v>
      </c>
      <c r="I112" s="39">
        <f>IF(tblScrap[[#This Row],[Date]]="","",IFERROR(INDEX(tblParts[Mass],MATCH(tblScrap[[#This Row],[Part]],tblParts[Part],0)),""))</f>
        <v>0.62</v>
      </c>
      <c r="J112" s="40">
        <f>IF(tblScrap[[#This Row],[Date]]="","",IF(tblScrap[[#This Row],[Mass]]="","",tblScrap[[#This Row],[Scrapped]]*tblScrap[[#This Row],[Mass]]))</f>
        <v>4.34</v>
      </c>
      <c r="K112" s="38">
        <f>IF(tblScrap[[#This Row],[Date]]="","",IF(tblScrap[[#This Row],[Material]]="","",tblScrap[[#This Row],[Scrapped]]*tblScrap[[#This Row],[Material]]))</f>
        <v>14.35</v>
      </c>
      <c r="L112" s="38">
        <f>IF(tblScrap[[#This Row],[Date]]="","",tblScrap[[#This Row],[Scrapped]]*tblScrap[[#This Row],[Conversion to date]])</f>
        <v>21.7</v>
      </c>
      <c r="M112" s="38">
        <f>IF(tblScrap[[#This Row],[Date]]="","",IF(tblScrap[[#This Row],[Mass]]="","",tblScrap[[#This Row],[Scrap mass]]*DisposalKg))</f>
        <v>0.217</v>
      </c>
      <c r="N112" s="38">
        <f>IF(tblScrap[[#This Row],[Date]]="","",IF(tblScrap[[#This Row],[Mass]]="","",tblScrap[[#This Row],[Scrap mass]]*RecoveryKg))</f>
        <v>6.076</v>
      </c>
      <c r="O112" s="38">
        <f>IF(tblScrap[[#This Row],[Date]]="","",IF(tblScrap[[#This Row],[Material]]="","",tblScrap[[#This Row],[Material write-off]]+tblScrap[[#This Row],[Conversion write-off]]+tblScrap[[#This Row],[Disposal]]-tblScrap[[#This Row],[Recovery credit]]))</f>
        <v>30.191</v>
      </c>
      <c r="P112" s="41">
        <f>IF(tblScrap[[#This Row],[Date]]="","",IF(AND(tblScrap[[#This Row],[Date]]&gt;=FFrom,tblScrap[[#This Row],[Date]]&lt;=FTo,OR(DashPart="",tblScrap[[#This Row],[Part]]=DashPart)),tblScrap[[#This Row],[Date]],""))</f>
        <v>46287</v>
      </c>
      <c r="Q112"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12" s="43" t="s">
        <v>139</v>
      </c>
    </row>
    <row r="113" spans="2:18" x14ac:dyDescent="0.25">
      <c r="B113" s="36">
        <v>46287</v>
      </c>
      <c r="C113" s="28" t="s">
        <v>93</v>
      </c>
      <c r="D113" s="28" t="s">
        <v>96</v>
      </c>
      <c r="E113" s="28" t="s">
        <v>109</v>
      </c>
      <c r="F113" s="37">
        <v>11</v>
      </c>
      <c r="G113" s="38">
        <f>IF(tblScrap[[#This Row],[Date]]="","",IFERROR(INDEX(tblParts[Material],MATCH(tblScrap[[#This Row],[Part]],tblParts[Part],0)),""))</f>
        <v>3.65</v>
      </c>
      <c r="H113" s="38">
        <f>IF(tblScrap[[#This Row],[Date]]="","",SUMIFS(tblStageCosts[Conversion to date],tblStageCosts[Part],tblScrap[[#This Row],[Part]],tblStageCosts[Operation],tblScrap[[#This Row],[Operation]]))</f>
        <v>2.6</v>
      </c>
      <c r="I113" s="39">
        <f>IF(tblScrap[[#This Row],[Date]]="","",IFERROR(INDEX(tblParts[Mass],MATCH(tblScrap[[#This Row],[Part]],tblParts[Part],0)),""))</f>
        <v>1.1</v>
      </c>
      <c r="J113" s="40">
        <f>IF(tblScrap[[#This Row],[Date]]="","",IF(tblScrap[[#This Row],[Mass]]="","",tblScrap[[#This Row],[Scrapped]]*tblScrap[[#This Row],[Mass]]))</f>
        <v>12.1</v>
      </c>
      <c r="K113" s="38">
        <f>IF(tblScrap[[#This Row],[Date]]="","",IF(tblScrap[[#This Row],[Material]]="","",tblScrap[[#This Row],[Scrapped]]*tblScrap[[#This Row],[Material]]))</f>
        <v>40.15</v>
      </c>
      <c r="L113" s="38">
        <f>IF(tblScrap[[#This Row],[Date]]="","",tblScrap[[#This Row],[Scrapped]]*tblScrap[[#This Row],[Conversion to date]])</f>
        <v>28.6</v>
      </c>
      <c r="M113" s="38">
        <f>IF(tblScrap[[#This Row],[Date]]="","",IF(tblScrap[[#This Row],[Mass]]="","",tblScrap[[#This Row],[Scrap mass]]*DisposalKg))</f>
        <v>0.605</v>
      </c>
      <c r="N113" s="38">
        <f>IF(tblScrap[[#This Row],[Date]]="","",IF(tblScrap[[#This Row],[Mass]]="","",tblScrap[[#This Row],[Scrap mass]]*RecoveryKg))</f>
        <v>16.94</v>
      </c>
      <c r="O113" s="38">
        <f>IF(tblScrap[[#This Row],[Date]]="","",IF(tblScrap[[#This Row],[Material]]="","",tblScrap[[#This Row],[Material write-off]]+tblScrap[[#This Row],[Conversion write-off]]+tblScrap[[#This Row],[Disposal]]-tblScrap[[#This Row],[Recovery credit]]))</f>
        <v>52.415</v>
      </c>
      <c r="P113" s="41">
        <f>IF(tblScrap[[#This Row],[Date]]="","",IF(AND(tblScrap[[#This Row],[Date]]&gt;=FFrom,tblScrap[[#This Row],[Date]]&lt;=FTo,OR(DashPart="",tblScrap[[#This Row],[Part]]=DashPart)),tblScrap[[#This Row],[Date]],""))</f>
        <v>46287</v>
      </c>
      <c r="Q113"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13" s="43" t="s">
        <v>139</v>
      </c>
    </row>
    <row r="114" spans="2:18" x14ac:dyDescent="0.25">
      <c r="B114" s="36">
        <v>46288</v>
      </c>
      <c r="C114" s="28" t="s">
        <v>89</v>
      </c>
      <c r="D114" s="28" t="s">
        <v>102</v>
      </c>
      <c r="E114" s="28" t="s">
        <v>113</v>
      </c>
      <c r="F114" s="37">
        <v>2</v>
      </c>
      <c r="G114" s="38">
        <f>IF(tblScrap[[#This Row],[Date]]="","",IFERROR(INDEX(tblParts[Material],MATCH(tblScrap[[#This Row],[Part]],tblParts[Part],0)),""))</f>
        <v>8.6</v>
      </c>
      <c r="H114" s="38">
        <f>IF(tblScrap[[#This Row],[Date]]="","",SUMIFS(tblStageCosts[Conversion to date],tblStageCosts[Part],tblScrap[[#This Row],[Part]],tblStageCosts[Operation],tblScrap[[#This Row],[Operation]]))</f>
        <v>16.9</v>
      </c>
      <c r="I114" s="39">
        <f>IF(tblScrap[[#This Row],[Date]]="","",IFERROR(INDEX(tblParts[Mass],MATCH(tblScrap[[#This Row],[Part]],tblParts[Part],0)),""))</f>
        <v>2.6</v>
      </c>
      <c r="J114" s="40">
        <f>IF(tblScrap[[#This Row],[Date]]="","",IF(tblScrap[[#This Row],[Mass]]="","",tblScrap[[#This Row],[Scrapped]]*tblScrap[[#This Row],[Mass]]))</f>
        <v>5.2</v>
      </c>
      <c r="K114" s="38">
        <f>IF(tblScrap[[#This Row],[Date]]="","",IF(tblScrap[[#This Row],[Material]]="","",tblScrap[[#This Row],[Scrapped]]*tblScrap[[#This Row],[Material]]))</f>
        <v>17.2</v>
      </c>
      <c r="L114" s="38">
        <f>IF(tblScrap[[#This Row],[Date]]="","",tblScrap[[#This Row],[Scrapped]]*tblScrap[[#This Row],[Conversion to date]])</f>
        <v>33.8</v>
      </c>
      <c r="M114" s="38">
        <f>IF(tblScrap[[#This Row],[Date]]="","",IF(tblScrap[[#This Row],[Mass]]="","",tblScrap[[#This Row],[Scrap mass]]*DisposalKg))</f>
        <v>0.26</v>
      </c>
      <c r="N114" s="38">
        <f>IF(tblScrap[[#This Row],[Date]]="","",IF(tblScrap[[#This Row],[Mass]]="","",tblScrap[[#This Row],[Scrap mass]]*RecoveryKg))</f>
        <v>7.28</v>
      </c>
      <c r="O114" s="38">
        <f>IF(tblScrap[[#This Row],[Date]]="","",IF(tblScrap[[#This Row],[Material]]="","",tblScrap[[#This Row],[Material write-off]]+tblScrap[[#This Row],[Conversion write-off]]+tblScrap[[#This Row],[Disposal]]-tblScrap[[#This Row],[Recovery credit]]))</f>
        <v>43.98</v>
      </c>
      <c r="P114" s="41">
        <f>IF(tblScrap[[#This Row],[Date]]="","",IF(AND(tblScrap[[#This Row],[Date]]&gt;=FFrom,tblScrap[[#This Row],[Date]]&lt;=FTo,OR(DashPart="",tblScrap[[#This Row],[Part]]=DashPart)),tblScrap[[#This Row],[Date]],""))</f>
        <v>46288</v>
      </c>
      <c r="Q114"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14" s="43" t="s">
        <v>139</v>
      </c>
    </row>
    <row r="115" spans="2:18" x14ac:dyDescent="0.25">
      <c r="B115" s="36">
        <v>46288</v>
      </c>
      <c r="C115" s="28" t="s">
        <v>91</v>
      </c>
      <c r="D115" s="28" t="s">
        <v>96</v>
      </c>
      <c r="E115" s="28" t="s">
        <v>111</v>
      </c>
      <c r="F115" s="37">
        <v>14</v>
      </c>
      <c r="G115" s="38">
        <f>IF(tblScrap[[#This Row],[Date]]="","",IFERROR(INDEX(tblParts[Material],MATCH(tblScrap[[#This Row],[Part]],tblParts[Part],0)),""))</f>
        <v>2.05</v>
      </c>
      <c r="H115" s="38">
        <f>IF(tblScrap[[#This Row],[Date]]="","",SUMIFS(tblStageCosts[Conversion to date],tblStageCosts[Part],tblScrap[[#This Row],[Part]],tblStageCosts[Operation],tblScrap[[#This Row],[Operation]]))</f>
        <v>1.3</v>
      </c>
      <c r="I115" s="39">
        <f>IF(tblScrap[[#This Row],[Date]]="","",IFERROR(INDEX(tblParts[Mass],MATCH(tblScrap[[#This Row],[Part]],tblParts[Part],0)),""))</f>
        <v>0.62</v>
      </c>
      <c r="J115" s="40">
        <f>IF(tblScrap[[#This Row],[Date]]="","",IF(tblScrap[[#This Row],[Mass]]="","",tblScrap[[#This Row],[Scrapped]]*tblScrap[[#This Row],[Mass]]))</f>
        <v>8.68</v>
      </c>
      <c r="K115" s="38">
        <f>IF(tblScrap[[#This Row],[Date]]="","",IF(tblScrap[[#This Row],[Material]]="","",tblScrap[[#This Row],[Scrapped]]*tblScrap[[#This Row],[Material]]))</f>
        <v>28.7</v>
      </c>
      <c r="L115" s="38">
        <f>IF(tblScrap[[#This Row],[Date]]="","",tblScrap[[#This Row],[Scrapped]]*tblScrap[[#This Row],[Conversion to date]])</f>
        <v>18.2</v>
      </c>
      <c r="M115" s="38">
        <f>IF(tblScrap[[#This Row],[Date]]="","",IF(tblScrap[[#This Row],[Mass]]="","",tblScrap[[#This Row],[Scrap mass]]*DisposalKg))</f>
        <v>0.434</v>
      </c>
      <c r="N115" s="38">
        <f>IF(tblScrap[[#This Row],[Date]]="","",IF(tblScrap[[#This Row],[Mass]]="","",tblScrap[[#This Row],[Scrap mass]]*RecoveryKg))</f>
        <v>12.152</v>
      </c>
      <c r="O115" s="38">
        <f>IF(tblScrap[[#This Row],[Date]]="","",IF(tblScrap[[#This Row],[Material]]="","",tblScrap[[#This Row],[Material write-off]]+tblScrap[[#This Row],[Conversion write-off]]+tblScrap[[#This Row],[Disposal]]-tblScrap[[#This Row],[Recovery credit]]))</f>
        <v>35.182</v>
      </c>
      <c r="P115" s="41">
        <f>IF(tblScrap[[#This Row],[Date]]="","",IF(AND(tblScrap[[#This Row],[Date]]&gt;=FFrom,tblScrap[[#This Row],[Date]]&lt;=FTo,OR(DashPart="",tblScrap[[#This Row],[Part]]=DashPart)),tblScrap[[#This Row],[Date]],""))</f>
        <v>46288</v>
      </c>
      <c r="Q115"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15" s="43" t="s">
        <v>139</v>
      </c>
    </row>
    <row r="116" spans="2:18" x14ac:dyDescent="0.25">
      <c r="B116" s="36">
        <v>46288</v>
      </c>
      <c r="C116" s="28" t="s">
        <v>91</v>
      </c>
      <c r="D116" s="28" t="s">
        <v>100</v>
      </c>
      <c r="E116" s="28" t="s">
        <v>117</v>
      </c>
      <c r="F116" s="37">
        <v>10</v>
      </c>
      <c r="G116" s="38">
        <f>IF(tblScrap[[#This Row],[Date]]="","",IFERROR(INDEX(tblParts[Material],MATCH(tblScrap[[#This Row],[Part]],tblParts[Part],0)),""))</f>
        <v>2.05</v>
      </c>
      <c r="H116" s="38">
        <f>IF(tblScrap[[#This Row],[Date]]="","",SUMIFS(tblStageCosts[Conversion to date],tblStageCosts[Part],tblScrap[[#This Row],[Part]],tblStageCosts[Operation],tblScrap[[#This Row],[Operation]]))</f>
        <v>3.1</v>
      </c>
      <c r="I116" s="39">
        <f>IF(tblScrap[[#This Row],[Date]]="","",IFERROR(INDEX(tblParts[Mass],MATCH(tblScrap[[#This Row],[Part]],tblParts[Part],0)),""))</f>
        <v>0.62</v>
      </c>
      <c r="J116" s="40">
        <f>IF(tblScrap[[#This Row],[Date]]="","",IF(tblScrap[[#This Row],[Mass]]="","",tblScrap[[#This Row],[Scrapped]]*tblScrap[[#This Row],[Mass]]))</f>
        <v>6.2</v>
      </c>
      <c r="K116" s="38">
        <f>IF(tblScrap[[#This Row],[Date]]="","",IF(tblScrap[[#This Row],[Material]]="","",tblScrap[[#This Row],[Scrapped]]*tblScrap[[#This Row],[Material]]))</f>
        <v>20.5</v>
      </c>
      <c r="L116" s="38">
        <f>IF(tblScrap[[#This Row],[Date]]="","",tblScrap[[#This Row],[Scrapped]]*tblScrap[[#This Row],[Conversion to date]])</f>
        <v>31</v>
      </c>
      <c r="M116" s="38">
        <f>IF(tblScrap[[#This Row],[Date]]="","",IF(tblScrap[[#This Row],[Mass]]="","",tblScrap[[#This Row],[Scrap mass]]*DisposalKg))</f>
        <v>0.31</v>
      </c>
      <c r="N116" s="38">
        <f>IF(tblScrap[[#This Row],[Date]]="","",IF(tblScrap[[#This Row],[Mass]]="","",tblScrap[[#This Row],[Scrap mass]]*RecoveryKg))</f>
        <v>8.68</v>
      </c>
      <c r="O116" s="38">
        <f>IF(tblScrap[[#This Row],[Date]]="","",IF(tblScrap[[#This Row],[Material]]="","",tblScrap[[#This Row],[Material write-off]]+tblScrap[[#This Row],[Conversion write-off]]+tblScrap[[#This Row],[Disposal]]-tblScrap[[#This Row],[Recovery credit]]))</f>
        <v>43.13</v>
      </c>
      <c r="P116" s="41">
        <f>IF(tblScrap[[#This Row],[Date]]="","",IF(AND(tblScrap[[#This Row],[Date]]&gt;=FFrom,tblScrap[[#This Row],[Date]]&lt;=FTo,OR(DashPart="",tblScrap[[#This Row],[Part]]=DashPart)),tblScrap[[#This Row],[Date]],""))</f>
        <v>46288</v>
      </c>
      <c r="Q116"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16" s="43" t="s">
        <v>139</v>
      </c>
    </row>
    <row r="117" spans="2:18" x14ac:dyDescent="0.25">
      <c r="B117" s="36">
        <v>46288</v>
      </c>
      <c r="C117" s="28" t="s">
        <v>93</v>
      </c>
      <c r="D117" s="28" t="s">
        <v>104</v>
      </c>
      <c r="E117" s="28" t="s">
        <v>123</v>
      </c>
      <c r="F117" s="37">
        <v>3</v>
      </c>
      <c r="G117" s="38">
        <f>IF(tblScrap[[#This Row],[Date]]="","",IFERROR(INDEX(tblParts[Material],MATCH(tblScrap[[#This Row],[Part]],tblParts[Part],0)),""))</f>
        <v>3.65</v>
      </c>
      <c r="H117" s="38">
        <f>IF(tblScrap[[#This Row],[Date]]="","",SUMIFS(tblStageCosts[Conversion to date],tblStageCosts[Part],tblScrap[[#This Row],[Part]],tblStageCosts[Operation],tblScrap[[#This Row],[Operation]]))</f>
        <v>7.7</v>
      </c>
      <c r="I117" s="39">
        <f>IF(tblScrap[[#This Row],[Date]]="","",IFERROR(INDEX(tblParts[Mass],MATCH(tblScrap[[#This Row],[Part]],tblParts[Part],0)),""))</f>
        <v>1.1</v>
      </c>
      <c r="J117" s="40">
        <f>IF(tblScrap[[#This Row],[Date]]="","",IF(tblScrap[[#This Row],[Mass]]="","",tblScrap[[#This Row],[Scrapped]]*tblScrap[[#This Row],[Mass]]))</f>
        <v>3.3</v>
      </c>
      <c r="K117" s="38">
        <f>IF(tblScrap[[#This Row],[Date]]="","",IF(tblScrap[[#This Row],[Material]]="","",tblScrap[[#This Row],[Scrapped]]*tblScrap[[#This Row],[Material]]))</f>
        <v>10.95</v>
      </c>
      <c r="L117" s="38">
        <f>IF(tblScrap[[#This Row],[Date]]="","",tblScrap[[#This Row],[Scrapped]]*tblScrap[[#This Row],[Conversion to date]])</f>
        <v>23.1</v>
      </c>
      <c r="M117" s="38">
        <f>IF(tblScrap[[#This Row],[Date]]="","",IF(tblScrap[[#This Row],[Mass]]="","",tblScrap[[#This Row],[Scrap mass]]*DisposalKg))</f>
        <v>0.165</v>
      </c>
      <c r="N117" s="38">
        <f>IF(tblScrap[[#This Row],[Date]]="","",IF(tblScrap[[#This Row],[Mass]]="","",tblScrap[[#This Row],[Scrap mass]]*RecoveryKg))</f>
        <v>4.62</v>
      </c>
      <c r="O117" s="38">
        <f>IF(tblScrap[[#This Row],[Date]]="","",IF(tblScrap[[#This Row],[Material]]="","",tblScrap[[#This Row],[Material write-off]]+tblScrap[[#This Row],[Conversion write-off]]+tblScrap[[#This Row],[Disposal]]-tblScrap[[#This Row],[Recovery credit]]))</f>
        <v>29.595</v>
      </c>
      <c r="P117" s="41">
        <f>IF(tblScrap[[#This Row],[Date]]="","",IF(AND(tblScrap[[#This Row],[Date]]&gt;=FFrom,tblScrap[[#This Row],[Date]]&lt;=FTo,OR(DashPart="",tblScrap[[#This Row],[Part]]=DashPart)),tblScrap[[#This Row],[Date]],""))</f>
        <v>46288</v>
      </c>
      <c r="Q117"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17" s="43" t="s">
        <v>140</v>
      </c>
    </row>
    <row r="118" spans="2:18" x14ac:dyDescent="0.25">
      <c r="B118" s="36">
        <v>46289</v>
      </c>
      <c r="C118" s="28" t="s">
        <v>87</v>
      </c>
      <c r="D118" s="28" t="s">
        <v>96</v>
      </c>
      <c r="E118" s="28" t="s">
        <v>111</v>
      </c>
      <c r="F118" s="37">
        <v>8</v>
      </c>
      <c r="G118" s="38">
        <f>IF(tblScrap[[#This Row],[Date]]="","",IFERROR(INDEX(tblParts[Material],MATCH(tblScrap[[#This Row],[Part]],tblParts[Part],0)),""))</f>
        <v>6.1</v>
      </c>
      <c r="H118" s="38">
        <f>IF(tblScrap[[#This Row],[Date]]="","",SUMIFS(tblStageCosts[Conversion to date],tblStageCosts[Part],tblScrap[[#This Row],[Part]],tblStageCosts[Operation],tblScrap[[#This Row],[Operation]]))</f>
        <v>4.2</v>
      </c>
      <c r="I118" s="39">
        <f>IF(tblScrap[[#This Row],[Date]]="","",IFERROR(INDEX(tblParts[Mass],MATCH(tblScrap[[#This Row],[Part]],tblParts[Part],0)),""))</f>
        <v>1.85</v>
      </c>
      <c r="J118" s="40">
        <f>IF(tblScrap[[#This Row],[Date]]="","",IF(tblScrap[[#This Row],[Mass]]="","",tblScrap[[#This Row],[Scrapped]]*tblScrap[[#This Row],[Mass]]))</f>
        <v>14.8</v>
      </c>
      <c r="K118" s="38">
        <f>IF(tblScrap[[#This Row],[Date]]="","",IF(tblScrap[[#This Row],[Material]]="","",tblScrap[[#This Row],[Scrapped]]*tblScrap[[#This Row],[Material]]))</f>
        <v>48.8</v>
      </c>
      <c r="L118" s="38">
        <f>IF(tblScrap[[#This Row],[Date]]="","",tblScrap[[#This Row],[Scrapped]]*tblScrap[[#This Row],[Conversion to date]])</f>
        <v>33.6</v>
      </c>
      <c r="M118" s="38">
        <f>IF(tblScrap[[#This Row],[Date]]="","",IF(tblScrap[[#This Row],[Mass]]="","",tblScrap[[#This Row],[Scrap mass]]*DisposalKg))</f>
        <v>0.74</v>
      </c>
      <c r="N118" s="38">
        <f>IF(tblScrap[[#This Row],[Date]]="","",IF(tblScrap[[#This Row],[Mass]]="","",tblScrap[[#This Row],[Scrap mass]]*RecoveryKg))</f>
        <v>20.72</v>
      </c>
      <c r="O118" s="38">
        <f>IF(tblScrap[[#This Row],[Date]]="","",IF(tblScrap[[#This Row],[Material]]="","",tblScrap[[#This Row],[Material write-off]]+tblScrap[[#This Row],[Conversion write-off]]+tblScrap[[#This Row],[Disposal]]-tblScrap[[#This Row],[Recovery credit]]))</f>
        <v>62.42</v>
      </c>
      <c r="P118" s="41">
        <f>IF(tblScrap[[#This Row],[Date]]="","",IF(AND(tblScrap[[#This Row],[Date]]&gt;=FFrom,tblScrap[[#This Row],[Date]]&lt;=FTo,OR(DashPart="",tblScrap[[#This Row],[Part]]=DashPart)),tblScrap[[#This Row],[Date]],""))</f>
        <v>46289</v>
      </c>
      <c r="Q118"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18" s="43" t="s">
        <v>139</v>
      </c>
    </row>
    <row r="119" spans="2:18" x14ac:dyDescent="0.25">
      <c r="B119" s="36">
        <v>46289</v>
      </c>
      <c r="C119" s="28" t="s">
        <v>87</v>
      </c>
      <c r="D119" s="28" t="s">
        <v>102</v>
      </c>
      <c r="E119" s="28" t="s">
        <v>113</v>
      </c>
      <c r="F119" s="37">
        <v>2</v>
      </c>
      <c r="G119" s="38">
        <f>IF(tblScrap[[#This Row],[Date]]="","",IFERROR(INDEX(tblParts[Material],MATCH(tblScrap[[#This Row],[Part]],tblParts[Part],0)),""))</f>
        <v>6.1</v>
      </c>
      <c r="H119" s="38">
        <f>IF(tblScrap[[#This Row],[Date]]="","",SUMIFS(tblStageCosts[Conversion to date],tblStageCosts[Part],tblScrap[[#This Row],[Part]],tblStageCosts[Operation],tblScrap[[#This Row],[Operation]]))</f>
        <v>12.4</v>
      </c>
      <c r="I119" s="39">
        <f>IF(tblScrap[[#This Row],[Date]]="","",IFERROR(INDEX(tblParts[Mass],MATCH(tblScrap[[#This Row],[Part]],tblParts[Part],0)),""))</f>
        <v>1.85</v>
      </c>
      <c r="J119" s="40">
        <f>IF(tblScrap[[#This Row],[Date]]="","",IF(tblScrap[[#This Row],[Mass]]="","",tblScrap[[#This Row],[Scrapped]]*tblScrap[[#This Row],[Mass]]))</f>
        <v>3.7</v>
      </c>
      <c r="K119" s="38">
        <f>IF(tblScrap[[#This Row],[Date]]="","",IF(tblScrap[[#This Row],[Material]]="","",tblScrap[[#This Row],[Scrapped]]*tblScrap[[#This Row],[Material]]))</f>
        <v>12.2</v>
      </c>
      <c r="L119" s="38">
        <f>IF(tblScrap[[#This Row],[Date]]="","",tblScrap[[#This Row],[Scrapped]]*tblScrap[[#This Row],[Conversion to date]])</f>
        <v>24.8</v>
      </c>
      <c r="M119" s="38">
        <f>IF(tblScrap[[#This Row],[Date]]="","",IF(tblScrap[[#This Row],[Mass]]="","",tblScrap[[#This Row],[Scrap mass]]*DisposalKg))</f>
        <v>0.185</v>
      </c>
      <c r="N119" s="38">
        <f>IF(tblScrap[[#This Row],[Date]]="","",IF(tblScrap[[#This Row],[Mass]]="","",tblScrap[[#This Row],[Scrap mass]]*RecoveryKg))</f>
        <v>5.18</v>
      </c>
      <c r="O119" s="38">
        <f>IF(tblScrap[[#This Row],[Date]]="","",IF(tblScrap[[#This Row],[Material]]="","",tblScrap[[#This Row],[Material write-off]]+tblScrap[[#This Row],[Conversion write-off]]+tblScrap[[#This Row],[Disposal]]-tblScrap[[#This Row],[Recovery credit]]))</f>
        <v>32.005</v>
      </c>
      <c r="P119" s="41">
        <f>IF(tblScrap[[#This Row],[Date]]="","",IF(AND(tblScrap[[#This Row],[Date]]&gt;=FFrom,tblScrap[[#This Row],[Date]]&lt;=FTo,OR(DashPart="",tblScrap[[#This Row],[Part]]=DashPart)),tblScrap[[#This Row],[Date]],""))</f>
        <v>46289</v>
      </c>
      <c r="Q119"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19" s="43" t="s">
        <v>139</v>
      </c>
    </row>
    <row r="120" spans="2:18" x14ac:dyDescent="0.25">
      <c r="B120" s="36">
        <v>46289</v>
      </c>
      <c r="C120" s="28" t="s">
        <v>89</v>
      </c>
      <c r="D120" s="28" t="s">
        <v>102</v>
      </c>
      <c r="E120" s="28" t="s">
        <v>113</v>
      </c>
      <c r="F120" s="37">
        <v>3</v>
      </c>
      <c r="G120" s="38">
        <f>IF(tblScrap[[#This Row],[Date]]="","",IFERROR(INDEX(tblParts[Material],MATCH(tblScrap[[#This Row],[Part]],tblParts[Part],0)),""))</f>
        <v>8.6</v>
      </c>
      <c r="H120" s="38">
        <f>IF(tblScrap[[#This Row],[Date]]="","",SUMIFS(tblStageCosts[Conversion to date],tblStageCosts[Part],tblScrap[[#This Row],[Part]],tblStageCosts[Operation],tblScrap[[#This Row],[Operation]]))</f>
        <v>16.9</v>
      </c>
      <c r="I120" s="39">
        <f>IF(tblScrap[[#This Row],[Date]]="","",IFERROR(INDEX(tblParts[Mass],MATCH(tblScrap[[#This Row],[Part]],tblParts[Part],0)),""))</f>
        <v>2.6</v>
      </c>
      <c r="J120" s="40">
        <f>IF(tblScrap[[#This Row],[Date]]="","",IF(tblScrap[[#This Row],[Mass]]="","",tblScrap[[#This Row],[Scrapped]]*tblScrap[[#This Row],[Mass]]))</f>
        <v>7.8</v>
      </c>
      <c r="K120" s="38">
        <f>IF(tblScrap[[#This Row],[Date]]="","",IF(tblScrap[[#This Row],[Material]]="","",tblScrap[[#This Row],[Scrapped]]*tblScrap[[#This Row],[Material]]))</f>
        <v>25.8</v>
      </c>
      <c r="L120" s="38">
        <f>IF(tblScrap[[#This Row],[Date]]="","",tblScrap[[#This Row],[Scrapped]]*tblScrap[[#This Row],[Conversion to date]])</f>
        <v>50.7</v>
      </c>
      <c r="M120" s="38">
        <f>IF(tblScrap[[#This Row],[Date]]="","",IF(tblScrap[[#This Row],[Mass]]="","",tblScrap[[#This Row],[Scrap mass]]*DisposalKg))</f>
        <v>0.39</v>
      </c>
      <c r="N120" s="38">
        <f>IF(tblScrap[[#This Row],[Date]]="","",IF(tblScrap[[#This Row],[Mass]]="","",tblScrap[[#This Row],[Scrap mass]]*RecoveryKg))</f>
        <v>10.92</v>
      </c>
      <c r="O120" s="38">
        <f>IF(tblScrap[[#This Row],[Date]]="","",IF(tblScrap[[#This Row],[Material]]="","",tblScrap[[#This Row],[Material write-off]]+tblScrap[[#This Row],[Conversion write-off]]+tblScrap[[#This Row],[Disposal]]-tblScrap[[#This Row],[Recovery credit]]))</f>
        <v>65.97</v>
      </c>
      <c r="P120" s="41">
        <f>IF(tblScrap[[#This Row],[Date]]="","",IF(AND(tblScrap[[#This Row],[Date]]&gt;=FFrom,tblScrap[[#This Row],[Date]]&lt;=FTo,OR(DashPart="",tblScrap[[#This Row],[Part]]=DashPart)),tblScrap[[#This Row],[Date]],""))</f>
        <v>46289</v>
      </c>
      <c r="Q120"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20" s="43" t="s">
        <v>139</v>
      </c>
    </row>
    <row r="121" spans="2:18" x14ac:dyDescent="0.25">
      <c r="B121" s="36">
        <v>46289</v>
      </c>
      <c r="C121" s="28" t="s">
        <v>91</v>
      </c>
      <c r="D121" s="28" t="s">
        <v>100</v>
      </c>
      <c r="E121" s="28" t="s">
        <v>117</v>
      </c>
      <c r="F121" s="37">
        <v>10</v>
      </c>
      <c r="G121" s="38">
        <f>IF(tblScrap[[#This Row],[Date]]="","",IFERROR(INDEX(tblParts[Material],MATCH(tblScrap[[#This Row],[Part]],tblParts[Part],0)),""))</f>
        <v>2.05</v>
      </c>
      <c r="H121" s="38">
        <f>IF(tblScrap[[#This Row],[Date]]="","",SUMIFS(tblStageCosts[Conversion to date],tblStageCosts[Part],tblScrap[[#This Row],[Part]],tblStageCosts[Operation],tblScrap[[#This Row],[Operation]]))</f>
        <v>3.1</v>
      </c>
      <c r="I121" s="39">
        <f>IF(tblScrap[[#This Row],[Date]]="","",IFERROR(INDEX(tblParts[Mass],MATCH(tblScrap[[#This Row],[Part]],tblParts[Part],0)),""))</f>
        <v>0.62</v>
      </c>
      <c r="J121" s="40">
        <f>IF(tblScrap[[#This Row],[Date]]="","",IF(tblScrap[[#This Row],[Mass]]="","",tblScrap[[#This Row],[Scrapped]]*tblScrap[[#This Row],[Mass]]))</f>
        <v>6.2</v>
      </c>
      <c r="K121" s="38">
        <f>IF(tblScrap[[#This Row],[Date]]="","",IF(tblScrap[[#This Row],[Material]]="","",tblScrap[[#This Row],[Scrapped]]*tblScrap[[#This Row],[Material]]))</f>
        <v>20.5</v>
      </c>
      <c r="L121" s="38">
        <f>IF(tblScrap[[#This Row],[Date]]="","",tblScrap[[#This Row],[Scrapped]]*tblScrap[[#This Row],[Conversion to date]])</f>
        <v>31</v>
      </c>
      <c r="M121" s="38">
        <f>IF(tblScrap[[#This Row],[Date]]="","",IF(tblScrap[[#This Row],[Mass]]="","",tblScrap[[#This Row],[Scrap mass]]*DisposalKg))</f>
        <v>0.31</v>
      </c>
      <c r="N121" s="38">
        <f>IF(tblScrap[[#This Row],[Date]]="","",IF(tblScrap[[#This Row],[Mass]]="","",tblScrap[[#This Row],[Scrap mass]]*RecoveryKg))</f>
        <v>8.68</v>
      </c>
      <c r="O121" s="38">
        <f>IF(tblScrap[[#This Row],[Date]]="","",IF(tblScrap[[#This Row],[Material]]="","",tblScrap[[#This Row],[Material write-off]]+tblScrap[[#This Row],[Conversion write-off]]+tblScrap[[#This Row],[Disposal]]-tblScrap[[#This Row],[Recovery credit]]))</f>
        <v>43.13</v>
      </c>
      <c r="P121" s="41">
        <f>IF(tblScrap[[#This Row],[Date]]="","",IF(AND(tblScrap[[#This Row],[Date]]&gt;=FFrom,tblScrap[[#This Row],[Date]]&lt;=FTo,OR(DashPart="",tblScrap[[#This Row],[Part]]=DashPart)),tblScrap[[#This Row],[Date]],""))</f>
        <v>46289</v>
      </c>
      <c r="Q121"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21" s="43" t="s">
        <v>139</v>
      </c>
    </row>
    <row r="122" spans="2:18" x14ac:dyDescent="0.25">
      <c r="B122" s="36">
        <v>46289</v>
      </c>
      <c r="C122" s="28" t="s">
        <v>91</v>
      </c>
      <c r="D122" s="28" t="s">
        <v>104</v>
      </c>
      <c r="E122" s="28" t="s">
        <v>121</v>
      </c>
      <c r="F122" s="37">
        <v>4</v>
      </c>
      <c r="G122" s="38">
        <f>IF(tblScrap[[#This Row],[Date]]="","",IFERROR(INDEX(tblParts[Material],MATCH(tblScrap[[#This Row],[Part]],tblParts[Part],0)),""))</f>
        <v>2.05</v>
      </c>
      <c r="H122" s="38">
        <f>IF(tblScrap[[#This Row],[Date]]="","",SUMIFS(tblStageCosts[Conversion to date],tblStageCosts[Part],tblScrap[[#This Row],[Part]],tblStageCosts[Operation],tblScrap[[#This Row],[Operation]]))</f>
        <v>3.3</v>
      </c>
      <c r="I122" s="39">
        <f>IF(tblScrap[[#This Row],[Date]]="","",IFERROR(INDEX(tblParts[Mass],MATCH(tblScrap[[#This Row],[Part]],tblParts[Part],0)),""))</f>
        <v>0.62</v>
      </c>
      <c r="J122" s="40">
        <f>IF(tblScrap[[#This Row],[Date]]="","",IF(tblScrap[[#This Row],[Mass]]="","",tblScrap[[#This Row],[Scrapped]]*tblScrap[[#This Row],[Mass]]))</f>
        <v>2.48</v>
      </c>
      <c r="K122" s="38">
        <f>IF(tblScrap[[#This Row],[Date]]="","",IF(tblScrap[[#This Row],[Material]]="","",tblScrap[[#This Row],[Scrapped]]*tblScrap[[#This Row],[Material]]))</f>
        <v>8.2</v>
      </c>
      <c r="L122" s="38">
        <f>IF(tblScrap[[#This Row],[Date]]="","",tblScrap[[#This Row],[Scrapped]]*tblScrap[[#This Row],[Conversion to date]])</f>
        <v>13.2</v>
      </c>
      <c r="M122" s="38">
        <f>IF(tblScrap[[#This Row],[Date]]="","",IF(tblScrap[[#This Row],[Mass]]="","",tblScrap[[#This Row],[Scrap mass]]*DisposalKg))</f>
        <v>0.124</v>
      </c>
      <c r="N122" s="38">
        <f>IF(tblScrap[[#This Row],[Date]]="","",IF(tblScrap[[#This Row],[Mass]]="","",tblScrap[[#This Row],[Scrap mass]]*RecoveryKg))</f>
        <v>3.472</v>
      </c>
      <c r="O122" s="38">
        <f>IF(tblScrap[[#This Row],[Date]]="","",IF(tblScrap[[#This Row],[Material]]="","",tblScrap[[#This Row],[Material write-off]]+tblScrap[[#This Row],[Conversion write-off]]+tblScrap[[#This Row],[Disposal]]-tblScrap[[#This Row],[Recovery credit]]))</f>
        <v>18.052</v>
      </c>
      <c r="P122" s="41">
        <f>IF(tblScrap[[#This Row],[Date]]="","",IF(AND(tblScrap[[#This Row],[Date]]&gt;=FFrom,tblScrap[[#This Row],[Date]]&lt;=FTo,OR(DashPart="",tblScrap[[#This Row],[Part]]=DashPart)),tblScrap[[#This Row],[Date]],""))</f>
        <v>46289</v>
      </c>
      <c r="Q122"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22" s="43" t="s">
        <v>139</v>
      </c>
    </row>
    <row r="123" spans="2:18" x14ac:dyDescent="0.25">
      <c r="B123" s="36">
        <v>46290</v>
      </c>
      <c r="C123" s="28" t="s">
        <v>87</v>
      </c>
      <c r="D123" s="28" t="s">
        <v>96</v>
      </c>
      <c r="E123" s="28" t="s">
        <v>111</v>
      </c>
      <c r="F123" s="37">
        <v>9</v>
      </c>
      <c r="G123" s="38">
        <f>IF(tblScrap[[#This Row],[Date]]="","",IFERROR(INDEX(tblParts[Material],MATCH(tblScrap[[#This Row],[Part]],tblParts[Part],0)),""))</f>
        <v>6.1</v>
      </c>
      <c r="H123" s="38">
        <f>IF(tblScrap[[#This Row],[Date]]="","",SUMIFS(tblStageCosts[Conversion to date],tblStageCosts[Part],tblScrap[[#This Row],[Part]],tblStageCosts[Operation],tblScrap[[#This Row],[Operation]]))</f>
        <v>4.2</v>
      </c>
      <c r="I123" s="39">
        <f>IF(tblScrap[[#This Row],[Date]]="","",IFERROR(INDEX(tblParts[Mass],MATCH(tblScrap[[#This Row],[Part]],tblParts[Part],0)),""))</f>
        <v>1.85</v>
      </c>
      <c r="J123" s="40">
        <f>IF(tblScrap[[#This Row],[Date]]="","",IF(tblScrap[[#This Row],[Mass]]="","",tblScrap[[#This Row],[Scrapped]]*tblScrap[[#This Row],[Mass]]))</f>
        <v>16.65</v>
      </c>
      <c r="K123" s="38">
        <f>IF(tblScrap[[#This Row],[Date]]="","",IF(tblScrap[[#This Row],[Material]]="","",tblScrap[[#This Row],[Scrapped]]*tblScrap[[#This Row],[Material]]))</f>
        <v>54.9</v>
      </c>
      <c r="L123" s="38">
        <f>IF(tblScrap[[#This Row],[Date]]="","",tblScrap[[#This Row],[Scrapped]]*tblScrap[[#This Row],[Conversion to date]])</f>
        <v>37.8</v>
      </c>
      <c r="M123" s="38">
        <f>IF(tblScrap[[#This Row],[Date]]="","",IF(tblScrap[[#This Row],[Mass]]="","",tblScrap[[#This Row],[Scrap mass]]*DisposalKg))</f>
        <v>0.8325</v>
      </c>
      <c r="N123" s="38">
        <f>IF(tblScrap[[#This Row],[Date]]="","",IF(tblScrap[[#This Row],[Mass]]="","",tblScrap[[#This Row],[Scrap mass]]*RecoveryKg))</f>
        <v>23.31</v>
      </c>
      <c r="O123" s="38">
        <f>IF(tblScrap[[#This Row],[Date]]="","",IF(tblScrap[[#This Row],[Material]]="","",tblScrap[[#This Row],[Material write-off]]+tblScrap[[#This Row],[Conversion write-off]]+tblScrap[[#This Row],[Disposal]]-tblScrap[[#This Row],[Recovery credit]]))</f>
        <v>70.2225</v>
      </c>
      <c r="P123" s="41">
        <f>IF(tblScrap[[#This Row],[Date]]="","",IF(AND(tblScrap[[#This Row],[Date]]&gt;=FFrom,tblScrap[[#This Row],[Date]]&lt;=FTo,OR(DashPart="",tblScrap[[#This Row],[Part]]=DashPart)),tblScrap[[#This Row],[Date]],""))</f>
        <v>46290</v>
      </c>
      <c r="Q123"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23" s="43" t="s">
        <v>139</v>
      </c>
    </row>
    <row r="124" spans="2:18" x14ac:dyDescent="0.25">
      <c r="B124" s="36">
        <v>46290</v>
      </c>
      <c r="C124" s="28" t="s">
        <v>89</v>
      </c>
      <c r="D124" s="28" t="s">
        <v>102</v>
      </c>
      <c r="E124" s="28" t="s">
        <v>113</v>
      </c>
      <c r="F124" s="37">
        <v>3</v>
      </c>
      <c r="G124" s="38">
        <f>IF(tblScrap[[#This Row],[Date]]="","",IFERROR(INDEX(tblParts[Material],MATCH(tblScrap[[#This Row],[Part]],tblParts[Part],0)),""))</f>
        <v>8.6</v>
      </c>
      <c r="H124" s="38">
        <f>IF(tblScrap[[#This Row],[Date]]="","",SUMIFS(tblStageCosts[Conversion to date],tblStageCosts[Part],tblScrap[[#This Row],[Part]],tblStageCosts[Operation],tblScrap[[#This Row],[Operation]]))</f>
        <v>16.9</v>
      </c>
      <c r="I124" s="39">
        <f>IF(tblScrap[[#This Row],[Date]]="","",IFERROR(INDEX(tblParts[Mass],MATCH(tblScrap[[#This Row],[Part]],tblParts[Part],0)),""))</f>
        <v>2.6</v>
      </c>
      <c r="J124" s="40">
        <f>IF(tblScrap[[#This Row],[Date]]="","",IF(tblScrap[[#This Row],[Mass]]="","",tblScrap[[#This Row],[Scrapped]]*tblScrap[[#This Row],[Mass]]))</f>
        <v>7.8</v>
      </c>
      <c r="K124" s="38">
        <f>IF(tblScrap[[#This Row],[Date]]="","",IF(tblScrap[[#This Row],[Material]]="","",tblScrap[[#This Row],[Scrapped]]*tblScrap[[#This Row],[Material]]))</f>
        <v>25.8</v>
      </c>
      <c r="L124" s="38">
        <f>IF(tblScrap[[#This Row],[Date]]="","",tblScrap[[#This Row],[Scrapped]]*tblScrap[[#This Row],[Conversion to date]])</f>
        <v>50.7</v>
      </c>
      <c r="M124" s="38">
        <f>IF(tblScrap[[#This Row],[Date]]="","",IF(tblScrap[[#This Row],[Mass]]="","",tblScrap[[#This Row],[Scrap mass]]*DisposalKg))</f>
        <v>0.39</v>
      </c>
      <c r="N124" s="38">
        <f>IF(tblScrap[[#This Row],[Date]]="","",IF(tblScrap[[#This Row],[Mass]]="","",tblScrap[[#This Row],[Scrap mass]]*RecoveryKg))</f>
        <v>10.92</v>
      </c>
      <c r="O124" s="38">
        <f>IF(tblScrap[[#This Row],[Date]]="","",IF(tblScrap[[#This Row],[Material]]="","",tblScrap[[#This Row],[Material write-off]]+tblScrap[[#This Row],[Conversion write-off]]+tblScrap[[#This Row],[Disposal]]-tblScrap[[#This Row],[Recovery credit]]))</f>
        <v>65.97</v>
      </c>
      <c r="P124" s="41">
        <f>IF(tblScrap[[#This Row],[Date]]="","",IF(AND(tblScrap[[#This Row],[Date]]&gt;=FFrom,tblScrap[[#This Row],[Date]]&lt;=FTo,OR(DashPart="",tblScrap[[#This Row],[Part]]=DashPart)),tblScrap[[#This Row],[Date]],""))</f>
        <v>46290</v>
      </c>
      <c r="Q124"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24" s="43" t="s">
        <v>139</v>
      </c>
    </row>
    <row r="125" spans="2:18" x14ac:dyDescent="0.25">
      <c r="B125" s="36">
        <v>46290</v>
      </c>
      <c r="C125" s="28" t="s">
        <v>89</v>
      </c>
      <c r="D125" s="28" t="s">
        <v>98</v>
      </c>
      <c r="E125" s="28" t="s">
        <v>121</v>
      </c>
      <c r="F125" s="37">
        <v>1</v>
      </c>
      <c r="G125" s="38">
        <f>IF(tblScrap[[#This Row],[Date]]="","",IFERROR(INDEX(tblParts[Material],MATCH(tblScrap[[#This Row],[Part]],tblParts[Part],0)),""))</f>
        <v>8.6</v>
      </c>
      <c r="H125" s="38">
        <f>IF(tblScrap[[#This Row],[Date]]="","",SUMIFS(tblStageCosts[Conversion to date],tblStageCosts[Part],tblScrap[[#This Row],[Part]],tblStageCosts[Operation],tblScrap[[#This Row],[Operation]]))</f>
        <v>6.5</v>
      </c>
      <c r="I125" s="39">
        <f>IF(tblScrap[[#This Row],[Date]]="","",IFERROR(INDEX(tblParts[Mass],MATCH(tblScrap[[#This Row],[Part]],tblParts[Part],0)),""))</f>
        <v>2.6</v>
      </c>
      <c r="J125" s="40">
        <f>IF(tblScrap[[#This Row],[Date]]="","",IF(tblScrap[[#This Row],[Mass]]="","",tblScrap[[#This Row],[Scrapped]]*tblScrap[[#This Row],[Mass]]))</f>
        <v>2.6</v>
      </c>
      <c r="K125" s="38">
        <f>IF(tblScrap[[#This Row],[Date]]="","",IF(tblScrap[[#This Row],[Material]]="","",tblScrap[[#This Row],[Scrapped]]*tblScrap[[#This Row],[Material]]))</f>
        <v>8.6</v>
      </c>
      <c r="L125" s="38">
        <f>IF(tblScrap[[#This Row],[Date]]="","",tblScrap[[#This Row],[Scrapped]]*tblScrap[[#This Row],[Conversion to date]])</f>
        <v>6.5</v>
      </c>
      <c r="M125" s="38">
        <f>IF(tblScrap[[#This Row],[Date]]="","",IF(tblScrap[[#This Row],[Mass]]="","",tblScrap[[#This Row],[Scrap mass]]*DisposalKg))</f>
        <v>0.13</v>
      </c>
      <c r="N125" s="38">
        <f>IF(tblScrap[[#This Row],[Date]]="","",IF(tblScrap[[#This Row],[Mass]]="","",tblScrap[[#This Row],[Scrap mass]]*RecoveryKg))</f>
        <v>3.64</v>
      </c>
      <c r="O125" s="38">
        <f>IF(tblScrap[[#This Row],[Date]]="","",IF(tblScrap[[#This Row],[Material]]="","",tblScrap[[#This Row],[Material write-off]]+tblScrap[[#This Row],[Conversion write-off]]+tblScrap[[#This Row],[Disposal]]-tblScrap[[#This Row],[Recovery credit]]))</f>
        <v>11.59</v>
      </c>
      <c r="P125" s="41">
        <f>IF(tblScrap[[#This Row],[Date]]="","",IF(AND(tblScrap[[#This Row],[Date]]&gt;=FFrom,tblScrap[[#This Row],[Date]]&lt;=FTo,OR(DashPart="",tblScrap[[#This Row],[Part]]=DashPart)),tblScrap[[#This Row],[Date]],""))</f>
        <v>46290</v>
      </c>
      <c r="Q125"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25" s="43" t="s">
        <v>139</v>
      </c>
    </row>
    <row r="126" spans="2:18" x14ac:dyDescent="0.25">
      <c r="B126" s="36">
        <v>46290</v>
      </c>
      <c r="C126" s="28" t="s">
        <v>91</v>
      </c>
      <c r="D126" s="28" t="s">
        <v>96</v>
      </c>
      <c r="E126" s="28" t="s">
        <v>111</v>
      </c>
      <c r="F126" s="37">
        <v>18</v>
      </c>
      <c r="G126" s="38">
        <f>IF(tblScrap[[#This Row],[Date]]="","",IFERROR(INDEX(tblParts[Material],MATCH(tblScrap[[#This Row],[Part]],tblParts[Part],0)),""))</f>
        <v>2.05</v>
      </c>
      <c r="H126" s="38">
        <f>IF(tblScrap[[#This Row],[Date]]="","",SUMIFS(tblStageCosts[Conversion to date],tblStageCosts[Part],tblScrap[[#This Row],[Part]],tblStageCosts[Operation],tblScrap[[#This Row],[Operation]]))</f>
        <v>1.3</v>
      </c>
      <c r="I126" s="39">
        <f>IF(tblScrap[[#This Row],[Date]]="","",IFERROR(INDEX(tblParts[Mass],MATCH(tblScrap[[#This Row],[Part]],tblParts[Part],0)),""))</f>
        <v>0.62</v>
      </c>
      <c r="J126" s="40">
        <f>IF(tblScrap[[#This Row],[Date]]="","",IF(tblScrap[[#This Row],[Mass]]="","",tblScrap[[#This Row],[Scrapped]]*tblScrap[[#This Row],[Mass]]))</f>
        <v>11.16</v>
      </c>
      <c r="K126" s="38">
        <f>IF(tblScrap[[#This Row],[Date]]="","",IF(tblScrap[[#This Row],[Material]]="","",tblScrap[[#This Row],[Scrapped]]*tblScrap[[#This Row],[Material]]))</f>
        <v>36.9</v>
      </c>
      <c r="L126" s="38">
        <f>IF(tblScrap[[#This Row],[Date]]="","",tblScrap[[#This Row],[Scrapped]]*tblScrap[[#This Row],[Conversion to date]])</f>
        <v>23.4</v>
      </c>
      <c r="M126" s="38">
        <f>IF(tblScrap[[#This Row],[Date]]="","",IF(tblScrap[[#This Row],[Mass]]="","",tblScrap[[#This Row],[Scrap mass]]*DisposalKg))</f>
        <v>0.558</v>
      </c>
      <c r="N126" s="38">
        <f>IF(tblScrap[[#This Row],[Date]]="","",IF(tblScrap[[#This Row],[Mass]]="","",tblScrap[[#This Row],[Scrap mass]]*RecoveryKg))</f>
        <v>15.624</v>
      </c>
      <c r="O126" s="38">
        <f>IF(tblScrap[[#This Row],[Date]]="","",IF(tblScrap[[#This Row],[Material]]="","",tblScrap[[#This Row],[Material write-off]]+tblScrap[[#This Row],[Conversion write-off]]+tblScrap[[#This Row],[Disposal]]-tblScrap[[#This Row],[Recovery credit]]))</f>
        <v>45.234</v>
      </c>
      <c r="P126" s="41">
        <f>IF(tblScrap[[#This Row],[Date]]="","",IF(AND(tblScrap[[#This Row],[Date]]&gt;=FFrom,tblScrap[[#This Row],[Date]]&lt;=FTo,OR(DashPart="",tblScrap[[#This Row],[Part]]=DashPart)),tblScrap[[#This Row],[Date]],""))</f>
        <v>46290</v>
      </c>
      <c r="Q126"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26" s="43" t="s">
        <v>139</v>
      </c>
    </row>
    <row r="127" spans="2:18" x14ac:dyDescent="0.25">
      <c r="B127" s="36">
        <v>46290</v>
      </c>
      <c r="C127" s="28" t="s">
        <v>91</v>
      </c>
      <c r="D127" s="28" t="s">
        <v>100</v>
      </c>
      <c r="E127" s="28" t="s">
        <v>117</v>
      </c>
      <c r="F127" s="37">
        <v>8</v>
      </c>
      <c r="G127" s="38">
        <f>IF(tblScrap[[#This Row],[Date]]="","",IFERROR(INDEX(tblParts[Material],MATCH(tblScrap[[#This Row],[Part]],tblParts[Part],0)),""))</f>
        <v>2.05</v>
      </c>
      <c r="H127" s="38">
        <f>IF(tblScrap[[#This Row],[Date]]="","",SUMIFS(tblStageCosts[Conversion to date],tblStageCosts[Part],tblScrap[[#This Row],[Part]],tblStageCosts[Operation],tblScrap[[#This Row],[Operation]]))</f>
        <v>3.1</v>
      </c>
      <c r="I127" s="39">
        <f>IF(tblScrap[[#This Row],[Date]]="","",IFERROR(INDEX(tblParts[Mass],MATCH(tblScrap[[#This Row],[Part]],tblParts[Part],0)),""))</f>
        <v>0.62</v>
      </c>
      <c r="J127" s="40">
        <f>IF(tblScrap[[#This Row],[Date]]="","",IF(tblScrap[[#This Row],[Mass]]="","",tblScrap[[#This Row],[Scrapped]]*tblScrap[[#This Row],[Mass]]))</f>
        <v>4.96</v>
      </c>
      <c r="K127" s="38">
        <f>IF(tblScrap[[#This Row],[Date]]="","",IF(tblScrap[[#This Row],[Material]]="","",tblScrap[[#This Row],[Scrapped]]*tblScrap[[#This Row],[Material]]))</f>
        <v>16.4</v>
      </c>
      <c r="L127" s="38">
        <f>IF(tblScrap[[#This Row],[Date]]="","",tblScrap[[#This Row],[Scrapped]]*tblScrap[[#This Row],[Conversion to date]])</f>
        <v>24.8</v>
      </c>
      <c r="M127" s="38">
        <f>IF(tblScrap[[#This Row],[Date]]="","",IF(tblScrap[[#This Row],[Mass]]="","",tblScrap[[#This Row],[Scrap mass]]*DisposalKg))</f>
        <v>0.248</v>
      </c>
      <c r="N127" s="38">
        <f>IF(tblScrap[[#This Row],[Date]]="","",IF(tblScrap[[#This Row],[Mass]]="","",tblScrap[[#This Row],[Scrap mass]]*RecoveryKg))</f>
        <v>6.944</v>
      </c>
      <c r="O127" s="38">
        <f>IF(tblScrap[[#This Row],[Date]]="","",IF(tblScrap[[#This Row],[Material]]="","",tblScrap[[#This Row],[Material write-off]]+tblScrap[[#This Row],[Conversion write-off]]+tblScrap[[#This Row],[Disposal]]-tblScrap[[#This Row],[Recovery credit]]))</f>
        <v>34.504</v>
      </c>
      <c r="P127" s="41">
        <f>IF(tblScrap[[#This Row],[Date]]="","",IF(AND(tblScrap[[#This Row],[Date]]&gt;=FFrom,tblScrap[[#This Row],[Date]]&lt;=FTo,OR(DashPart="",tblScrap[[#This Row],[Part]]=DashPart)),tblScrap[[#This Row],[Date]],""))</f>
        <v>46290</v>
      </c>
      <c r="Q127"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27" s="43" t="s">
        <v>139</v>
      </c>
    </row>
    <row r="128" spans="2:18" x14ac:dyDescent="0.25">
      <c r="B128" s="36">
        <v>46293</v>
      </c>
      <c r="C128" s="28" t="s">
        <v>87</v>
      </c>
      <c r="D128" s="28" t="s">
        <v>102</v>
      </c>
      <c r="E128" s="28" t="s">
        <v>113</v>
      </c>
      <c r="F128" s="37">
        <v>4</v>
      </c>
      <c r="G128" s="38">
        <f>IF(tblScrap[[#This Row],[Date]]="","",IFERROR(INDEX(tblParts[Material],MATCH(tblScrap[[#This Row],[Part]],tblParts[Part],0)),""))</f>
        <v>6.1</v>
      </c>
      <c r="H128" s="38">
        <f>IF(tblScrap[[#This Row],[Date]]="","",SUMIFS(tblStageCosts[Conversion to date],tblStageCosts[Part],tblScrap[[#This Row],[Part]],tblStageCosts[Operation],tblScrap[[#This Row],[Operation]]))</f>
        <v>12.4</v>
      </c>
      <c r="I128" s="39">
        <f>IF(tblScrap[[#This Row],[Date]]="","",IFERROR(INDEX(tblParts[Mass],MATCH(tblScrap[[#This Row],[Part]],tblParts[Part],0)),""))</f>
        <v>1.85</v>
      </c>
      <c r="J128" s="40">
        <f>IF(tblScrap[[#This Row],[Date]]="","",IF(tblScrap[[#This Row],[Mass]]="","",tblScrap[[#This Row],[Scrapped]]*tblScrap[[#This Row],[Mass]]))</f>
        <v>7.4</v>
      </c>
      <c r="K128" s="38">
        <f>IF(tblScrap[[#This Row],[Date]]="","",IF(tblScrap[[#This Row],[Material]]="","",tblScrap[[#This Row],[Scrapped]]*tblScrap[[#This Row],[Material]]))</f>
        <v>24.4</v>
      </c>
      <c r="L128" s="38">
        <f>IF(tblScrap[[#This Row],[Date]]="","",tblScrap[[#This Row],[Scrapped]]*tblScrap[[#This Row],[Conversion to date]])</f>
        <v>49.6</v>
      </c>
      <c r="M128" s="38">
        <f>IF(tblScrap[[#This Row],[Date]]="","",IF(tblScrap[[#This Row],[Mass]]="","",tblScrap[[#This Row],[Scrap mass]]*DisposalKg))</f>
        <v>0.37</v>
      </c>
      <c r="N128" s="38">
        <f>IF(tblScrap[[#This Row],[Date]]="","",IF(tblScrap[[#This Row],[Mass]]="","",tblScrap[[#This Row],[Scrap mass]]*RecoveryKg))</f>
        <v>10.36</v>
      </c>
      <c r="O128" s="38">
        <f>IF(tblScrap[[#This Row],[Date]]="","",IF(tblScrap[[#This Row],[Material]]="","",tblScrap[[#This Row],[Material write-off]]+tblScrap[[#This Row],[Conversion write-off]]+tblScrap[[#This Row],[Disposal]]-tblScrap[[#This Row],[Recovery credit]]))</f>
        <v>64.01</v>
      </c>
      <c r="P128" s="41">
        <f>IF(tblScrap[[#This Row],[Date]]="","",IF(AND(tblScrap[[#This Row],[Date]]&gt;=FFrom,tblScrap[[#This Row],[Date]]&lt;=FTo,OR(DashPart="",tblScrap[[#This Row],[Part]]=DashPart)),tblScrap[[#This Row],[Date]],""))</f>
        <v>46293</v>
      </c>
      <c r="Q128"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28" s="43" t="s">
        <v>139</v>
      </c>
    </row>
    <row r="129" spans="2:18" x14ac:dyDescent="0.25">
      <c r="B129" s="36">
        <v>46293</v>
      </c>
      <c r="C129" s="28" t="s">
        <v>91</v>
      </c>
      <c r="D129" s="28" t="s">
        <v>96</v>
      </c>
      <c r="E129" s="28" t="s">
        <v>111</v>
      </c>
      <c r="F129" s="37">
        <v>19</v>
      </c>
      <c r="G129" s="38">
        <f>IF(tblScrap[[#This Row],[Date]]="","",IFERROR(INDEX(tblParts[Material],MATCH(tblScrap[[#This Row],[Part]],tblParts[Part],0)),""))</f>
        <v>2.05</v>
      </c>
      <c r="H129" s="38">
        <f>IF(tblScrap[[#This Row],[Date]]="","",SUMIFS(tblStageCosts[Conversion to date],tblStageCosts[Part],tblScrap[[#This Row],[Part]],tblStageCosts[Operation],tblScrap[[#This Row],[Operation]]))</f>
        <v>1.3</v>
      </c>
      <c r="I129" s="39">
        <f>IF(tblScrap[[#This Row],[Date]]="","",IFERROR(INDEX(tblParts[Mass],MATCH(tblScrap[[#This Row],[Part]],tblParts[Part],0)),""))</f>
        <v>0.62</v>
      </c>
      <c r="J129" s="40">
        <f>IF(tblScrap[[#This Row],[Date]]="","",IF(tblScrap[[#This Row],[Mass]]="","",tblScrap[[#This Row],[Scrapped]]*tblScrap[[#This Row],[Mass]]))</f>
        <v>11.78</v>
      </c>
      <c r="K129" s="38">
        <f>IF(tblScrap[[#This Row],[Date]]="","",IF(tblScrap[[#This Row],[Material]]="","",tblScrap[[#This Row],[Scrapped]]*tblScrap[[#This Row],[Material]]))</f>
        <v>38.95</v>
      </c>
      <c r="L129" s="38">
        <f>IF(tblScrap[[#This Row],[Date]]="","",tblScrap[[#This Row],[Scrapped]]*tblScrap[[#This Row],[Conversion to date]])</f>
        <v>24.7</v>
      </c>
      <c r="M129" s="38">
        <f>IF(tblScrap[[#This Row],[Date]]="","",IF(tblScrap[[#This Row],[Mass]]="","",tblScrap[[#This Row],[Scrap mass]]*DisposalKg))</f>
        <v>0.589</v>
      </c>
      <c r="N129" s="38">
        <f>IF(tblScrap[[#This Row],[Date]]="","",IF(tblScrap[[#This Row],[Mass]]="","",tblScrap[[#This Row],[Scrap mass]]*RecoveryKg))</f>
        <v>16.492</v>
      </c>
      <c r="O129" s="38">
        <f>IF(tblScrap[[#This Row],[Date]]="","",IF(tblScrap[[#This Row],[Material]]="","",tblScrap[[#This Row],[Material write-off]]+tblScrap[[#This Row],[Conversion write-off]]+tblScrap[[#This Row],[Disposal]]-tblScrap[[#This Row],[Recovery credit]]))</f>
        <v>47.747</v>
      </c>
      <c r="P129" s="41">
        <f>IF(tblScrap[[#This Row],[Date]]="","",IF(AND(tblScrap[[#This Row],[Date]]&gt;=FFrom,tblScrap[[#This Row],[Date]]&lt;=FTo,OR(DashPart="",tblScrap[[#This Row],[Part]]=DashPart)),tblScrap[[#This Row],[Date]],""))</f>
        <v>46293</v>
      </c>
      <c r="Q129"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29" s="43" t="s">
        <v>139</v>
      </c>
    </row>
    <row r="130" spans="2:18" x14ac:dyDescent="0.25">
      <c r="B130" s="36">
        <v>46293</v>
      </c>
      <c r="C130" s="28" t="s">
        <v>91</v>
      </c>
      <c r="D130" s="28" t="s">
        <v>104</v>
      </c>
      <c r="E130" s="28" t="s">
        <v>121</v>
      </c>
      <c r="F130" s="37">
        <v>3</v>
      </c>
      <c r="G130" s="38">
        <f>IF(tblScrap[[#This Row],[Date]]="","",IFERROR(INDEX(tblParts[Material],MATCH(tblScrap[[#This Row],[Part]],tblParts[Part],0)),""))</f>
        <v>2.05</v>
      </c>
      <c r="H130" s="38">
        <f>IF(tblScrap[[#This Row],[Date]]="","",SUMIFS(tblStageCosts[Conversion to date],tblStageCosts[Part],tblScrap[[#This Row],[Part]],tblStageCosts[Operation],tblScrap[[#This Row],[Operation]]))</f>
        <v>3.3</v>
      </c>
      <c r="I130" s="39">
        <f>IF(tblScrap[[#This Row],[Date]]="","",IFERROR(INDEX(tblParts[Mass],MATCH(tblScrap[[#This Row],[Part]],tblParts[Part],0)),""))</f>
        <v>0.62</v>
      </c>
      <c r="J130" s="40">
        <f>IF(tblScrap[[#This Row],[Date]]="","",IF(tblScrap[[#This Row],[Mass]]="","",tblScrap[[#This Row],[Scrapped]]*tblScrap[[#This Row],[Mass]]))</f>
        <v>1.86</v>
      </c>
      <c r="K130" s="38">
        <f>IF(tblScrap[[#This Row],[Date]]="","",IF(tblScrap[[#This Row],[Material]]="","",tblScrap[[#This Row],[Scrapped]]*tblScrap[[#This Row],[Material]]))</f>
        <v>6.15</v>
      </c>
      <c r="L130" s="38">
        <f>IF(tblScrap[[#This Row],[Date]]="","",tblScrap[[#This Row],[Scrapped]]*tblScrap[[#This Row],[Conversion to date]])</f>
        <v>9.9</v>
      </c>
      <c r="M130" s="38">
        <f>IF(tblScrap[[#This Row],[Date]]="","",IF(tblScrap[[#This Row],[Mass]]="","",tblScrap[[#This Row],[Scrap mass]]*DisposalKg))</f>
        <v>0.093</v>
      </c>
      <c r="N130" s="38">
        <f>IF(tblScrap[[#This Row],[Date]]="","",IF(tblScrap[[#This Row],[Mass]]="","",tblScrap[[#This Row],[Scrap mass]]*RecoveryKg))</f>
        <v>2.604</v>
      </c>
      <c r="O130" s="38">
        <f>IF(tblScrap[[#This Row],[Date]]="","",IF(tblScrap[[#This Row],[Material]]="","",tblScrap[[#This Row],[Material write-off]]+tblScrap[[#This Row],[Conversion write-off]]+tblScrap[[#This Row],[Disposal]]-tblScrap[[#This Row],[Recovery credit]]))</f>
        <v>13.539</v>
      </c>
      <c r="P130" s="41">
        <f>IF(tblScrap[[#This Row],[Date]]="","",IF(AND(tblScrap[[#This Row],[Date]]&gt;=FFrom,tblScrap[[#This Row],[Date]]&lt;=FTo,OR(DashPart="",tblScrap[[#This Row],[Part]]=DashPart)),tblScrap[[#This Row],[Date]],""))</f>
        <v>46293</v>
      </c>
      <c r="Q130"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30" s="43" t="s">
        <v>139</v>
      </c>
    </row>
    <row r="131" spans="2:18" x14ac:dyDescent="0.25">
      <c r="B131" s="36">
        <v>46294</v>
      </c>
      <c r="C131" s="28" t="s">
        <v>89</v>
      </c>
      <c r="D131" s="28" t="s">
        <v>96</v>
      </c>
      <c r="E131" s="28" t="s">
        <v>109</v>
      </c>
      <c r="F131" s="37">
        <v>5</v>
      </c>
      <c r="G131" s="38">
        <f>IF(tblScrap[[#This Row],[Date]]="","",IFERROR(INDEX(tblParts[Material],MATCH(tblScrap[[#This Row],[Part]],tblParts[Part],0)),""))</f>
        <v>8.6</v>
      </c>
      <c r="H131" s="38">
        <f>IF(tblScrap[[#This Row],[Date]]="","",SUMIFS(tblStageCosts[Conversion to date],tblStageCosts[Part],tblScrap[[#This Row],[Part]],tblStageCosts[Operation],tblScrap[[#This Row],[Operation]]))</f>
        <v>5.4</v>
      </c>
      <c r="I131" s="39">
        <f>IF(tblScrap[[#This Row],[Date]]="","",IFERROR(INDEX(tblParts[Mass],MATCH(tblScrap[[#This Row],[Part]],tblParts[Part],0)),""))</f>
        <v>2.6</v>
      </c>
      <c r="J131" s="40">
        <f>IF(tblScrap[[#This Row],[Date]]="","",IF(tblScrap[[#This Row],[Mass]]="","",tblScrap[[#This Row],[Scrapped]]*tblScrap[[#This Row],[Mass]]))</f>
        <v>13</v>
      </c>
      <c r="K131" s="38">
        <f>IF(tblScrap[[#This Row],[Date]]="","",IF(tblScrap[[#This Row],[Material]]="","",tblScrap[[#This Row],[Scrapped]]*tblScrap[[#This Row],[Material]]))</f>
        <v>43</v>
      </c>
      <c r="L131" s="38">
        <f>IF(tblScrap[[#This Row],[Date]]="","",tblScrap[[#This Row],[Scrapped]]*tblScrap[[#This Row],[Conversion to date]])</f>
        <v>27</v>
      </c>
      <c r="M131" s="38">
        <f>IF(tblScrap[[#This Row],[Date]]="","",IF(tblScrap[[#This Row],[Mass]]="","",tblScrap[[#This Row],[Scrap mass]]*DisposalKg))</f>
        <v>0.65</v>
      </c>
      <c r="N131" s="38">
        <f>IF(tblScrap[[#This Row],[Date]]="","",IF(tblScrap[[#This Row],[Mass]]="","",tblScrap[[#This Row],[Scrap mass]]*RecoveryKg))</f>
        <v>18.2</v>
      </c>
      <c r="O131" s="38">
        <f>IF(tblScrap[[#This Row],[Date]]="","",IF(tblScrap[[#This Row],[Material]]="","",tblScrap[[#This Row],[Material write-off]]+tblScrap[[#This Row],[Conversion write-off]]+tblScrap[[#This Row],[Disposal]]-tblScrap[[#This Row],[Recovery credit]]))</f>
        <v>52.45</v>
      </c>
      <c r="P131" s="41">
        <f>IF(tblScrap[[#This Row],[Date]]="","",IF(AND(tblScrap[[#This Row],[Date]]&gt;=FFrom,tblScrap[[#This Row],[Date]]&lt;=FTo,OR(DashPart="",tblScrap[[#This Row],[Part]]=DashPart)),tblScrap[[#This Row],[Date]],""))</f>
        <v>46294</v>
      </c>
      <c r="Q131"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31" s="43" t="s">
        <v>139</v>
      </c>
    </row>
    <row r="132" spans="2:18" x14ac:dyDescent="0.25">
      <c r="B132" s="36">
        <v>46294</v>
      </c>
      <c r="C132" s="28" t="s">
        <v>89</v>
      </c>
      <c r="D132" s="28" t="s">
        <v>102</v>
      </c>
      <c r="E132" s="28" t="s">
        <v>113</v>
      </c>
      <c r="F132" s="37">
        <v>4</v>
      </c>
      <c r="G132" s="38">
        <f>IF(tblScrap[[#This Row],[Date]]="","",IFERROR(INDEX(tblParts[Material],MATCH(tblScrap[[#This Row],[Part]],tblParts[Part],0)),""))</f>
        <v>8.6</v>
      </c>
      <c r="H132" s="38">
        <f>IF(tblScrap[[#This Row],[Date]]="","",SUMIFS(tblStageCosts[Conversion to date],tblStageCosts[Part],tblScrap[[#This Row],[Part]],tblStageCosts[Operation],tblScrap[[#This Row],[Operation]]))</f>
        <v>16.9</v>
      </c>
      <c r="I132" s="39">
        <f>IF(tblScrap[[#This Row],[Date]]="","",IFERROR(INDEX(tblParts[Mass],MATCH(tblScrap[[#This Row],[Part]],tblParts[Part],0)),""))</f>
        <v>2.6</v>
      </c>
      <c r="J132" s="40">
        <f>IF(tblScrap[[#This Row],[Date]]="","",IF(tblScrap[[#This Row],[Mass]]="","",tblScrap[[#This Row],[Scrapped]]*tblScrap[[#This Row],[Mass]]))</f>
        <v>10.4</v>
      </c>
      <c r="K132" s="38">
        <f>IF(tblScrap[[#This Row],[Date]]="","",IF(tblScrap[[#This Row],[Material]]="","",tblScrap[[#This Row],[Scrapped]]*tblScrap[[#This Row],[Material]]))</f>
        <v>34.4</v>
      </c>
      <c r="L132" s="38">
        <f>IF(tblScrap[[#This Row],[Date]]="","",tblScrap[[#This Row],[Scrapped]]*tblScrap[[#This Row],[Conversion to date]])</f>
        <v>67.6</v>
      </c>
      <c r="M132" s="38">
        <f>IF(tblScrap[[#This Row],[Date]]="","",IF(tblScrap[[#This Row],[Mass]]="","",tblScrap[[#This Row],[Scrap mass]]*DisposalKg))</f>
        <v>0.52</v>
      </c>
      <c r="N132" s="38">
        <f>IF(tblScrap[[#This Row],[Date]]="","",IF(tblScrap[[#This Row],[Mass]]="","",tblScrap[[#This Row],[Scrap mass]]*RecoveryKg))</f>
        <v>14.56</v>
      </c>
      <c r="O132" s="38">
        <f>IF(tblScrap[[#This Row],[Date]]="","",IF(tblScrap[[#This Row],[Material]]="","",tblScrap[[#This Row],[Material write-off]]+tblScrap[[#This Row],[Conversion write-off]]+tblScrap[[#This Row],[Disposal]]-tblScrap[[#This Row],[Recovery credit]]))</f>
        <v>87.96</v>
      </c>
      <c r="P132" s="41">
        <f>IF(tblScrap[[#This Row],[Date]]="","",IF(AND(tblScrap[[#This Row],[Date]]&gt;=FFrom,tblScrap[[#This Row],[Date]]&lt;=FTo,OR(DashPart="",tblScrap[[#This Row],[Part]]=DashPart)),tblScrap[[#This Row],[Date]],""))</f>
        <v>46294</v>
      </c>
      <c r="Q132"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32" s="43" t="s">
        <v>139</v>
      </c>
    </row>
    <row r="133" spans="2:18" x14ac:dyDescent="0.25">
      <c r="B133" s="36">
        <v>46294</v>
      </c>
      <c r="C133" s="28" t="s">
        <v>91</v>
      </c>
      <c r="D133" s="28" t="s">
        <v>100</v>
      </c>
      <c r="E133" s="28" t="s">
        <v>117</v>
      </c>
      <c r="F133" s="37">
        <v>15</v>
      </c>
      <c r="G133" s="38">
        <f>IF(tblScrap[[#This Row],[Date]]="","",IFERROR(INDEX(tblParts[Material],MATCH(tblScrap[[#This Row],[Part]],tblParts[Part],0)),""))</f>
        <v>2.05</v>
      </c>
      <c r="H133" s="38">
        <f>IF(tblScrap[[#This Row],[Date]]="","",SUMIFS(tblStageCosts[Conversion to date],tblStageCosts[Part],tblScrap[[#This Row],[Part]],tblStageCosts[Operation],tblScrap[[#This Row],[Operation]]))</f>
        <v>3.1</v>
      </c>
      <c r="I133" s="39">
        <f>IF(tblScrap[[#This Row],[Date]]="","",IFERROR(INDEX(tblParts[Mass],MATCH(tblScrap[[#This Row],[Part]],tblParts[Part],0)),""))</f>
        <v>0.62</v>
      </c>
      <c r="J133" s="40">
        <f>IF(tblScrap[[#This Row],[Date]]="","",IF(tblScrap[[#This Row],[Mass]]="","",tblScrap[[#This Row],[Scrapped]]*tblScrap[[#This Row],[Mass]]))</f>
        <v>9.3</v>
      </c>
      <c r="K133" s="38">
        <f>IF(tblScrap[[#This Row],[Date]]="","",IF(tblScrap[[#This Row],[Material]]="","",tblScrap[[#This Row],[Scrapped]]*tblScrap[[#This Row],[Material]]))</f>
        <v>30.75</v>
      </c>
      <c r="L133" s="38">
        <f>IF(tblScrap[[#This Row],[Date]]="","",tblScrap[[#This Row],[Scrapped]]*tblScrap[[#This Row],[Conversion to date]])</f>
        <v>46.5</v>
      </c>
      <c r="M133" s="38">
        <f>IF(tblScrap[[#This Row],[Date]]="","",IF(tblScrap[[#This Row],[Mass]]="","",tblScrap[[#This Row],[Scrap mass]]*DisposalKg))</f>
        <v>0.465</v>
      </c>
      <c r="N133" s="38">
        <f>IF(tblScrap[[#This Row],[Date]]="","",IF(tblScrap[[#This Row],[Mass]]="","",tblScrap[[#This Row],[Scrap mass]]*RecoveryKg))</f>
        <v>13.02</v>
      </c>
      <c r="O133" s="38">
        <f>IF(tblScrap[[#This Row],[Date]]="","",IF(tblScrap[[#This Row],[Material]]="","",tblScrap[[#This Row],[Material write-off]]+tblScrap[[#This Row],[Conversion write-off]]+tblScrap[[#This Row],[Disposal]]-tblScrap[[#This Row],[Recovery credit]]))</f>
        <v>64.695</v>
      </c>
      <c r="P133" s="41">
        <f>IF(tblScrap[[#This Row],[Date]]="","",IF(AND(tblScrap[[#This Row],[Date]]&gt;=FFrom,tblScrap[[#This Row],[Date]]&lt;=FTo,OR(DashPart="",tblScrap[[#This Row],[Part]]=DashPart)),tblScrap[[#This Row],[Date]],""))</f>
        <v>46294</v>
      </c>
      <c r="Q133"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33" s="43" t="s">
        <v>139</v>
      </c>
    </row>
    <row r="134" spans="2:18" x14ac:dyDescent="0.25">
      <c r="B134" s="36">
        <v>46294</v>
      </c>
      <c r="C134" s="28" t="s">
        <v>91</v>
      </c>
      <c r="D134" s="28" t="s">
        <v>104</v>
      </c>
      <c r="E134" s="28" t="s">
        <v>121</v>
      </c>
      <c r="F134" s="37">
        <v>4</v>
      </c>
      <c r="G134" s="38">
        <f>IF(tblScrap[[#This Row],[Date]]="","",IFERROR(INDEX(tblParts[Material],MATCH(tblScrap[[#This Row],[Part]],tblParts[Part],0)),""))</f>
        <v>2.05</v>
      </c>
      <c r="H134" s="38">
        <f>IF(tblScrap[[#This Row],[Date]]="","",SUMIFS(tblStageCosts[Conversion to date],tblStageCosts[Part],tblScrap[[#This Row],[Part]],tblStageCosts[Operation],tblScrap[[#This Row],[Operation]]))</f>
        <v>3.3</v>
      </c>
      <c r="I134" s="39">
        <f>IF(tblScrap[[#This Row],[Date]]="","",IFERROR(INDEX(tblParts[Mass],MATCH(tblScrap[[#This Row],[Part]],tblParts[Part],0)),""))</f>
        <v>0.62</v>
      </c>
      <c r="J134" s="40">
        <f>IF(tblScrap[[#This Row],[Date]]="","",IF(tblScrap[[#This Row],[Mass]]="","",tblScrap[[#This Row],[Scrapped]]*tblScrap[[#This Row],[Mass]]))</f>
        <v>2.48</v>
      </c>
      <c r="K134" s="38">
        <f>IF(tblScrap[[#This Row],[Date]]="","",IF(tblScrap[[#This Row],[Material]]="","",tblScrap[[#This Row],[Scrapped]]*tblScrap[[#This Row],[Material]]))</f>
        <v>8.2</v>
      </c>
      <c r="L134" s="38">
        <f>IF(tblScrap[[#This Row],[Date]]="","",tblScrap[[#This Row],[Scrapped]]*tblScrap[[#This Row],[Conversion to date]])</f>
        <v>13.2</v>
      </c>
      <c r="M134" s="38">
        <f>IF(tblScrap[[#This Row],[Date]]="","",IF(tblScrap[[#This Row],[Mass]]="","",tblScrap[[#This Row],[Scrap mass]]*DisposalKg))</f>
        <v>0.124</v>
      </c>
      <c r="N134" s="38">
        <f>IF(tblScrap[[#This Row],[Date]]="","",IF(tblScrap[[#This Row],[Mass]]="","",tblScrap[[#This Row],[Scrap mass]]*RecoveryKg))</f>
        <v>3.472</v>
      </c>
      <c r="O134" s="38">
        <f>IF(tblScrap[[#This Row],[Date]]="","",IF(tblScrap[[#This Row],[Material]]="","",tblScrap[[#This Row],[Material write-off]]+tblScrap[[#This Row],[Conversion write-off]]+tblScrap[[#This Row],[Disposal]]-tblScrap[[#This Row],[Recovery credit]]))</f>
        <v>18.052</v>
      </c>
      <c r="P134" s="41">
        <f>IF(tblScrap[[#This Row],[Date]]="","",IF(AND(tblScrap[[#This Row],[Date]]&gt;=FFrom,tblScrap[[#This Row],[Date]]&lt;=FTo,OR(DashPart="",tblScrap[[#This Row],[Part]]=DashPart)),tblScrap[[#This Row],[Date]],""))</f>
        <v>46294</v>
      </c>
      <c r="Q134"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34" s="43" t="s">
        <v>139</v>
      </c>
    </row>
    <row r="135" spans="2:18" x14ac:dyDescent="0.25">
      <c r="B135" s="36">
        <v>46294</v>
      </c>
      <c r="C135" s="28" t="s">
        <v>93</v>
      </c>
      <c r="D135" s="28" t="s">
        <v>96</v>
      </c>
      <c r="E135" s="28" t="s">
        <v>109</v>
      </c>
      <c r="F135" s="37">
        <v>7</v>
      </c>
      <c r="G135" s="38">
        <f>IF(tblScrap[[#This Row],[Date]]="","",IFERROR(INDEX(tblParts[Material],MATCH(tblScrap[[#This Row],[Part]],tblParts[Part],0)),""))</f>
        <v>3.65</v>
      </c>
      <c r="H135" s="38">
        <f>IF(tblScrap[[#This Row],[Date]]="","",SUMIFS(tblStageCosts[Conversion to date],tblStageCosts[Part],tblScrap[[#This Row],[Part]],tblStageCosts[Operation],tblScrap[[#This Row],[Operation]]))</f>
        <v>2.6</v>
      </c>
      <c r="I135" s="39">
        <f>IF(tblScrap[[#This Row],[Date]]="","",IFERROR(INDEX(tblParts[Mass],MATCH(tblScrap[[#This Row],[Part]],tblParts[Part],0)),""))</f>
        <v>1.1</v>
      </c>
      <c r="J135" s="40">
        <f>IF(tblScrap[[#This Row],[Date]]="","",IF(tblScrap[[#This Row],[Mass]]="","",tblScrap[[#This Row],[Scrapped]]*tblScrap[[#This Row],[Mass]]))</f>
        <v>7.7</v>
      </c>
      <c r="K135" s="38">
        <f>IF(tblScrap[[#This Row],[Date]]="","",IF(tblScrap[[#This Row],[Material]]="","",tblScrap[[#This Row],[Scrapped]]*tblScrap[[#This Row],[Material]]))</f>
        <v>25.55</v>
      </c>
      <c r="L135" s="38">
        <f>IF(tblScrap[[#This Row],[Date]]="","",tblScrap[[#This Row],[Scrapped]]*tblScrap[[#This Row],[Conversion to date]])</f>
        <v>18.2</v>
      </c>
      <c r="M135" s="38">
        <f>IF(tblScrap[[#This Row],[Date]]="","",IF(tblScrap[[#This Row],[Mass]]="","",tblScrap[[#This Row],[Scrap mass]]*DisposalKg))</f>
        <v>0.385</v>
      </c>
      <c r="N135" s="38">
        <f>IF(tblScrap[[#This Row],[Date]]="","",IF(tblScrap[[#This Row],[Mass]]="","",tblScrap[[#This Row],[Scrap mass]]*RecoveryKg))</f>
        <v>10.78</v>
      </c>
      <c r="O135" s="38">
        <f>IF(tblScrap[[#This Row],[Date]]="","",IF(tblScrap[[#This Row],[Material]]="","",tblScrap[[#This Row],[Material write-off]]+tblScrap[[#This Row],[Conversion write-off]]+tblScrap[[#This Row],[Disposal]]-tblScrap[[#This Row],[Recovery credit]]))</f>
        <v>33.355</v>
      </c>
      <c r="P135" s="41">
        <f>IF(tblScrap[[#This Row],[Date]]="","",IF(AND(tblScrap[[#This Row],[Date]]&gt;=FFrom,tblScrap[[#This Row],[Date]]&lt;=FTo,OR(DashPart="",tblScrap[[#This Row],[Part]]=DashPart)),tblScrap[[#This Row],[Date]],""))</f>
        <v>46294</v>
      </c>
      <c r="Q135"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35" s="43" t="s">
        <v>139</v>
      </c>
    </row>
    <row r="136" spans="2:18" x14ac:dyDescent="0.25">
      <c r="B136" s="36">
        <v>46294</v>
      </c>
      <c r="C136" s="28" t="s">
        <v>93</v>
      </c>
      <c r="D136" s="28" t="s">
        <v>100</v>
      </c>
      <c r="E136" s="28" t="s">
        <v>119</v>
      </c>
      <c r="F136" s="37">
        <v>4</v>
      </c>
      <c r="G136" s="38">
        <f>IF(tblScrap[[#This Row],[Date]]="","",IFERROR(INDEX(tblParts[Material],MATCH(tblScrap[[#This Row],[Part]],tblParts[Part],0)),""))</f>
        <v>3.65</v>
      </c>
      <c r="H136" s="38">
        <f>IF(tblScrap[[#This Row],[Date]]="","",SUMIFS(tblStageCosts[Conversion to date],tblStageCosts[Part],tblScrap[[#This Row],[Part]],tblStageCosts[Operation],tblScrap[[#This Row],[Operation]]))</f>
        <v>6.9</v>
      </c>
      <c r="I136" s="39">
        <f>IF(tblScrap[[#This Row],[Date]]="","",IFERROR(INDEX(tblParts[Mass],MATCH(tblScrap[[#This Row],[Part]],tblParts[Part],0)),""))</f>
        <v>1.1</v>
      </c>
      <c r="J136" s="40">
        <f>IF(tblScrap[[#This Row],[Date]]="","",IF(tblScrap[[#This Row],[Mass]]="","",tblScrap[[#This Row],[Scrapped]]*tblScrap[[#This Row],[Mass]]))</f>
        <v>4.4</v>
      </c>
      <c r="K136" s="38">
        <f>IF(tblScrap[[#This Row],[Date]]="","",IF(tblScrap[[#This Row],[Material]]="","",tblScrap[[#This Row],[Scrapped]]*tblScrap[[#This Row],[Material]]))</f>
        <v>14.6</v>
      </c>
      <c r="L136" s="38">
        <f>IF(tblScrap[[#This Row],[Date]]="","",tblScrap[[#This Row],[Scrapped]]*tblScrap[[#This Row],[Conversion to date]])</f>
        <v>27.6</v>
      </c>
      <c r="M136" s="38">
        <f>IF(tblScrap[[#This Row],[Date]]="","",IF(tblScrap[[#This Row],[Mass]]="","",tblScrap[[#This Row],[Scrap mass]]*DisposalKg))</f>
        <v>0.22</v>
      </c>
      <c r="N136" s="38">
        <f>IF(tblScrap[[#This Row],[Date]]="","",IF(tblScrap[[#This Row],[Mass]]="","",tblScrap[[#This Row],[Scrap mass]]*RecoveryKg))</f>
        <v>6.16</v>
      </c>
      <c r="O136" s="38">
        <f>IF(tblScrap[[#This Row],[Date]]="","",IF(tblScrap[[#This Row],[Material]]="","",tblScrap[[#This Row],[Material write-off]]+tblScrap[[#This Row],[Conversion write-off]]+tblScrap[[#This Row],[Disposal]]-tblScrap[[#This Row],[Recovery credit]]))</f>
        <v>36.26</v>
      </c>
      <c r="P136" s="41">
        <f>IF(tblScrap[[#This Row],[Date]]="","",IF(AND(tblScrap[[#This Row],[Date]]&gt;=FFrom,tblScrap[[#This Row],[Date]]&lt;=FTo,OR(DashPart="",tblScrap[[#This Row],[Part]]=DashPart)),tblScrap[[#This Row],[Date]],""))</f>
        <v>46294</v>
      </c>
      <c r="Q136"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36" s="43" t="s">
        <v>139</v>
      </c>
    </row>
    <row r="137" spans="2:18" x14ac:dyDescent="0.25">
      <c r="B137" s="36">
        <v>46295</v>
      </c>
      <c r="C137" s="28" t="s">
        <v>89</v>
      </c>
      <c r="D137" s="28" t="s">
        <v>96</v>
      </c>
      <c r="E137" s="28" t="s">
        <v>109</v>
      </c>
      <c r="F137" s="37">
        <v>3</v>
      </c>
      <c r="G137" s="38">
        <f>IF(tblScrap[[#This Row],[Date]]="","",IFERROR(INDEX(tblParts[Material],MATCH(tblScrap[[#This Row],[Part]],tblParts[Part],0)),""))</f>
        <v>8.6</v>
      </c>
      <c r="H137" s="38">
        <f>IF(tblScrap[[#This Row],[Date]]="","",SUMIFS(tblStageCosts[Conversion to date],tblStageCosts[Part],tblScrap[[#This Row],[Part]],tblStageCosts[Operation],tblScrap[[#This Row],[Operation]]))</f>
        <v>5.4</v>
      </c>
      <c r="I137" s="39">
        <f>IF(tblScrap[[#This Row],[Date]]="","",IFERROR(INDEX(tblParts[Mass],MATCH(tblScrap[[#This Row],[Part]],tblParts[Part],0)),""))</f>
        <v>2.6</v>
      </c>
      <c r="J137" s="40">
        <f>IF(tblScrap[[#This Row],[Date]]="","",IF(tblScrap[[#This Row],[Mass]]="","",tblScrap[[#This Row],[Scrapped]]*tblScrap[[#This Row],[Mass]]))</f>
        <v>7.8</v>
      </c>
      <c r="K137" s="38">
        <f>IF(tblScrap[[#This Row],[Date]]="","",IF(tblScrap[[#This Row],[Material]]="","",tblScrap[[#This Row],[Scrapped]]*tblScrap[[#This Row],[Material]]))</f>
        <v>25.8</v>
      </c>
      <c r="L137" s="38">
        <f>IF(tblScrap[[#This Row],[Date]]="","",tblScrap[[#This Row],[Scrapped]]*tblScrap[[#This Row],[Conversion to date]])</f>
        <v>16.2</v>
      </c>
      <c r="M137" s="38">
        <f>IF(tblScrap[[#This Row],[Date]]="","",IF(tblScrap[[#This Row],[Mass]]="","",tblScrap[[#This Row],[Scrap mass]]*DisposalKg))</f>
        <v>0.39</v>
      </c>
      <c r="N137" s="38">
        <f>IF(tblScrap[[#This Row],[Date]]="","",IF(tblScrap[[#This Row],[Mass]]="","",tblScrap[[#This Row],[Scrap mass]]*RecoveryKg))</f>
        <v>10.92</v>
      </c>
      <c r="O137" s="38">
        <f>IF(tblScrap[[#This Row],[Date]]="","",IF(tblScrap[[#This Row],[Material]]="","",tblScrap[[#This Row],[Material write-off]]+tblScrap[[#This Row],[Conversion write-off]]+tblScrap[[#This Row],[Disposal]]-tblScrap[[#This Row],[Recovery credit]]))</f>
        <v>31.47</v>
      </c>
      <c r="P137" s="41">
        <f>IF(tblScrap[[#This Row],[Date]]="","",IF(AND(tblScrap[[#This Row],[Date]]&gt;=FFrom,tblScrap[[#This Row],[Date]]&lt;=FTo,OR(DashPart="",tblScrap[[#This Row],[Part]]=DashPart)),tblScrap[[#This Row],[Date]],""))</f>
        <v>46295</v>
      </c>
      <c r="Q137"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37" s="43" t="s">
        <v>139</v>
      </c>
    </row>
    <row r="138" spans="2:18" x14ac:dyDescent="0.25">
      <c r="B138" s="36">
        <v>46295</v>
      </c>
      <c r="C138" s="28" t="s">
        <v>91</v>
      </c>
      <c r="D138" s="28" t="s">
        <v>100</v>
      </c>
      <c r="E138" s="28" t="s">
        <v>117</v>
      </c>
      <c r="F138" s="37">
        <v>5</v>
      </c>
      <c r="G138" s="38">
        <f>IF(tblScrap[[#This Row],[Date]]="","",IFERROR(INDEX(tblParts[Material],MATCH(tblScrap[[#This Row],[Part]],tblParts[Part],0)),""))</f>
        <v>2.05</v>
      </c>
      <c r="H138" s="38">
        <f>IF(tblScrap[[#This Row],[Date]]="","",SUMIFS(tblStageCosts[Conversion to date],tblStageCosts[Part],tblScrap[[#This Row],[Part]],tblStageCosts[Operation],tblScrap[[#This Row],[Operation]]))</f>
        <v>3.1</v>
      </c>
      <c r="I138" s="39">
        <f>IF(tblScrap[[#This Row],[Date]]="","",IFERROR(INDEX(tblParts[Mass],MATCH(tblScrap[[#This Row],[Part]],tblParts[Part],0)),""))</f>
        <v>0.62</v>
      </c>
      <c r="J138" s="40">
        <f>IF(tblScrap[[#This Row],[Date]]="","",IF(tblScrap[[#This Row],[Mass]]="","",tblScrap[[#This Row],[Scrapped]]*tblScrap[[#This Row],[Mass]]))</f>
        <v>3.1</v>
      </c>
      <c r="K138" s="38">
        <f>IF(tblScrap[[#This Row],[Date]]="","",IF(tblScrap[[#This Row],[Material]]="","",tblScrap[[#This Row],[Scrapped]]*tblScrap[[#This Row],[Material]]))</f>
        <v>10.25</v>
      </c>
      <c r="L138" s="38">
        <f>IF(tblScrap[[#This Row],[Date]]="","",tblScrap[[#This Row],[Scrapped]]*tblScrap[[#This Row],[Conversion to date]])</f>
        <v>15.5</v>
      </c>
      <c r="M138" s="38">
        <f>IF(tblScrap[[#This Row],[Date]]="","",IF(tblScrap[[#This Row],[Mass]]="","",tblScrap[[#This Row],[Scrap mass]]*DisposalKg))</f>
        <v>0.155</v>
      </c>
      <c r="N138" s="38">
        <f>IF(tblScrap[[#This Row],[Date]]="","",IF(tblScrap[[#This Row],[Mass]]="","",tblScrap[[#This Row],[Scrap mass]]*RecoveryKg))</f>
        <v>4.34</v>
      </c>
      <c r="O138" s="38">
        <f>IF(tblScrap[[#This Row],[Date]]="","",IF(tblScrap[[#This Row],[Material]]="","",tblScrap[[#This Row],[Material write-off]]+tblScrap[[#This Row],[Conversion write-off]]+tblScrap[[#This Row],[Disposal]]-tblScrap[[#This Row],[Recovery credit]]))</f>
        <v>21.565</v>
      </c>
      <c r="P138" s="41">
        <f>IF(tblScrap[[#This Row],[Date]]="","",IF(AND(tblScrap[[#This Row],[Date]]&gt;=FFrom,tblScrap[[#This Row],[Date]]&lt;=FTo,OR(DashPart="",tblScrap[[#This Row],[Part]]=DashPart)),tblScrap[[#This Row],[Date]],""))</f>
        <v>46295</v>
      </c>
      <c r="Q138"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38" s="43" t="s">
        <v>139</v>
      </c>
    </row>
    <row r="139" spans="2:18" x14ac:dyDescent="0.25">
      <c r="B139" s="36">
        <v>46295</v>
      </c>
      <c r="C139" s="28" t="s">
        <v>93</v>
      </c>
      <c r="D139" s="28" t="s">
        <v>96</v>
      </c>
      <c r="E139" s="28" t="s">
        <v>109</v>
      </c>
      <c r="F139" s="37">
        <v>14</v>
      </c>
      <c r="G139" s="38">
        <f>IF(tblScrap[[#This Row],[Date]]="","",IFERROR(INDEX(tblParts[Material],MATCH(tblScrap[[#This Row],[Part]],tblParts[Part],0)),""))</f>
        <v>3.65</v>
      </c>
      <c r="H139" s="38">
        <f>IF(tblScrap[[#This Row],[Date]]="","",SUMIFS(tblStageCosts[Conversion to date],tblStageCosts[Part],tblScrap[[#This Row],[Part]],tblStageCosts[Operation],tblScrap[[#This Row],[Operation]]))</f>
        <v>2.6</v>
      </c>
      <c r="I139" s="39">
        <f>IF(tblScrap[[#This Row],[Date]]="","",IFERROR(INDEX(tblParts[Mass],MATCH(tblScrap[[#This Row],[Part]],tblParts[Part],0)),""))</f>
        <v>1.1</v>
      </c>
      <c r="J139" s="40">
        <f>IF(tblScrap[[#This Row],[Date]]="","",IF(tblScrap[[#This Row],[Mass]]="","",tblScrap[[#This Row],[Scrapped]]*tblScrap[[#This Row],[Mass]]))</f>
        <v>15.4</v>
      </c>
      <c r="K139" s="38">
        <f>IF(tblScrap[[#This Row],[Date]]="","",IF(tblScrap[[#This Row],[Material]]="","",tblScrap[[#This Row],[Scrapped]]*tblScrap[[#This Row],[Material]]))</f>
        <v>51.1</v>
      </c>
      <c r="L139" s="38">
        <f>IF(tblScrap[[#This Row],[Date]]="","",tblScrap[[#This Row],[Scrapped]]*tblScrap[[#This Row],[Conversion to date]])</f>
        <v>36.4</v>
      </c>
      <c r="M139" s="38">
        <f>IF(tblScrap[[#This Row],[Date]]="","",IF(tblScrap[[#This Row],[Mass]]="","",tblScrap[[#This Row],[Scrap mass]]*DisposalKg))</f>
        <v>0.77</v>
      </c>
      <c r="N139" s="38">
        <f>IF(tblScrap[[#This Row],[Date]]="","",IF(tblScrap[[#This Row],[Mass]]="","",tblScrap[[#This Row],[Scrap mass]]*RecoveryKg))</f>
        <v>21.56</v>
      </c>
      <c r="O139" s="38">
        <f>IF(tblScrap[[#This Row],[Date]]="","",IF(tblScrap[[#This Row],[Material]]="","",tblScrap[[#This Row],[Material write-off]]+tblScrap[[#This Row],[Conversion write-off]]+tblScrap[[#This Row],[Disposal]]-tblScrap[[#This Row],[Recovery credit]]))</f>
        <v>66.71</v>
      </c>
      <c r="P139" s="41">
        <f>IF(tblScrap[[#This Row],[Date]]="","",IF(AND(tblScrap[[#This Row],[Date]]&gt;=FFrom,tblScrap[[#This Row],[Date]]&lt;=FTo,OR(DashPart="",tblScrap[[#This Row],[Part]]=DashPart)),tblScrap[[#This Row],[Date]],""))</f>
        <v>46295</v>
      </c>
      <c r="Q139"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39" s="43" t="s">
        <v>139</v>
      </c>
    </row>
    <row r="140" spans="2:18" x14ac:dyDescent="0.25">
      <c r="B140" s="36">
        <v>46295</v>
      </c>
      <c r="C140" s="28" t="s">
        <v>93</v>
      </c>
      <c r="D140" s="28" t="s">
        <v>100</v>
      </c>
      <c r="E140" s="28" t="s">
        <v>119</v>
      </c>
      <c r="F140" s="37">
        <v>8</v>
      </c>
      <c r="G140" s="38">
        <f>IF(tblScrap[[#This Row],[Date]]="","",IFERROR(INDEX(tblParts[Material],MATCH(tblScrap[[#This Row],[Part]],tblParts[Part],0)),""))</f>
        <v>3.65</v>
      </c>
      <c r="H140" s="38">
        <f>IF(tblScrap[[#This Row],[Date]]="","",SUMIFS(tblStageCosts[Conversion to date],tblStageCosts[Part],tblScrap[[#This Row],[Part]],tblStageCosts[Operation],tblScrap[[#This Row],[Operation]]))</f>
        <v>6.9</v>
      </c>
      <c r="I140" s="39">
        <f>IF(tblScrap[[#This Row],[Date]]="","",IFERROR(INDEX(tblParts[Mass],MATCH(tblScrap[[#This Row],[Part]],tblParts[Part],0)),""))</f>
        <v>1.1</v>
      </c>
      <c r="J140" s="40">
        <f>IF(tblScrap[[#This Row],[Date]]="","",IF(tblScrap[[#This Row],[Mass]]="","",tblScrap[[#This Row],[Scrapped]]*tblScrap[[#This Row],[Mass]]))</f>
        <v>8.8</v>
      </c>
      <c r="K140" s="38">
        <f>IF(tblScrap[[#This Row],[Date]]="","",IF(tblScrap[[#This Row],[Material]]="","",tblScrap[[#This Row],[Scrapped]]*tblScrap[[#This Row],[Material]]))</f>
        <v>29.2</v>
      </c>
      <c r="L140" s="38">
        <f>IF(tblScrap[[#This Row],[Date]]="","",tblScrap[[#This Row],[Scrapped]]*tblScrap[[#This Row],[Conversion to date]])</f>
        <v>55.2</v>
      </c>
      <c r="M140" s="38">
        <f>IF(tblScrap[[#This Row],[Date]]="","",IF(tblScrap[[#This Row],[Mass]]="","",tblScrap[[#This Row],[Scrap mass]]*DisposalKg))</f>
        <v>0.44</v>
      </c>
      <c r="N140" s="38">
        <f>IF(tblScrap[[#This Row],[Date]]="","",IF(tblScrap[[#This Row],[Mass]]="","",tblScrap[[#This Row],[Scrap mass]]*RecoveryKg))</f>
        <v>12.32</v>
      </c>
      <c r="O140" s="38">
        <f>IF(tblScrap[[#This Row],[Date]]="","",IF(tblScrap[[#This Row],[Material]]="","",tblScrap[[#This Row],[Material write-off]]+tblScrap[[#This Row],[Conversion write-off]]+tblScrap[[#This Row],[Disposal]]-tblScrap[[#This Row],[Recovery credit]]))</f>
        <v>72.52</v>
      </c>
      <c r="P140" s="41">
        <f>IF(tblScrap[[#This Row],[Date]]="","",IF(AND(tblScrap[[#This Row],[Date]]&gt;=FFrom,tblScrap[[#This Row],[Date]]&lt;=FTo,OR(DashPart="",tblScrap[[#This Row],[Part]]=DashPart)),tblScrap[[#This Row],[Date]],""))</f>
        <v>46295</v>
      </c>
      <c r="Q140"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40" s="43" t="s">
        <v>139</v>
      </c>
    </row>
    <row r="141" spans="2:18" x14ac:dyDescent="0.25">
      <c r="B141" s="36">
        <v>46296</v>
      </c>
      <c r="C141" s="28" t="s">
        <v>87</v>
      </c>
      <c r="D141" s="28" t="s">
        <v>100</v>
      </c>
      <c r="E141" s="28" t="s">
        <v>115</v>
      </c>
      <c r="F141" s="37">
        <v>3</v>
      </c>
      <c r="G141" s="38">
        <f>IF(tblScrap[[#This Row],[Date]]="","",IFERROR(INDEX(tblParts[Material],MATCH(tblScrap[[#This Row],[Part]],tblParts[Part],0)),""))</f>
        <v>6.1</v>
      </c>
      <c r="H141" s="38">
        <f>IF(tblScrap[[#This Row],[Date]]="","",SUMIFS(tblStageCosts[Conversion to date],tblStageCosts[Part],tblScrap[[#This Row],[Part]],tblStageCosts[Operation],tblScrap[[#This Row],[Operation]]))</f>
        <v>11.6</v>
      </c>
      <c r="I141" s="39">
        <f>IF(tblScrap[[#This Row],[Date]]="","",IFERROR(INDEX(tblParts[Mass],MATCH(tblScrap[[#This Row],[Part]],tblParts[Part],0)),""))</f>
        <v>1.85</v>
      </c>
      <c r="J141" s="40">
        <f>IF(tblScrap[[#This Row],[Date]]="","",IF(tblScrap[[#This Row],[Mass]]="","",tblScrap[[#This Row],[Scrapped]]*tblScrap[[#This Row],[Mass]]))</f>
        <v>5.55</v>
      </c>
      <c r="K141" s="38">
        <f>IF(tblScrap[[#This Row],[Date]]="","",IF(tblScrap[[#This Row],[Material]]="","",tblScrap[[#This Row],[Scrapped]]*tblScrap[[#This Row],[Material]]))</f>
        <v>18.3</v>
      </c>
      <c r="L141" s="38">
        <f>IF(tblScrap[[#This Row],[Date]]="","",tblScrap[[#This Row],[Scrapped]]*tblScrap[[#This Row],[Conversion to date]])</f>
        <v>34.8</v>
      </c>
      <c r="M141" s="38">
        <f>IF(tblScrap[[#This Row],[Date]]="","",IF(tblScrap[[#This Row],[Mass]]="","",tblScrap[[#This Row],[Scrap mass]]*DisposalKg))</f>
        <v>0.2775</v>
      </c>
      <c r="N141" s="38">
        <f>IF(tblScrap[[#This Row],[Date]]="","",IF(tblScrap[[#This Row],[Mass]]="","",tblScrap[[#This Row],[Scrap mass]]*RecoveryKg))</f>
        <v>7.77</v>
      </c>
      <c r="O141" s="38">
        <f>IF(tblScrap[[#This Row],[Date]]="","",IF(tblScrap[[#This Row],[Material]]="","",tblScrap[[#This Row],[Material write-off]]+tblScrap[[#This Row],[Conversion write-off]]+tblScrap[[#This Row],[Disposal]]-tblScrap[[#This Row],[Recovery credit]]))</f>
        <v>45.6075</v>
      </c>
      <c r="P141" s="41">
        <f>IF(tblScrap[[#This Row],[Date]]="","",IF(AND(tblScrap[[#This Row],[Date]]&gt;=FFrom,tblScrap[[#This Row],[Date]]&lt;=FTo,OR(DashPart="",tblScrap[[#This Row],[Part]]=DashPart)),tblScrap[[#This Row],[Date]],""))</f>
        <v>46296</v>
      </c>
      <c r="Q141"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41" s="43" t="s">
        <v>139</v>
      </c>
    </row>
    <row r="142" spans="2:18" x14ac:dyDescent="0.25">
      <c r="B142" s="36">
        <v>46296</v>
      </c>
      <c r="C142" s="28" t="s">
        <v>91</v>
      </c>
      <c r="D142" s="28" t="s">
        <v>96</v>
      </c>
      <c r="E142" s="28" t="s">
        <v>111</v>
      </c>
      <c r="F142" s="37">
        <v>20</v>
      </c>
      <c r="G142" s="38">
        <f>IF(tblScrap[[#This Row],[Date]]="","",IFERROR(INDEX(tblParts[Material],MATCH(tblScrap[[#This Row],[Part]],tblParts[Part],0)),""))</f>
        <v>2.05</v>
      </c>
      <c r="H142" s="38">
        <f>IF(tblScrap[[#This Row],[Date]]="","",SUMIFS(tblStageCosts[Conversion to date],tblStageCosts[Part],tblScrap[[#This Row],[Part]],tblStageCosts[Operation],tblScrap[[#This Row],[Operation]]))</f>
        <v>1.3</v>
      </c>
      <c r="I142" s="39">
        <f>IF(tblScrap[[#This Row],[Date]]="","",IFERROR(INDEX(tblParts[Mass],MATCH(tblScrap[[#This Row],[Part]],tblParts[Part],0)),""))</f>
        <v>0.62</v>
      </c>
      <c r="J142" s="40">
        <f>IF(tblScrap[[#This Row],[Date]]="","",IF(tblScrap[[#This Row],[Mass]]="","",tblScrap[[#This Row],[Scrapped]]*tblScrap[[#This Row],[Mass]]))</f>
        <v>12.4</v>
      </c>
      <c r="K142" s="38">
        <f>IF(tblScrap[[#This Row],[Date]]="","",IF(tblScrap[[#This Row],[Material]]="","",tblScrap[[#This Row],[Scrapped]]*tblScrap[[#This Row],[Material]]))</f>
        <v>41</v>
      </c>
      <c r="L142" s="38">
        <f>IF(tblScrap[[#This Row],[Date]]="","",tblScrap[[#This Row],[Scrapped]]*tblScrap[[#This Row],[Conversion to date]])</f>
        <v>26</v>
      </c>
      <c r="M142" s="38">
        <f>IF(tblScrap[[#This Row],[Date]]="","",IF(tblScrap[[#This Row],[Mass]]="","",tblScrap[[#This Row],[Scrap mass]]*DisposalKg))</f>
        <v>0.62</v>
      </c>
      <c r="N142" s="38">
        <f>IF(tblScrap[[#This Row],[Date]]="","",IF(tblScrap[[#This Row],[Mass]]="","",tblScrap[[#This Row],[Scrap mass]]*RecoveryKg))</f>
        <v>17.36</v>
      </c>
      <c r="O142" s="38">
        <f>IF(tblScrap[[#This Row],[Date]]="","",IF(tblScrap[[#This Row],[Material]]="","",tblScrap[[#This Row],[Material write-off]]+tblScrap[[#This Row],[Conversion write-off]]+tblScrap[[#This Row],[Disposal]]-tblScrap[[#This Row],[Recovery credit]]))</f>
        <v>50.26</v>
      </c>
      <c r="P142" s="41">
        <f>IF(tblScrap[[#This Row],[Date]]="","",IF(AND(tblScrap[[#This Row],[Date]]&gt;=FFrom,tblScrap[[#This Row],[Date]]&lt;=FTo,OR(DashPart="",tblScrap[[#This Row],[Part]]=DashPart)),tblScrap[[#This Row],[Date]],""))</f>
        <v>46296</v>
      </c>
      <c r="Q142"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42" s="43" t="s">
        <v>139</v>
      </c>
    </row>
    <row r="143" spans="2:18" x14ac:dyDescent="0.25">
      <c r="B143" s="36">
        <v>46296</v>
      </c>
      <c r="C143" s="28" t="s">
        <v>93</v>
      </c>
      <c r="D143" s="28" t="s">
        <v>96</v>
      </c>
      <c r="E143" s="28" t="s">
        <v>109</v>
      </c>
      <c r="F143" s="37">
        <v>12</v>
      </c>
      <c r="G143" s="38">
        <f>IF(tblScrap[[#This Row],[Date]]="","",IFERROR(INDEX(tblParts[Material],MATCH(tblScrap[[#This Row],[Part]],tblParts[Part],0)),""))</f>
        <v>3.65</v>
      </c>
      <c r="H143" s="38">
        <f>IF(tblScrap[[#This Row],[Date]]="","",SUMIFS(tblStageCosts[Conversion to date],tblStageCosts[Part],tblScrap[[#This Row],[Part]],tblStageCosts[Operation],tblScrap[[#This Row],[Operation]]))</f>
        <v>2.6</v>
      </c>
      <c r="I143" s="39">
        <f>IF(tblScrap[[#This Row],[Date]]="","",IFERROR(INDEX(tblParts[Mass],MATCH(tblScrap[[#This Row],[Part]],tblParts[Part],0)),""))</f>
        <v>1.1</v>
      </c>
      <c r="J143" s="40">
        <f>IF(tblScrap[[#This Row],[Date]]="","",IF(tblScrap[[#This Row],[Mass]]="","",tblScrap[[#This Row],[Scrapped]]*tblScrap[[#This Row],[Mass]]))</f>
        <v>13.2</v>
      </c>
      <c r="K143" s="38">
        <f>IF(tblScrap[[#This Row],[Date]]="","",IF(tblScrap[[#This Row],[Material]]="","",tblScrap[[#This Row],[Scrapped]]*tblScrap[[#This Row],[Material]]))</f>
        <v>43.8</v>
      </c>
      <c r="L143" s="38">
        <f>IF(tblScrap[[#This Row],[Date]]="","",tblScrap[[#This Row],[Scrapped]]*tblScrap[[#This Row],[Conversion to date]])</f>
        <v>31.2</v>
      </c>
      <c r="M143" s="38">
        <f>IF(tblScrap[[#This Row],[Date]]="","",IF(tblScrap[[#This Row],[Mass]]="","",tblScrap[[#This Row],[Scrap mass]]*DisposalKg))</f>
        <v>0.66</v>
      </c>
      <c r="N143" s="38">
        <f>IF(tblScrap[[#This Row],[Date]]="","",IF(tblScrap[[#This Row],[Mass]]="","",tblScrap[[#This Row],[Scrap mass]]*RecoveryKg))</f>
        <v>18.48</v>
      </c>
      <c r="O143" s="38">
        <f>IF(tblScrap[[#This Row],[Date]]="","",IF(tblScrap[[#This Row],[Material]]="","",tblScrap[[#This Row],[Material write-off]]+tblScrap[[#This Row],[Conversion write-off]]+tblScrap[[#This Row],[Disposal]]-tblScrap[[#This Row],[Recovery credit]]))</f>
        <v>57.18</v>
      </c>
      <c r="P143" s="41">
        <f>IF(tblScrap[[#This Row],[Date]]="","",IF(AND(tblScrap[[#This Row],[Date]]&gt;=FFrom,tblScrap[[#This Row],[Date]]&lt;=FTo,OR(DashPart="",tblScrap[[#This Row],[Part]]=DashPart)),tblScrap[[#This Row],[Date]],""))</f>
        <v>46296</v>
      </c>
      <c r="Q143"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43" s="43" t="s">
        <v>139</v>
      </c>
    </row>
    <row r="144" spans="2:18" x14ac:dyDescent="0.25">
      <c r="B144" s="36">
        <v>46297</v>
      </c>
      <c r="C144" s="28" t="s">
        <v>87</v>
      </c>
      <c r="D144" s="28" t="s">
        <v>102</v>
      </c>
      <c r="E144" s="28" t="s">
        <v>113</v>
      </c>
      <c r="F144" s="37">
        <v>1</v>
      </c>
      <c r="G144" s="38">
        <f>IF(tblScrap[[#This Row],[Date]]="","",IFERROR(INDEX(tblParts[Material],MATCH(tblScrap[[#This Row],[Part]],tblParts[Part],0)),""))</f>
        <v>6.1</v>
      </c>
      <c r="H144" s="38">
        <f>IF(tblScrap[[#This Row],[Date]]="","",SUMIFS(tblStageCosts[Conversion to date],tblStageCosts[Part],tblScrap[[#This Row],[Part]],tblStageCosts[Operation],tblScrap[[#This Row],[Operation]]))</f>
        <v>12.4</v>
      </c>
      <c r="I144" s="39">
        <f>IF(tblScrap[[#This Row],[Date]]="","",IFERROR(INDEX(tblParts[Mass],MATCH(tblScrap[[#This Row],[Part]],tblParts[Part],0)),""))</f>
        <v>1.85</v>
      </c>
      <c r="J144" s="40">
        <f>IF(tblScrap[[#This Row],[Date]]="","",IF(tblScrap[[#This Row],[Mass]]="","",tblScrap[[#This Row],[Scrapped]]*tblScrap[[#This Row],[Mass]]))</f>
        <v>1.85</v>
      </c>
      <c r="K144" s="38">
        <f>IF(tblScrap[[#This Row],[Date]]="","",IF(tblScrap[[#This Row],[Material]]="","",tblScrap[[#This Row],[Scrapped]]*tblScrap[[#This Row],[Material]]))</f>
        <v>6.1</v>
      </c>
      <c r="L144" s="38">
        <f>IF(tblScrap[[#This Row],[Date]]="","",tblScrap[[#This Row],[Scrapped]]*tblScrap[[#This Row],[Conversion to date]])</f>
        <v>12.4</v>
      </c>
      <c r="M144" s="38">
        <f>IF(tblScrap[[#This Row],[Date]]="","",IF(tblScrap[[#This Row],[Mass]]="","",tblScrap[[#This Row],[Scrap mass]]*DisposalKg))</f>
        <v>0.0925</v>
      </c>
      <c r="N144" s="38">
        <f>IF(tblScrap[[#This Row],[Date]]="","",IF(tblScrap[[#This Row],[Mass]]="","",tblScrap[[#This Row],[Scrap mass]]*RecoveryKg))</f>
        <v>2.59</v>
      </c>
      <c r="O144" s="38">
        <f>IF(tblScrap[[#This Row],[Date]]="","",IF(tblScrap[[#This Row],[Material]]="","",tblScrap[[#This Row],[Material write-off]]+tblScrap[[#This Row],[Conversion write-off]]+tblScrap[[#This Row],[Disposal]]-tblScrap[[#This Row],[Recovery credit]]))</f>
        <v>16.0025</v>
      </c>
      <c r="P144" s="41">
        <f>IF(tblScrap[[#This Row],[Date]]="","",IF(AND(tblScrap[[#This Row],[Date]]&gt;=FFrom,tblScrap[[#This Row],[Date]]&lt;=FTo,OR(DashPart="",tblScrap[[#This Row],[Part]]=DashPart)),tblScrap[[#This Row],[Date]],""))</f>
        <v>46297</v>
      </c>
      <c r="Q144"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44" s="43" t="s">
        <v>139</v>
      </c>
    </row>
    <row r="145" spans="2:18" x14ac:dyDescent="0.25">
      <c r="B145" s="36">
        <v>46297</v>
      </c>
      <c r="C145" s="28" t="s">
        <v>89</v>
      </c>
      <c r="D145" s="28" t="s">
        <v>102</v>
      </c>
      <c r="E145" s="28" t="s">
        <v>113</v>
      </c>
      <c r="F145" s="37">
        <v>3</v>
      </c>
      <c r="G145" s="38">
        <f>IF(tblScrap[[#This Row],[Date]]="","",IFERROR(INDEX(tblParts[Material],MATCH(tblScrap[[#This Row],[Part]],tblParts[Part],0)),""))</f>
        <v>8.6</v>
      </c>
      <c r="H145" s="38">
        <f>IF(tblScrap[[#This Row],[Date]]="","",SUMIFS(tblStageCosts[Conversion to date],tblStageCosts[Part],tblScrap[[#This Row],[Part]],tblStageCosts[Operation],tblScrap[[#This Row],[Operation]]))</f>
        <v>16.9</v>
      </c>
      <c r="I145" s="39">
        <f>IF(tblScrap[[#This Row],[Date]]="","",IFERROR(INDEX(tblParts[Mass],MATCH(tblScrap[[#This Row],[Part]],tblParts[Part],0)),""))</f>
        <v>2.6</v>
      </c>
      <c r="J145" s="40">
        <f>IF(tblScrap[[#This Row],[Date]]="","",IF(tblScrap[[#This Row],[Mass]]="","",tblScrap[[#This Row],[Scrapped]]*tblScrap[[#This Row],[Mass]]))</f>
        <v>7.8</v>
      </c>
      <c r="K145" s="38">
        <f>IF(tblScrap[[#This Row],[Date]]="","",IF(tblScrap[[#This Row],[Material]]="","",tblScrap[[#This Row],[Scrapped]]*tblScrap[[#This Row],[Material]]))</f>
        <v>25.8</v>
      </c>
      <c r="L145" s="38">
        <f>IF(tblScrap[[#This Row],[Date]]="","",tblScrap[[#This Row],[Scrapped]]*tblScrap[[#This Row],[Conversion to date]])</f>
        <v>50.7</v>
      </c>
      <c r="M145" s="38">
        <f>IF(tblScrap[[#This Row],[Date]]="","",IF(tblScrap[[#This Row],[Mass]]="","",tblScrap[[#This Row],[Scrap mass]]*DisposalKg))</f>
        <v>0.39</v>
      </c>
      <c r="N145" s="38">
        <f>IF(tblScrap[[#This Row],[Date]]="","",IF(tblScrap[[#This Row],[Mass]]="","",tblScrap[[#This Row],[Scrap mass]]*RecoveryKg))</f>
        <v>10.92</v>
      </c>
      <c r="O145" s="38">
        <f>IF(tblScrap[[#This Row],[Date]]="","",IF(tblScrap[[#This Row],[Material]]="","",tblScrap[[#This Row],[Material write-off]]+tblScrap[[#This Row],[Conversion write-off]]+tblScrap[[#This Row],[Disposal]]-tblScrap[[#This Row],[Recovery credit]]))</f>
        <v>65.97</v>
      </c>
      <c r="P145" s="41">
        <f>IF(tblScrap[[#This Row],[Date]]="","",IF(AND(tblScrap[[#This Row],[Date]]&gt;=FFrom,tblScrap[[#This Row],[Date]]&lt;=FTo,OR(DashPart="",tblScrap[[#This Row],[Part]]=DashPart)),tblScrap[[#This Row],[Date]],""))</f>
        <v>46297</v>
      </c>
      <c r="Q145"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45" s="43" t="s">
        <v>139</v>
      </c>
    </row>
    <row r="146" spans="2:18" x14ac:dyDescent="0.25">
      <c r="B146" s="36">
        <v>46297</v>
      </c>
      <c r="C146" s="28" t="s">
        <v>91</v>
      </c>
      <c r="D146" s="28" t="s">
        <v>96</v>
      </c>
      <c r="E146" s="28" t="s">
        <v>111</v>
      </c>
      <c r="F146" s="37">
        <v>19</v>
      </c>
      <c r="G146" s="38">
        <f>IF(tblScrap[[#This Row],[Date]]="","",IFERROR(INDEX(tblParts[Material],MATCH(tblScrap[[#This Row],[Part]],tblParts[Part],0)),""))</f>
        <v>2.05</v>
      </c>
      <c r="H146" s="38">
        <f>IF(tblScrap[[#This Row],[Date]]="","",SUMIFS(tblStageCosts[Conversion to date],tblStageCosts[Part],tblScrap[[#This Row],[Part]],tblStageCosts[Operation],tblScrap[[#This Row],[Operation]]))</f>
        <v>1.3</v>
      </c>
      <c r="I146" s="39">
        <f>IF(tblScrap[[#This Row],[Date]]="","",IFERROR(INDEX(tblParts[Mass],MATCH(tblScrap[[#This Row],[Part]],tblParts[Part],0)),""))</f>
        <v>0.62</v>
      </c>
      <c r="J146" s="40">
        <f>IF(tblScrap[[#This Row],[Date]]="","",IF(tblScrap[[#This Row],[Mass]]="","",tblScrap[[#This Row],[Scrapped]]*tblScrap[[#This Row],[Mass]]))</f>
        <v>11.78</v>
      </c>
      <c r="K146" s="38">
        <f>IF(tblScrap[[#This Row],[Date]]="","",IF(tblScrap[[#This Row],[Material]]="","",tblScrap[[#This Row],[Scrapped]]*tblScrap[[#This Row],[Material]]))</f>
        <v>38.95</v>
      </c>
      <c r="L146" s="38">
        <f>IF(tblScrap[[#This Row],[Date]]="","",tblScrap[[#This Row],[Scrapped]]*tblScrap[[#This Row],[Conversion to date]])</f>
        <v>24.7</v>
      </c>
      <c r="M146" s="38">
        <f>IF(tblScrap[[#This Row],[Date]]="","",IF(tblScrap[[#This Row],[Mass]]="","",tblScrap[[#This Row],[Scrap mass]]*DisposalKg))</f>
        <v>0.589</v>
      </c>
      <c r="N146" s="38">
        <f>IF(tblScrap[[#This Row],[Date]]="","",IF(tblScrap[[#This Row],[Mass]]="","",tblScrap[[#This Row],[Scrap mass]]*RecoveryKg))</f>
        <v>16.492</v>
      </c>
      <c r="O146" s="38">
        <f>IF(tblScrap[[#This Row],[Date]]="","",IF(tblScrap[[#This Row],[Material]]="","",tblScrap[[#This Row],[Material write-off]]+tblScrap[[#This Row],[Conversion write-off]]+tblScrap[[#This Row],[Disposal]]-tblScrap[[#This Row],[Recovery credit]]))</f>
        <v>47.747</v>
      </c>
      <c r="P146" s="41">
        <f>IF(tblScrap[[#This Row],[Date]]="","",IF(AND(tblScrap[[#This Row],[Date]]&gt;=FFrom,tblScrap[[#This Row],[Date]]&lt;=FTo,OR(DashPart="",tblScrap[[#This Row],[Part]]=DashPart)),tblScrap[[#This Row],[Date]],""))</f>
        <v>46297</v>
      </c>
      <c r="Q146" s="42" t="str">
        <f>IF(tblScrap[[#This Row],[Date]]="","",IF(tblScrap[[#This Row],[Part]]="","Missing part",IF(tblScrap[[#This Row],[Operation]]="","Missing operation",IF(tblScrap[[#This Row],[Reason]]="","Missing reason",IF(tblScrap[[#This Row],[Scrapped]]="","Missing scrapped",IF(tblScrap[[#This Row],[Material]]="","Part not on Setup list",IF(COUNTIF(tblReasons[Reason],tblScrap[[#This Row],[Reason]])=0,"Reason not on Setup list",IF(COUNTIFS(tblStageCosts[Part],tblScrap[[#This Row],[Part]],tblStageCosts[Operation],tblScrap[[#This Row],[Operation]])=0,"No cost for this part at this operation",IF(COUNTIFS(tblStageCosts[Part],tblScrap[[#This Row],[Part]],tblStageCosts[Operation],tblScrap[[#This Row],[Operation]])&gt;1,"Two cost rows for this part and operation",IF(COUNTIFS(tblProduction[Date],tblScrap[[#This Row],[Date]],tblProduction[Part],tblScrap[[#This Row],[Part]])=0,"No Production Log row for this date and part","OK"))))))))))</f>
        <v>OK</v>
      </c>
      <c r="R146" s="43" t="s">
        <v>139</v>
      </c>
    </row>
  </sheetData>
  <mergeCells count="3">
    <mergeCell ref="A1:R1"/>
    <mergeCell ref="B2:Q2"/>
    <mergeCell ref="B4:R4"/>
  </mergeCells>
  <conditionalFormatting sqref="O7:O646">
    <cfRule type="dataBar" priority="1">
      <dataBar>
        <cfvo type="num" val="0"/>
        <cfvo type="max"/>
        <color rgb="FFA8BDF0"/>
      </dataBar>
      <extLst>
        <ext xmlns:x14="http://schemas.microsoft.com/office/spreadsheetml/2009/9/main" uri="{B025F937-C7B1-47D3-B67F-A62EFF666E3E}">
          <x14:id>{DA7ABA51-AAAA-BBBB-0003-000000000001}</x14:id>
        </ext>
      </extLst>
    </cfRule>
  </conditionalFormatting>
  <conditionalFormatting sqref="Q7:Q646">
    <cfRule type="expression" dxfId="3" priority="2">
      <formula>$Q7="OK"</formula>
    </cfRule>
    <cfRule type="expression" dxfId="1" priority="3">
      <formula>AND($Q7&lt;&gt;"",$Q7&lt;&gt;"OK")</formula>
    </cfRule>
  </conditionalFormatting>
  <dataValidations count="6">
    <dataValidation type="date" allowBlank="1" showInputMessage="1" showErrorMessage="1" errorTitle="Check this entry" error="Enter a date between 01 Jan 2000 and 31 Dec 2100." promptTitle="Date" prompt="Enter a date between 01 Jan 2000 and 31 Dec 2100." sqref="B7:B646">
      <formula1>36526</formula1>
      <formula2>73415</formula2>
    </dataValidation>
    <dataValidation type="list" allowBlank="1" showInputMessage="1" showErrorMessage="1" errorTitle="Check this entry" error="Pick from the list (edit the list on Setup: Parts)." promptTitle="Part" prompt="Pick from the list (edit the list on Setup: Parts)." sqref="C7:C646">
      <formula1>Parts</formula1>
    </dataValidation>
    <dataValidation type="list" allowBlank="1" showInputMessage="1" showErrorMessage="1" errorTitle="Check this entry" error="Pick from the list (edit the list on Setup: Operations)." promptTitle="Operation" prompt="Pick from the list (edit the list on Setup: Operations)." sqref="D7:D646">
      <formula1>Operations</formula1>
    </dataValidation>
    <dataValidation type="list" allowBlank="1" showInputMessage="1" showErrorMessage="1" errorTitle="Check this entry" error="Pick from the list (edit the list on Setup: Reasons)." promptTitle="Reason" prompt="Pick from the list (edit the list on Setup: Reasons)." sqref="E7:E646">
      <formula1>Reasons</formula1>
    </dataValidation>
    <dataValidation type="whole" allowBlank="1" showInputMessage="1" showErrorMessage="1" errorTitle="Check this entry" error="Enter a whole number from 0 to 10,000,000." promptTitle="Scrapped" prompt="Parts scrapped for this reason at this operation. Enter a whole number from 0 to 10,000,000." sqref="F7:F646">
      <formula1>0</formula1>
      <formula2>10000000</formula2>
    </dataValidation>
    <dataValidation type="textLength" allowBlank="1" showInputMessage="1" showErrorMessage="1" errorTitle="Check this entry" error="Text up to 255 characters." promptTitle="Notes" prompt="Text up to 255 characters." sqref="R7:R646">
      <formula1>0</formula1>
      <formula2>255</formula2>
    </dataValidation>
  </dataValidations>
  <hyperlinks>
    <hyperlink ref="R2" r:id="rId1" tooltip="Free manufacturing calculators and templates"/>
  </hyperlinks>
  <pageMargins left="0.4" right="0.4" top="0.7" bottom="0.65" header="0.3" footer="0.3"/>
  <pageSetup fitToHeight="0" orientation="landscape"/>
  <headerFooter>
    <oddHeader>&amp;L&amp;8MFG Calcs - Scrap Cost Tracker&amp;R&amp;8&amp;A</oddHeader>
    <oddFooter>&amp;L&amp;8mfgcalcs.com - free manufacturing templates&amp;R&amp;8Page &amp;P of &amp;N</oddFooter>
  </headerFooter>
  <tableParts count="1">
    <tablePart r:id="rId2"/>
  </tableParts>
  <extLst>
    <ext xmlns:x14="http://schemas.microsoft.com/office/spreadsheetml/2009/9/main" uri="{78C0D931-6437-407d-A8EE-F0AAD7539E65}">
      <x14:conditionalFormattings>
        <x14:conditionalFormatting xmlns:xm="http://schemas.microsoft.com/office/excel/2006/main">
          <x14:cfRule type="dataBar" id="{DA7ABA51-AAAA-BBBB-0003-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O7:O646</xm:sqref>
        </x14:conditionalFormatting>
      </x14:conditionalFormattings>
    </ext>
  </extLst>
</worksheet>
</file>

<file path=xl/worksheets/sheet4.xml><?xml version="1.0" encoding="utf-8"?>
<worksheet xmlns="http://schemas.openxmlformats.org/spreadsheetml/2006/main" xmlns:r="http://schemas.openxmlformats.org/officeDocument/2006/relationships">
  <sheetPr>
    <tabColor rgb="FF3B64D8"/>
    <pageSetUpPr fitToPage="1"/>
  </sheetPr>
  <dimension ref="A1:O126"/>
  <sheetViews>
    <sheetView workbookViewId="0">
      <pane xSplit="3" ySplit="6" topLeftCell="D7" activePane="bottomRight" state="frozen"/>
      <selection pane="topRight" activeCell="D1" sqref="D1"/>
      <selection pane="bottomLeft" activeCell="A7" sqref="A7"/>
      <selection pane="bottomRight"/>
    </sheetView>
  </sheetViews>
  <sheetFormatPr defaultRowHeight="15"/>
  <cols>
    <col min="1" max="1" width="2.7109375" customWidth="1"/>
    <col min="2" max="2" width="12.28515625" customWidth="1"/>
    <col min="3" max="3" width="15.28515625" customWidth="1"/>
    <col min="4" max="5" width="10.7109375" customWidth="1"/>
    <col min="6" max="6" width="11.7109375" customWidth="1"/>
    <col min="7" max="7" width="10.28515625" customWidth="1"/>
    <col min="8" max="8" width="11.28515625" customWidth="1"/>
    <col min="9" max="9" width="9.7109375" customWidth="1"/>
    <col min="10" max="10" width="12.7109375" customWidth="1"/>
    <col min="11" max="11" width="10.7109375" customWidth="1"/>
    <col min="12" max="12" width="11.7109375" customWidth="1"/>
    <col min="13" max="13" width="12.28515625" customWidth="1"/>
    <col min="14" max="14" width="26.7109375" customWidth="1"/>
    <col min="15" max="15" width="30.7109375" customWidth="1"/>
  </cols>
  <sheetData>
    <row r="1" spans="1:15" ht="30" customHeight="1">
      <c r="A1" s="1" t="s">
        <v>0</v>
      </c>
      <c r="B1" s="1"/>
      <c r="C1" s="1"/>
      <c r="D1" s="1"/>
      <c r="E1" s="1"/>
      <c r="F1" s="1"/>
      <c r="G1" s="1"/>
      <c r="H1" s="1"/>
      <c r="I1" s="1"/>
      <c r="J1" s="1"/>
      <c r="K1" s="1"/>
      <c r="L1" s="1"/>
      <c r="M1" s="1"/>
      <c r="N1" s="1"/>
      <c r="O1" s="1"/>
    </row>
    <row r="2" spans="1:15" ht="21" customHeight="1">
      <c r="B2" s="2" t="s">
        <v>24</v>
      </c>
      <c r="C2" s="2"/>
      <c r="D2" s="2"/>
      <c r="E2" s="2"/>
      <c r="F2" s="2"/>
      <c r="G2" s="2"/>
      <c r="H2" s="2"/>
      <c r="I2" s="2"/>
      <c r="J2" s="2"/>
      <c r="K2" s="2"/>
      <c r="L2" s="2"/>
      <c r="M2" s="2"/>
      <c r="N2" s="2"/>
      <c r="O2" s="3" t="s">
        <v>2</v>
      </c>
    </row>
    <row r="3" spans="1:15" ht="6" customHeight="1"/>
    <row r="4" spans="1:15" ht="18" customHeight="1">
      <c r="B4" s="35" t="s">
        <v>148</v>
      </c>
      <c r="C4" s="35"/>
      <c r="D4" s="35"/>
      <c r="E4" s="35"/>
      <c r="F4" s="35"/>
      <c r="G4" s="35"/>
      <c r="H4" s="35"/>
      <c r="I4" s="35"/>
      <c r="J4" s="35"/>
      <c r="K4" s="35"/>
      <c r="L4" s="35"/>
      <c r="M4" s="35"/>
      <c r="N4" s="35"/>
      <c r="O4" s="35"/>
    </row>
    <row r="5" spans="1:15" ht="14" customHeight="1">
      <c r="B5" s="32"/>
      <c r="C5" s="32"/>
      <c r="D5" s="32" t="s">
        <v>137</v>
      </c>
      <c r="E5" s="32" t="str">
        <f>Currency&amp;"/unit"</f>
        <v>USD/unit</v>
      </c>
      <c r="F5" s="32" t="str">
        <f>Currency</f>
        <v>USD</v>
      </c>
      <c r="G5" s="32" t="s">
        <v>137</v>
      </c>
      <c r="H5" s="32" t="str">
        <f>Currency</f>
        <v>USD</v>
      </c>
      <c r="I5" s="32"/>
      <c r="J5" s="32"/>
      <c r="K5" s="32"/>
      <c r="L5" s="32" t="str">
        <f>Currency&amp;"/unit"</f>
        <v>USD/unit</v>
      </c>
      <c r="M5" s="32"/>
      <c r="N5" s="32"/>
      <c r="O5" s="32"/>
    </row>
    <row r="6" spans="1:15" ht="32" customHeight="1">
      <c r="B6" s="33" t="s">
        <v>125</v>
      </c>
      <c r="C6" s="33" t="s">
        <v>64</v>
      </c>
      <c r="D6" s="33" t="s">
        <v>142</v>
      </c>
      <c r="E6" s="33" t="s">
        <v>68</v>
      </c>
      <c r="F6" s="33" t="s">
        <v>143</v>
      </c>
      <c r="G6" s="33" t="s">
        <v>126</v>
      </c>
      <c r="H6" s="33" t="s">
        <v>132</v>
      </c>
      <c r="I6" s="33" t="s">
        <v>144</v>
      </c>
      <c r="J6" s="33" t="s">
        <v>145</v>
      </c>
      <c r="K6" s="33" t="s">
        <v>146</v>
      </c>
      <c r="L6" s="33" t="s">
        <v>147</v>
      </c>
      <c r="M6" s="33" t="s">
        <v>133</v>
      </c>
      <c r="N6" s="33" t="s">
        <v>134</v>
      </c>
      <c r="O6" s="33" t="s">
        <v>135</v>
      </c>
    </row>
    <row r="7" spans="1:15">
      <c r="B7" s="36">
        <v>46258</v>
      </c>
      <c r="C7" s="28" t="s">
        <v>87</v>
      </c>
      <c r="D7" s="37">
        <v>315</v>
      </c>
      <c r="E7" s="38">
        <f>IF(tblProduction[[#This Row],[Date]]="","",IFERROR(INDEX(tblParts[Standard cost],MATCH(tblProduction[[#This Row],[Part]],tblParts[Part],0)),""))</f>
        <v>19</v>
      </c>
      <c r="F7" s="44">
        <f>IF(tblProduction[[#This Row],[Date]]="","",IF(tblProduction[[#This Row],[Standard cost]]="","",tblProduction[[#This Row],[Produced]]*tblProduction[[#This Row],[Standard cost]]))</f>
        <v>5985</v>
      </c>
      <c r="G7" s="44">
        <f>IF(tblProduction[[#This Row],[Date]]="","",SUMIFS(tblScrap[Scrapped],tblScrap[Date],tblProduction[[#This Row],[Date]],tblScrap[Part],tblProduction[[#This Row],[Part]]))</f>
        <v>0</v>
      </c>
      <c r="H7" s="38">
        <f>IF(tblProduction[[#This Row],[Date]]="","",SUMIFS(tblScrap[Net scrap cost],tblScrap[Date],tblProduction[[#This Row],[Date]],tblScrap[Part],tblProduction[[#This Row],[Part]]))</f>
        <v>0</v>
      </c>
      <c r="I7" s="45">
        <f>IF(tblProduction[[#This Row],[Date]]="","",IF(tblProduction[[#This Row],[Produced]]&gt;0,tblProduction[[#This Row],[Scrapped]]/tblProduction[[#This Row],[Produced]],""))</f>
        <v>0</v>
      </c>
      <c r="J7" s="46" t="str">
        <f>IF(NOT(ISNUMBER(tblProduction[[#This Row],[Scrap rate]])),"",IF(tblProduction[[#This Row],[Scrap rate]]&lt;=TargetRate,"On target",IF(tblProduction[[#This Row],[Scrap rate]]&lt;=TargetRate*(1+0.05),"Near target","Above target")))</f>
        <v>On target</v>
      </c>
      <c r="K7" s="45">
        <f>IF(tblProduction[[#This Row],[Date]]="","",IF(N(tblProduction[[#This Row],[Production value]])&gt;0,tblProduction[[#This Row],[Net scrap cost]]/tblProduction[[#This Row],[Production value]],""))</f>
        <v>0</v>
      </c>
      <c r="L7" s="47">
        <f>IF(tblProduction[[#This Row],[Date]]="","",IF(tblProduction[[#This Row],[Produced]]-tblProduction[[#This Row],[Scrapped]]&gt;0,tblProduction[[#This Row],[Net scrap cost]]/(tblProduction[[#This Row],[Produced]]-tblProduction[[#This Row],[Scrapped]]),""))</f>
        <v>0</v>
      </c>
      <c r="M7" s="41">
        <f>IF(tblProduction[[#This Row],[Date]]="","",IF(AND(tblProduction[[#This Row],[Date]]&gt;=FFrom,tblProduction[[#This Row],[Date]]&lt;=FTo,OR(DashPart="",tblProduction[[#This Row],[Part]]=DashPart)),tblProduction[[#This Row],[Date]],""))</f>
        <v>46258</v>
      </c>
      <c r="N7"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7" s="43" t="s">
        <v>139</v>
      </c>
    </row>
    <row r="8" spans="1:15">
      <c r="B8" s="36">
        <v>46258</v>
      </c>
      <c r="C8" s="28" t="s">
        <v>89</v>
      </c>
      <c r="D8" s="37">
        <v>275</v>
      </c>
      <c r="E8" s="38">
        <f>IF(tblProduction[[#This Row],[Date]]="","",IFERROR(INDEX(tblParts[Standard cost],MATCH(tblProduction[[#This Row],[Part]],tblParts[Part],0)),""))</f>
        <v>26</v>
      </c>
      <c r="F8" s="44">
        <f>IF(tblProduction[[#This Row],[Date]]="","",IF(tblProduction[[#This Row],[Standard cost]]="","",tblProduction[[#This Row],[Produced]]*tblProduction[[#This Row],[Standard cost]]))</f>
        <v>7150</v>
      </c>
      <c r="G8" s="44">
        <f>IF(tblProduction[[#This Row],[Date]]="","",SUMIFS(tblScrap[Scrapped],tblScrap[Date],tblProduction[[#This Row],[Date]],tblScrap[Part],tblProduction[[#This Row],[Part]]))</f>
        <v>13</v>
      </c>
      <c r="H8" s="38">
        <f>IF(tblProduction[[#This Row],[Date]]="","",SUMIFS(tblScrap[Net scrap cost],tblScrap[Date],tblProduction[[#This Row],[Date]],tblScrap[Part],tblProduction[[#This Row],[Part]]))</f>
        <v>193.87</v>
      </c>
      <c r="I8" s="45">
        <f>IF(tblProduction[[#This Row],[Date]]="","",IF(tblProduction[[#This Row],[Produced]]&gt;0,tblProduction[[#This Row],[Scrapped]]/tblProduction[[#This Row],[Produced]],""))</f>
        <v>0.0472727272727273</v>
      </c>
      <c r="J8" s="46" t="str">
        <f>IF(NOT(ISNUMBER(tblProduction[[#This Row],[Scrap rate]])),"",IF(tblProduction[[#This Row],[Scrap rate]]&lt;=TargetRate,"On target",IF(tblProduction[[#This Row],[Scrap rate]]&lt;=TargetRate*(1+0.05),"Near target","Above target")))</f>
        <v>Above target</v>
      </c>
      <c r="K8" s="45">
        <f>IF(tblProduction[[#This Row],[Date]]="","",IF(N(tblProduction[[#This Row],[Production value]])&gt;0,tblProduction[[#This Row],[Net scrap cost]]/tblProduction[[#This Row],[Production value]],""))</f>
        <v>0.0271146853146853</v>
      </c>
      <c r="L8" s="47">
        <f>IF(tblProduction[[#This Row],[Date]]="","",IF(tblProduction[[#This Row],[Produced]]-tblProduction[[#This Row],[Scrapped]]&gt;0,tblProduction[[#This Row],[Net scrap cost]]/(tblProduction[[#This Row],[Produced]]-tblProduction[[#This Row],[Scrapped]]),""))</f>
        <v>0.739961832061069</v>
      </c>
      <c r="M8" s="41">
        <f>IF(tblProduction[[#This Row],[Date]]="","",IF(AND(tblProduction[[#This Row],[Date]]&gt;=FFrom,tblProduction[[#This Row],[Date]]&lt;=FTo,OR(DashPart="",tblProduction[[#This Row],[Part]]=DashPart)),tblProduction[[#This Row],[Date]],""))</f>
        <v>46258</v>
      </c>
      <c r="N8"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8" s="43" t="s">
        <v>139</v>
      </c>
    </row>
    <row r="9" spans="1:15">
      <c r="B9" s="36">
        <v>46258</v>
      </c>
      <c r="C9" s="28" t="s">
        <v>91</v>
      </c>
      <c r="D9" s="37">
        <v>840</v>
      </c>
      <c r="E9" s="38">
        <f>IF(tblProduction[[#This Row],[Date]]="","",IFERROR(INDEX(tblParts[Standard cost],MATCH(tblProduction[[#This Row],[Part]],tblParts[Part],0)),""))</f>
        <v>5.35</v>
      </c>
      <c r="F9" s="44">
        <f>IF(tblProduction[[#This Row],[Date]]="","",IF(tblProduction[[#This Row],[Standard cost]]="","",tblProduction[[#This Row],[Produced]]*tblProduction[[#This Row],[Standard cost]]))</f>
        <v>4494</v>
      </c>
      <c r="G9" s="44">
        <f>IF(tblProduction[[#This Row],[Date]]="","",SUMIFS(tblScrap[Scrapped],tblScrap[Date],tblProduction[[#This Row],[Date]],tblScrap[Part],tblProduction[[#This Row],[Part]]))</f>
        <v>29</v>
      </c>
      <c r="H9" s="38">
        <f>IF(tblProduction[[#This Row],[Date]]="","",SUMIFS(tblScrap[Net scrap cost],tblScrap[Date],tblProduction[[#This Row],[Date]],tblScrap[Part],tblProduction[[#This Row],[Part]]))</f>
        <v>104.277</v>
      </c>
      <c r="I9" s="45">
        <f>IF(tblProduction[[#This Row],[Date]]="","",IF(tblProduction[[#This Row],[Produced]]&gt;0,tblProduction[[#This Row],[Scrapped]]/tblProduction[[#This Row],[Produced]],""))</f>
        <v>0.0345238095238095</v>
      </c>
      <c r="J9" s="46" t="str">
        <f>IF(NOT(ISNUMBER(tblProduction[[#This Row],[Scrap rate]])),"",IF(tblProduction[[#This Row],[Scrap rate]]&lt;=TargetRate,"On target",IF(tblProduction[[#This Row],[Scrap rate]]&lt;=TargetRate*(1+0.05),"Near target","Above target")))</f>
        <v>Above target</v>
      </c>
      <c r="K9" s="45">
        <f>IF(tblProduction[[#This Row],[Date]]="","",IF(N(tblProduction[[#This Row],[Production value]])&gt;0,tblProduction[[#This Row],[Net scrap cost]]/tblProduction[[#This Row],[Production value]],""))</f>
        <v>0.0232036048064085</v>
      </c>
      <c r="L9" s="47">
        <f>IF(tblProduction[[#This Row],[Date]]="","",IF(tblProduction[[#This Row],[Produced]]-tblProduction[[#This Row],[Scrapped]]&gt;0,tblProduction[[#This Row],[Net scrap cost]]/(tblProduction[[#This Row],[Produced]]-tblProduction[[#This Row],[Scrapped]]),""))</f>
        <v>0.128578298397041</v>
      </c>
      <c r="M9" s="41">
        <f>IF(tblProduction[[#This Row],[Date]]="","",IF(AND(tblProduction[[#This Row],[Date]]&gt;=FFrom,tblProduction[[#This Row],[Date]]&lt;=FTo,OR(DashPart="",tblProduction[[#This Row],[Part]]=DashPart)),tblProduction[[#This Row],[Date]],""))</f>
        <v>46258</v>
      </c>
      <c r="N9"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9" s="43" t="s">
        <v>139</v>
      </c>
    </row>
    <row r="10" spans="1:15">
      <c r="B10" s="36">
        <v>46258</v>
      </c>
      <c r="C10" s="28" t="s">
        <v>93</v>
      </c>
      <c r="D10" s="37">
        <v>570</v>
      </c>
      <c r="E10" s="38">
        <f>IF(tblProduction[[#This Row],[Date]]="","",IFERROR(INDEX(tblParts[Standard cost],MATCH(tblProduction[[#This Row],[Part]],tblParts[Part],0)),""))</f>
        <v>11.35</v>
      </c>
      <c r="F10" s="44">
        <f>IF(tblProduction[[#This Row],[Date]]="","",IF(tblProduction[[#This Row],[Standard cost]]="","",tblProduction[[#This Row],[Produced]]*tblProduction[[#This Row],[Standard cost]]))</f>
        <v>6469.5</v>
      </c>
      <c r="G10" s="44">
        <f>IF(tblProduction[[#This Row],[Date]]="","",SUMIFS(tblScrap[Scrapped],tblScrap[Date],tblProduction[[#This Row],[Date]],tblScrap[Part],tblProduction[[#This Row],[Part]]))</f>
        <v>10</v>
      </c>
      <c r="H10" s="38">
        <f>IF(tblProduction[[#This Row],[Date]]="","",SUMIFS(tblScrap[Net scrap cost],tblScrap[Date],tblProduction[[#This Row],[Date]],tblScrap[Part],tblProduction[[#This Row],[Part]]))</f>
        <v>47.65</v>
      </c>
      <c r="I10" s="45">
        <f>IF(tblProduction[[#This Row],[Date]]="","",IF(tblProduction[[#This Row],[Produced]]&gt;0,tblProduction[[#This Row],[Scrapped]]/tblProduction[[#This Row],[Produced]],""))</f>
        <v>0.0175438596491228</v>
      </c>
      <c r="J10" s="46" t="str">
        <f>IF(NOT(ISNUMBER(tblProduction[[#This Row],[Scrap rate]])),"",IF(tblProduction[[#This Row],[Scrap rate]]&lt;=TargetRate,"On target",IF(tblProduction[[#This Row],[Scrap rate]]&lt;=TargetRate*(1+0.05),"Near target","Above target")))</f>
        <v>On target</v>
      </c>
      <c r="K10" s="45">
        <f>IF(tblProduction[[#This Row],[Date]]="","",IF(N(tblProduction[[#This Row],[Production value]])&gt;0,tblProduction[[#This Row],[Net scrap cost]]/tblProduction[[#This Row],[Production value]],""))</f>
        <v>0.00736532962361852</v>
      </c>
      <c r="L10" s="47">
        <f>IF(tblProduction[[#This Row],[Date]]="","",IF(tblProduction[[#This Row],[Produced]]-tblProduction[[#This Row],[Scrapped]]&gt;0,tblProduction[[#This Row],[Net scrap cost]]/(tblProduction[[#This Row],[Produced]]-tblProduction[[#This Row],[Scrapped]]),""))</f>
        <v>0.0850892857142857</v>
      </c>
      <c r="M10" s="41">
        <f>IF(tblProduction[[#This Row],[Date]]="","",IF(AND(tblProduction[[#This Row],[Date]]&gt;=FFrom,tblProduction[[#This Row],[Date]]&lt;=FTo,OR(DashPart="",tblProduction[[#This Row],[Part]]=DashPart)),tblProduction[[#This Row],[Date]],""))</f>
        <v>46258</v>
      </c>
      <c r="N10"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0" s="43" t="s">
        <v>139</v>
      </c>
    </row>
    <row r="11" spans="1:15">
      <c r="B11" s="36">
        <v>46259</v>
      </c>
      <c r="C11" s="28" t="s">
        <v>87</v>
      </c>
      <c r="D11" s="37">
        <v>345</v>
      </c>
      <c r="E11" s="38">
        <f>IF(tblProduction[[#This Row],[Date]]="","",IFERROR(INDEX(tblParts[Standard cost],MATCH(tblProduction[[#This Row],[Part]],tblParts[Part],0)),""))</f>
        <v>19</v>
      </c>
      <c r="F11" s="44">
        <f>IF(tblProduction[[#This Row],[Date]]="","",IF(tblProduction[[#This Row],[Standard cost]]="","",tblProduction[[#This Row],[Produced]]*tblProduction[[#This Row],[Standard cost]]))</f>
        <v>6555</v>
      </c>
      <c r="G11" s="44">
        <f>IF(tblProduction[[#This Row],[Date]]="","",SUMIFS(tblScrap[Scrapped],tblScrap[Date],tblProduction[[#This Row],[Date]],tblScrap[Part],tblProduction[[#This Row],[Part]]))</f>
        <v>0</v>
      </c>
      <c r="H11" s="38">
        <f>IF(tblProduction[[#This Row],[Date]]="","",SUMIFS(tblScrap[Net scrap cost],tblScrap[Date],tblProduction[[#This Row],[Date]],tblScrap[Part],tblProduction[[#This Row],[Part]]))</f>
        <v>0</v>
      </c>
      <c r="I11" s="45">
        <f>IF(tblProduction[[#This Row],[Date]]="","",IF(tblProduction[[#This Row],[Produced]]&gt;0,tblProduction[[#This Row],[Scrapped]]/tblProduction[[#This Row],[Produced]],""))</f>
        <v>0</v>
      </c>
      <c r="J11" s="46" t="str">
        <f>IF(NOT(ISNUMBER(tblProduction[[#This Row],[Scrap rate]])),"",IF(tblProduction[[#This Row],[Scrap rate]]&lt;=TargetRate,"On target",IF(tblProduction[[#This Row],[Scrap rate]]&lt;=TargetRate*(1+0.05),"Near target","Above target")))</f>
        <v>On target</v>
      </c>
      <c r="K11" s="45">
        <f>IF(tblProduction[[#This Row],[Date]]="","",IF(N(tblProduction[[#This Row],[Production value]])&gt;0,tblProduction[[#This Row],[Net scrap cost]]/tblProduction[[#This Row],[Production value]],""))</f>
        <v>0</v>
      </c>
      <c r="L11" s="47">
        <f>IF(tblProduction[[#This Row],[Date]]="","",IF(tblProduction[[#This Row],[Produced]]-tblProduction[[#This Row],[Scrapped]]&gt;0,tblProduction[[#This Row],[Net scrap cost]]/(tblProduction[[#This Row],[Produced]]-tblProduction[[#This Row],[Scrapped]]),""))</f>
        <v>0</v>
      </c>
      <c r="M11" s="41">
        <f>IF(tblProduction[[#This Row],[Date]]="","",IF(AND(tblProduction[[#This Row],[Date]]&gt;=FFrom,tblProduction[[#This Row],[Date]]&lt;=FTo,OR(DashPart="",tblProduction[[#This Row],[Part]]=DashPart)),tblProduction[[#This Row],[Date]],""))</f>
        <v>46259</v>
      </c>
      <c r="N11"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1" s="43" t="s">
        <v>139</v>
      </c>
    </row>
    <row r="12" spans="1:15">
      <c r="B12" s="36">
        <v>46259</v>
      </c>
      <c r="C12" s="28" t="s">
        <v>89</v>
      </c>
      <c r="D12" s="37">
        <v>270</v>
      </c>
      <c r="E12" s="38">
        <f>IF(tblProduction[[#This Row],[Date]]="","",IFERROR(INDEX(tblParts[Standard cost],MATCH(tblProduction[[#This Row],[Part]],tblParts[Part],0)),""))</f>
        <v>26</v>
      </c>
      <c r="F12" s="44">
        <f>IF(tblProduction[[#This Row],[Date]]="","",IF(tblProduction[[#This Row],[Standard cost]]="","",tblProduction[[#This Row],[Produced]]*tblProduction[[#This Row],[Standard cost]]))</f>
        <v>7020</v>
      </c>
      <c r="G12" s="44">
        <f>IF(tblProduction[[#This Row],[Date]]="","",SUMIFS(tblScrap[Scrapped],tblScrap[Date],tblProduction[[#This Row],[Date]],tblScrap[Part],tblProduction[[#This Row],[Part]]))</f>
        <v>11</v>
      </c>
      <c r="H12" s="38">
        <f>IF(tblProduction[[#This Row],[Date]]="","",SUMIFS(tblScrap[Net scrap cost],tblScrap[Date],tblProduction[[#This Row],[Date]],tblScrap[Part],tblProduction[[#This Row],[Part]]))</f>
        <v>195.89</v>
      </c>
      <c r="I12" s="45">
        <f>IF(tblProduction[[#This Row],[Date]]="","",IF(tblProduction[[#This Row],[Produced]]&gt;0,tblProduction[[#This Row],[Scrapped]]/tblProduction[[#This Row],[Produced]],""))</f>
        <v>0.0407407407407407</v>
      </c>
      <c r="J12" s="46" t="str">
        <f>IF(NOT(ISNUMBER(tblProduction[[#This Row],[Scrap rate]])),"",IF(tblProduction[[#This Row],[Scrap rate]]&lt;=TargetRate,"On target",IF(tblProduction[[#This Row],[Scrap rate]]&lt;=TargetRate*(1+0.05),"Near target","Above target")))</f>
        <v>Above target</v>
      </c>
      <c r="K12" s="45">
        <f>IF(tblProduction[[#This Row],[Date]]="","",IF(N(tblProduction[[#This Row],[Production value]])&gt;0,tblProduction[[#This Row],[Net scrap cost]]/tblProduction[[#This Row],[Production value]],""))</f>
        <v>0.0279045584045584</v>
      </c>
      <c r="L12" s="47">
        <f>IF(tblProduction[[#This Row],[Date]]="","",IF(tblProduction[[#This Row],[Produced]]-tblProduction[[#This Row],[Scrapped]]&gt;0,tblProduction[[#This Row],[Net scrap cost]]/(tblProduction[[#This Row],[Produced]]-tblProduction[[#This Row],[Scrapped]]),""))</f>
        <v>0.756332046332046</v>
      </c>
      <c r="M12" s="41">
        <f>IF(tblProduction[[#This Row],[Date]]="","",IF(AND(tblProduction[[#This Row],[Date]]&gt;=FFrom,tblProduction[[#This Row],[Date]]&lt;=FTo,OR(DashPart="",tblProduction[[#This Row],[Part]]=DashPart)),tblProduction[[#This Row],[Date]],""))</f>
        <v>46259</v>
      </c>
      <c r="N12"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2" s="43" t="s">
        <v>139</v>
      </c>
    </row>
    <row r="13" spans="1:15">
      <c r="B13" s="36">
        <v>46259</v>
      </c>
      <c r="C13" s="28" t="s">
        <v>91</v>
      </c>
      <c r="D13" s="37">
        <v>765</v>
      </c>
      <c r="E13" s="38">
        <f>IF(tblProduction[[#This Row],[Date]]="","",IFERROR(INDEX(tblParts[Standard cost],MATCH(tblProduction[[#This Row],[Part]],tblParts[Part],0)),""))</f>
        <v>5.35</v>
      </c>
      <c r="F13" s="44">
        <f>IF(tblProduction[[#This Row],[Date]]="","",IF(tblProduction[[#This Row],[Standard cost]]="","",tblProduction[[#This Row],[Produced]]*tblProduction[[#This Row],[Standard cost]]))</f>
        <v>4092.75</v>
      </c>
      <c r="G13" s="44">
        <f>IF(tblProduction[[#This Row],[Date]]="","",SUMIFS(tblScrap[Scrapped],tblScrap[Date],tblProduction[[#This Row],[Date]],tblScrap[Part],tblProduction[[#This Row],[Part]]))</f>
        <v>6</v>
      </c>
      <c r="H13" s="38">
        <f>IF(tblProduction[[#This Row],[Date]]="","",SUMIFS(tblScrap[Net scrap cost],tblScrap[Date],tblProduction[[#This Row],[Date]],tblScrap[Part],tblProduction[[#This Row],[Part]]))</f>
        <v>25.878</v>
      </c>
      <c r="I13" s="45">
        <f>IF(tblProduction[[#This Row],[Date]]="","",IF(tblProduction[[#This Row],[Produced]]&gt;0,tblProduction[[#This Row],[Scrapped]]/tblProduction[[#This Row],[Produced]],""))</f>
        <v>0.00784313725490196</v>
      </c>
      <c r="J13" s="46" t="str">
        <f>IF(NOT(ISNUMBER(tblProduction[[#This Row],[Scrap rate]])),"",IF(tblProduction[[#This Row],[Scrap rate]]&lt;=TargetRate,"On target",IF(tblProduction[[#This Row],[Scrap rate]]&lt;=TargetRate*(1+0.05),"Near target","Above target")))</f>
        <v>On target</v>
      </c>
      <c r="K13" s="45">
        <f>IF(tblProduction[[#This Row],[Date]]="","",IF(N(tblProduction[[#This Row],[Production value]])&gt;0,tblProduction[[#This Row],[Net scrap cost]]/tblProduction[[#This Row],[Production value]],""))</f>
        <v>0.00632288803371816</v>
      </c>
      <c r="L13" s="47">
        <f>IF(tblProduction[[#This Row],[Date]]="","",IF(tblProduction[[#This Row],[Produced]]-tblProduction[[#This Row],[Scrapped]]&gt;0,tblProduction[[#This Row],[Net scrap cost]]/(tblProduction[[#This Row],[Produced]]-tblProduction[[#This Row],[Scrapped]]),""))</f>
        <v>0.0340948616600791</v>
      </c>
      <c r="M13" s="41">
        <f>IF(tblProduction[[#This Row],[Date]]="","",IF(AND(tblProduction[[#This Row],[Date]]&gt;=FFrom,tblProduction[[#This Row],[Date]]&lt;=FTo,OR(DashPart="",tblProduction[[#This Row],[Part]]=DashPart)),tblProduction[[#This Row],[Date]],""))</f>
        <v>46259</v>
      </c>
      <c r="N13"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3" s="43" t="s">
        <v>139</v>
      </c>
    </row>
    <row r="14" spans="1:15">
      <c r="B14" s="36">
        <v>46259</v>
      </c>
      <c r="C14" s="28" t="s">
        <v>93</v>
      </c>
      <c r="D14" s="37">
        <v>495</v>
      </c>
      <c r="E14" s="38">
        <f>IF(tblProduction[[#This Row],[Date]]="","",IFERROR(INDEX(tblParts[Standard cost],MATCH(tblProduction[[#This Row],[Part]],tblParts[Part],0)),""))</f>
        <v>11.35</v>
      </c>
      <c r="F14" s="44">
        <f>IF(tblProduction[[#This Row],[Date]]="","",IF(tblProduction[[#This Row],[Standard cost]]="","",tblProduction[[#This Row],[Produced]]*tblProduction[[#This Row],[Standard cost]]))</f>
        <v>5618.25</v>
      </c>
      <c r="G14" s="44">
        <f>IF(tblProduction[[#This Row],[Date]]="","",SUMIFS(tblScrap[Scrapped],tblScrap[Date],tblProduction[[#This Row],[Date]],tblScrap[Part],tblProduction[[#This Row],[Part]]))</f>
        <v>12</v>
      </c>
      <c r="H14" s="38">
        <f>IF(tblProduction[[#This Row],[Date]]="","",SUMIFS(tblScrap[Net scrap cost],tblScrap[Date],tblProduction[[#This Row],[Date]],tblScrap[Part],tblProduction[[#This Row],[Part]]))</f>
        <v>57.18</v>
      </c>
      <c r="I14" s="45">
        <f>IF(tblProduction[[#This Row],[Date]]="","",IF(tblProduction[[#This Row],[Produced]]&gt;0,tblProduction[[#This Row],[Scrapped]]/tblProduction[[#This Row],[Produced]],""))</f>
        <v>0.0242424242424242</v>
      </c>
      <c r="J14" s="46" t="str">
        <f>IF(NOT(ISNUMBER(tblProduction[[#This Row],[Scrap rate]])),"",IF(tblProduction[[#This Row],[Scrap rate]]&lt;=TargetRate,"On target",IF(tblProduction[[#This Row],[Scrap rate]]&lt;=TargetRate*(1+0.05),"Near target","Above target")))</f>
        <v>Above target</v>
      </c>
      <c r="K14" s="45">
        <f>IF(tblProduction[[#This Row],[Date]]="","",IF(N(tblProduction[[#This Row],[Production value]])&gt;0,tblProduction[[#This Row],[Net scrap cost]]/tblProduction[[#This Row],[Production value]],""))</f>
        <v>0.0101775463890001</v>
      </c>
      <c r="L14" s="47">
        <f>IF(tblProduction[[#This Row],[Date]]="","",IF(tblProduction[[#This Row],[Produced]]-tblProduction[[#This Row],[Scrapped]]&gt;0,tblProduction[[#This Row],[Net scrap cost]]/(tblProduction[[#This Row],[Produced]]-tblProduction[[#This Row],[Scrapped]]),""))</f>
        <v>0.118385093167702</v>
      </c>
      <c r="M14" s="41">
        <f>IF(tblProduction[[#This Row],[Date]]="","",IF(AND(tblProduction[[#This Row],[Date]]&gt;=FFrom,tblProduction[[#This Row],[Date]]&lt;=FTo,OR(DashPart="",tblProduction[[#This Row],[Part]]=DashPart)),tblProduction[[#This Row],[Date]],""))</f>
        <v>46259</v>
      </c>
      <c r="N14"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4" s="43" t="s">
        <v>139</v>
      </c>
    </row>
    <row r="15" spans="1:15">
      <c r="B15" s="36">
        <v>46260</v>
      </c>
      <c r="C15" s="28" t="s">
        <v>87</v>
      </c>
      <c r="D15" s="37">
        <v>305</v>
      </c>
      <c r="E15" s="38">
        <f>IF(tblProduction[[#This Row],[Date]]="","",IFERROR(INDEX(tblParts[Standard cost],MATCH(tblProduction[[#This Row],[Part]],tblParts[Part],0)),""))</f>
        <v>19</v>
      </c>
      <c r="F15" s="44">
        <f>IF(tblProduction[[#This Row],[Date]]="","",IF(tblProduction[[#This Row],[Standard cost]]="","",tblProduction[[#This Row],[Produced]]*tblProduction[[#This Row],[Standard cost]]))</f>
        <v>5795</v>
      </c>
      <c r="G15" s="44">
        <f>IF(tblProduction[[#This Row],[Date]]="","",SUMIFS(tblScrap[Scrapped],tblScrap[Date],tblProduction[[#This Row],[Date]],tblScrap[Part],tblProduction[[#This Row],[Part]]))</f>
        <v>4</v>
      </c>
      <c r="H15" s="38">
        <f>IF(tblProduction[[#This Row],[Date]]="","",SUMIFS(tblScrap[Net scrap cost],tblScrap[Date],tblProduction[[#This Row],[Date]],tblScrap[Part],tblProduction[[#This Row],[Part]]))</f>
        <v>62.41</v>
      </c>
      <c r="I15" s="45">
        <f>IF(tblProduction[[#This Row],[Date]]="","",IF(tblProduction[[#This Row],[Produced]]&gt;0,tblProduction[[#This Row],[Scrapped]]/tblProduction[[#This Row],[Produced]],""))</f>
        <v>0.0131147540983607</v>
      </c>
      <c r="J15" s="46" t="str">
        <f>IF(NOT(ISNUMBER(tblProduction[[#This Row],[Scrap rate]])),"",IF(tblProduction[[#This Row],[Scrap rate]]&lt;=TargetRate,"On target",IF(tblProduction[[#This Row],[Scrap rate]]&lt;=TargetRate*(1+0.05),"Near target","Above target")))</f>
        <v>On target</v>
      </c>
      <c r="K15" s="45">
        <f>IF(tblProduction[[#This Row],[Date]]="","",IF(N(tblProduction[[#This Row],[Production value]])&gt;0,tblProduction[[#This Row],[Net scrap cost]]/tblProduction[[#This Row],[Production value]],""))</f>
        <v>0.0107696289905091</v>
      </c>
      <c r="L15" s="47">
        <f>IF(tblProduction[[#This Row],[Date]]="","",IF(tblProduction[[#This Row],[Produced]]-tblProduction[[#This Row],[Scrapped]]&gt;0,tblProduction[[#This Row],[Net scrap cost]]/(tblProduction[[#This Row],[Produced]]-tblProduction[[#This Row],[Scrapped]]),""))</f>
        <v>0.20734219269103</v>
      </c>
      <c r="M15" s="41">
        <f>IF(tblProduction[[#This Row],[Date]]="","",IF(AND(tblProduction[[#This Row],[Date]]&gt;=FFrom,tblProduction[[#This Row],[Date]]&lt;=FTo,OR(DashPart="",tblProduction[[#This Row],[Part]]=DashPart)),tblProduction[[#This Row],[Date]],""))</f>
        <v>46260</v>
      </c>
      <c r="N15"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5" s="43" t="s">
        <v>139</v>
      </c>
    </row>
    <row r="16" spans="1:15">
      <c r="B16" s="36">
        <v>46260</v>
      </c>
      <c r="C16" s="28" t="s">
        <v>89</v>
      </c>
      <c r="D16" s="37">
        <v>280</v>
      </c>
      <c r="E16" s="38">
        <f>IF(tblProduction[[#This Row],[Date]]="","",IFERROR(INDEX(tblParts[Standard cost],MATCH(tblProduction[[#This Row],[Part]],tblParts[Part],0)),""))</f>
        <v>26</v>
      </c>
      <c r="F16" s="44">
        <f>IF(tblProduction[[#This Row],[Date]]="","",IF(tblProduction[[#This Row],[Standard cost]]="","",tblProduction[[#This Row],[Produced]]*tblProduction[[#This Row],[Standard cost]]))</f>
        <v>7280</v>
      </c>
      <c r="G16" s="44">
        <f>IF(tblProduction[[#This Row],[Date]]="","",SUMIFS(tblScrap[Scrapped],tblScrap[Date],tblProduction[[#This Row],[Date]],tblScrap[Part],tblProduction[[#This Row],[Part]]))</f>
        <v>17</v>
      </c>
      <c r="H16" s="38">
        <f>IF(tblProduction[[#This Row],[Date]]="","",SUMIFS(tblScrap[Net scrap cost],tblScrap[Date],tblProduction[[#This Row],[Date]],tblScrap[Part],tblProduction[[#This Row],[Part]]))</f>
        <v>304.83</v>
      </c>
      <c r="I16" s="45">
        <f>IF(tblProduction[[#This Row],[Date]]="","",IF(tblProduction[[#This Row],[Produced]]&gt;0,tblProduction[[#This Row],[Scrapped]]/tblProduction[[#This Row],[Produced]],""))</f>
        <v>0.0607142857142857</v>
      </c>
      <c r="J16" s="46" t="str">
        <f>IF(NOT(ISNUMBER(tblProduction[[#This Row],[Scrap rate]])),"",IF(tblProduction[[#This Row],[Scrap rate]]&lt;=TargetRate,"On target",IF(tblProduction[[#This Row],[Scrap rate]]&lt;=TargetRate*(1+0.05),"Near target","Above target")))</f>
        <v>Above target</v>
      </c>
      <c r="K16" s="45">
        <f>IF(tblProduction[[#This Row],[Date]]="","",IF(N(tblProduction[[#This Row],[Production value]])&gt;0,tblProduction[[#This Row],[Net scrap cost]]/tblProduction[[#This Row],[Production value]],""))</f>
        <v>0.0418722527472528</v>
      </c>
      <c r="L16" s="47">
        <f>IF(tblProduction[[#This Row],[Date]]="","",IF(tblProduction[[#This Row],[Produced]]-tblProduction[[#This Row],[Scrapped]]&gt;0,tblProduction[[#This Row],[Net scrap cost]]/(tblProduction[[#This Row],[Produced]]-tblProduction[[#This Row],[Scrapped]]),""))</f>
        <v>1.1590494296578</v>
      </c>
      <c r="M16" s="41">
        <f>IF(tblProduction[[#This Row],[Date]]="","",IF(AND(tblProduction[[#This Row],[Date]]&gt;=FFrom,tblProduction[[#This Row],[Date]]&lt;=FTo,OR(DashPart="",tblProduction[[#This Row],[Part]]=DashPart)),tblProduction[[#This Row],[Date]],""))</f>
        <v>46260</v>
      </c>
      <c r="N16"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6" s="43" t="s">
        <v>139</v>
      </c>
    </row>
    <row r="17" spans="2:15">
      <c r="B17" s="36">
        <v>46260</v>
      </c>
      <c r="C17" s="28" t="s">
        <v>91</v>
      </c>
      <c r="D17" s="37">
        <v>770</v>
      </c>
      <c r="E17" s="38">
        <f>IF(tblProduction[[#This Row],[Date]]="","",IFERROR(INDEX(tblParts[Standard cost],MATCH(tblProduction[[#This Row],[Part]],tblParts[Part],0)),""))</f>
        <v>5.35</v>
      </c>
      <c r="F17" s="44">
        <f>IF(tblProduction[[#This Row],[Date]]="","",IF(tblProduction[[#This Row],[Standard cost]]="","",tblProduction[[#This Row],[Produced]]*tblProduction[[#This Row],[Standard cost]]))</f>
        <v>4119.5</v>
      </c>
      <c r="G17" s="44">
        <f>IF(tblProduction[[#This Row],[Date]]="","",SUMIFS(tblScrap[Scrapped],tblScrap[Date],tblProduction[[#This Row],[Date]],tblScrap[Part],tblProduction[[#This Row],[Part]]))</f>
        <v>0</v>
      </c>
      <c r="H17" s="38">
        <f>IF(tblProduction[[#This Row],[Date]]="","",SUMIFS(tblScrap[Net scrap cost],tblScrap[Date],tblProduction[[#This Row],[Date]],tblScrap[Part],tblProduction[[#This Row],[Part]]))</f>
        <v>0</v>
      </c>
      <c r="I17" s="45">
        <f>IF(tblProduction[[#This Row],[Date]]="","",IF(tblProduction[[#This Row],[Produced]]&gt;0,tblProduction[[#This Row],[Scrapped]]/tblProduction[[#This Row],[Produced]],""))</f>
        <v>0</v>
      </c>
      <c r="J17" s="46" t="str">
        <f>IF(NOT(ISNUMBER(tblProduction[[#This Row],[Scrap rate]])),"",IF(tblProduction[[#This Row],[Scrap rate]]&lt;=TargetRate,"On target",IF(tblProduction[[#This Row],[Scrap rate]]&lt;=TargetRate*(1+0.05),"Near target","Above target")))</f>
        <v>On target</v>
      </c>
      <c r="K17" s="45">
        <f>IF(tblProduction[[#This Row],[Date]]="","",IF(N(tblProduction[[#This Row],[Production value]])&gt;0,tblProduction[[#This Row],[Net scrap cost]]/tblProduction[[#This Row],[Production value]],""))</f>
        <v>0</v>
      </c>
      <c r="L17" s="47">
        <f>IF(tblProduction[[#This Row],[Date]]="","",IF(tblProduction[[#This Row],[Produced]]-tblProduction[[#This Row],[Scrapped]]&gt;0,tblProduction[[#This Row],[Net scrap cost]]/(tblProduction[[#This Row],[Produced]]-tblProduction[[#This Row],[Scrapped]]),""))</f>
        <v>0</v>
      </c>
      <c r="M17" s="41">
        <f>IF(tblProduction[[#This Row],[Date]]="","",IF(AND(tblProduction[[#This Row],[Date]]&gt;=FFrom,tblProduction[[#This Row],[Date]]&lt;=FTo,OR(DashPart="",tblProduction[[#This Row],[Part]]=DashPart)),tblProduction[[#This Row],[Date]],""))</f>
        <v>46260</v>
      </c>
      <c r="N17"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7" s="43" t="s">
        <v>139</v>
      </c>
    </row>
    <row r="18" spans="2:15">
      <c r="B18" s="36">
        <v>46260</v>
      </c>
      <c r="C18" s="28" t="s">
        <v>93</v>
      </c>
      <c r="D18" s="37">
        <v>510</v>
      </c>
      <c r="E18" s="38">
        <f>IF(tblProduction[[#This Row],[Date]]="","",IFERROR(INDEX(tblParts[Standard cost],MATCH(tblProduction[[#This Row],[Part]],tblParts[Part],0)),""))</f>
        <v>11.35</v>
      </c>
      <c r="F18" s="44">
        <f>IF(tblProduction[[#This Row],[Date]]="","",IF(tblProduction[[#This Row],[Standard cost]]="","",tblProduction[[#This Row],[Produced]]*tblProduction[[#This Row],[Standard cost]]))</f>
        <v>5788.5</v>
      </c>
      <c r="G18" s="44">
        <f>IF(tblProduction[[#This Row],[Date]]="","",SUMIFS(tblScrap[Scrapped],tblScrap[Date],tblProduction[[#This Row],[Date]],tblScrap[Part],tblProduction[[#This Row],[Part]]))</f>
        <v>0</v>
      </c>
      <c r="H18" s="38">
        <f>IF(tblProduction[[#This Row],[Date]]="","",SUMIFS(tblScrap[Net scrap cost],tblScrap[Date],tblProduction[[#This Row],[Date]],tblScrap[Part],tblProduction[[#This Row],[Part]]))</f>
        <v>0</v>
      </c>
      <c r="I18" s="45">
        <f>IF(tblProduction[[#This Row],[Date]]="","",IF(tblProduction[[#This Row],[Produced]]&gt;0,tblProduction[[#This Row],[Scrapped]]/tblProduction[[#This Row],[Produced]],""))</f>
        <v>0</v>
      </c>
      <c r="J18" s="46" t="str">
        <f>IF(NOT(ISNUMBER(tblProduction[[#This Row],[Scrap rate]])),"",IF(tblProduction[[#This Row],[Scrap rate]]&lt;=TargetRate,"On target",IF(tblProduction[[#This Row],[Scrap rate]]&lt;=TargetRate*(1+0.05),"Near target","Above target")))</f>
        <v>On target</v>
      </c>
      <c r="K18" s="45">
        <f>IF(tblProduction[[#This Row],[Date]]="","",IF(N(tblProduction[[#This Row],[Production value]])&gt;0,tblProduction[[#This Row],[Net scrap cost]]/tblProduction[[#This Row],[Production value]],""))</f>
        <v>0</v>
      </c>
      <c r="L18" s="47">
        <f>IF(tblProduction[[#This Row],[Date]]="","",IF(tblProduction[[#This Row],[Produced]]-tblProduction[[#This Row],[Scrapped]]&gt;0,tblProduction[[#This Row],[Net scrap cost]]/(tblProduction[[#This Row],[Produced]]-tblProduction[[#This Row],[Scrapped]]),""))</f>
        <v>0</v>
      </c>
      <c r="M18" s="41">
        <f>IF(tblProduction[[#This Row],[Date]]="","",IF(AND(tblProduction[[#This Row],[Date]]&gt;=FFrom,tblProduction[[#This Row],[Date]]&lt;=FTo,OR(DashPart="",tblProduction[[#This Row],[Part]]=DashPart)),tblProduction[[#This Row],[Date]],""))</f>
        <v>46260</v>
      </c>
      <c r="N18"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8" s="43" t="s">
        <v>139</v>
      </c>
    </row>
    <row r="19" spans="2:15">
      <c r="B19" s="36">
        <v>46261</v>
      </c>
      <c r="C19" s="28" t="s">
        <v>87</v>
      </c>
      <c r="D19" s="37">
        <v>315</v>
      </c>
      <c r="E19" s="38">
        <f>IF(tblProduction[[#This Row],[Date]]="","",IFERROR(INDEX(tblParts[Standard cost],MATCH(tblProduction[[#This Row],[Part]],tblParts[Part],0)),""))</f>
        <v>19</v>
      </c>
      <c r="F19" s="44">
        <f>IF(tblProduction[[#This Row],[Date]]="","",IF(tblProduction[[#This Row],[Standard cost]]="","",tblProduction[[#This Row],[Produced]]*tblProduction[[#This Row],[Standard cost]]))</f>
        <v>5985</v>
      </c>
      <c r="G19" s="44">
        <f>IF(tblProduction[[#This Row],[Date]]="","",SUMIFS(tblScrap[Scrapped],tblScrap[Date],tblProduction[[#This Row],[Date]],tblScrap[Part],tblProduction[[#This Row],[Part]]))</f>
        <v>12</v>
      </c>
      <c r="H19" s="38">
        <f>IF(tblProduction[[#This Row],[Date]]="","",SUMIFS(tblScrap[Net scrap cost],tblScrap[Date],tblProduction[[#This Row],[Date]],tblScrap[Part],tblProduction[[#This Row],[Part]]))</f>
        <v>131.43</v>
      </c>
      <c r="I19" s="45">
        <f>IF(tblProduction[[#This Row],[Date]]="","",IF(tblProduction[[#This Row],[Produced]]&gt;0,tblProduction[[#This Row],[Scrapped]]/tblProduction[[#This Row],[Produced]],""))</f>
        <v>0.0380952380952381</v>
      </c>
      <c r="J19" s="46" t="str">
        <f>IF(NOT(ISNUMBER(tblProduction[[#This Row],[Scrap rate]])),"",IF(tblProduction[[#This Row],[Scrap rate]]&lt;=TargetRate,"On target",IF(tblProduction[[#This Row],[Scrap rate]]&lt;=TargetRate*(1+0.05),"Near target","Above target")))</f>
        <v>Above target</v>
      </c>
      <c r="K19" s="45">
        <f>IF(tblProduction[[#This Row],[Date]]="","",IF(N(tblProduction[[#This Row],[Production value]])&gt;0,tblProduction[[#This Row],[Net scrap cost]]/tblProduction[[#This Row],[Production value]],""))</f>
        <v>0.0219598997493734</v>
      </c>
      <c r="L19" s="47">
        <f>IF(tblProduction[[#This Row],[Date]]="","",IF(tblProduction[[#This Row],[Produced]]-tblProduction[[#This Row],[Scrapped]]&gt;0,tblProduction[[#This Row],[Net scrap cost]]/(tblProduction[[#This Row],[Produced]]-tblProduction[[#This Row],[Scrapped]]),""))</f>
        <v>0.433762376237624</v>
      </c>
      <c r="M19" s="41">
        <f>IF(tblProduction[[#This Row],[Date]]="","",IF(AND(tblProduction[[#This Row],[Date]]&gt;=FFrom,tblProduction[[#This Row],[Date]]&lt;=FTo,OR(DashPart="",tblProduction[[#This Row],[Part]]=DashPart)),tblProduction[[#This Row],[Date]],""))</f>
        <v>46261</v>
      </c>
      <c r="N19"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9" s="43" t="s">
        <v>139</v>
      </c>
    </row>
    <row r="20" spans="2:15">
      <c r="B20" s="36">
        <v>46261</v>
      </c>
      <c r="C20" s="28" t="s">
        <v>89</v>
      </c>
      <c r="D20" s="37">
        <v>235</v>
      </c>
      <c r="E20" s="38">
        <f>IF(tblProduction[[#This Row],[Date]]="","",IFERROR(INDEX(tblParts[Standard cost],MATCH(tblProduction[[#This Row],[Part]],tblParts[Part],0)),""))</f>
        <v>26</v>
      </c>
      <c r="F20" s="44">
        <f>IF(tblProduction[[#This Row],[Date]]="","",IF(tblProduction[[#This Row],[Standard cost]]="","",tblProduction[[#This Row],[Produced]]*tblProduction[[#This Row],[Standard cost]]))</f>
        <v>6110</v>
      </c>
      <c r="G20" s="44">
        <f>IF(tblProduction[[#This Row],[Date]]="","",SUMIFS(tblScrap[Scrapped],tblScrap[Date],tblProduction[[#This Row],[Date]],tblScrap[Part],tblProduction[[#This Row],[Part]]))</f>
        <v>14</v>
      </c>
      <c r="H20" s="38">
        <f>IF(tblProduction[[#This Row],[Date]]="","",SUMIFS(tblScrap[Net scrap cost],tblScrap[Date],tblProduction[[#This Row],[Date]],tblScrap[Part],tblProduction[[#This Row],[Part]]))</f>
        <v>276.66</v>
      </c>
      <c r="I20" s="45">
        <f>IF(tblProduction[[#This Row],[Date]]="","",IF(tblProduction[[#This Row],[Produced]]&gt;0,tblProduction[[#This Row],[Scrapped]]/tblProduction[[#This Row],[Produced]],""))</f>
        <v>0.0595744680851064</v>
      </c>
      <c r="J20" s="46" t="str">
        <f>IF(NOT(ISNUMBER(tblProduction[[#This Row],[Scrap rate]])),"",IF(tblProduction[[#This Row],[Scrap rate]]&lt;=TargetRate,"On target",IF(tblProduction[[#This Row],[Scrap rate]]&lt;=TargetRate*(1+0.05),"Near target","Above target")))</f>
        <v>Above target</v>
      </c>
      <c r="K20" s="45">
        <f>IF(tblProduction[[#This Row],[Date]]="","",IF(N(tblProduction[[#This Row],[Production value]])&gt;0,tblProduction[[#This Row],[Net scrap cost]]/tblProduction[[#This Row],[Production value]],""))</f>
        <v>0.0452798690671031</v>
      </c>
      <c r="L20" s="47">
        <f>IF(tblProduction[[#This Row],[Date]]="","",IF(tblProduction[[#This Row],[Produced]]-tblProduction[[#This Row],[Scrapped]]&gt;0,tblProduction[[#This Row],[Net scrap cost]]/(tblProduction[[#This Row],[Produced]]-tblProduction[[#This Row],[Scrapped]]),""))</f>
        <v>1.25185520361991</v>
      </c>
      <c r="M20" s="41">
        <f>IF(tblProduction[[#This Row],[Date]]="","",IF(AND(tblProduction[[#This Row],[Date]]&gt;=FFrom,tblProduction[[#This Row],[Date]]&lt;=FTo,OR(DashPart="",tblProduction[[#This Row],[Part]]=DashPart)),tblProduction[[#This Row],[Date]],""))</f>
        <v>46261</v>
      </c>
      <c r="N20"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20" s="43" t="s">
        <v>139</v>
      </c>
    </row>
    <row r="21" spans="2:15">
      <c r="B21" s="36">
        <v>46261</v>
      </c>
      <c r="C21" s="28" t="s">
        <v>91</v>
      </c>
      <c r="D21" s="37">
        <v>780</v>
      </c>
      <c r="E21" s="38">
        <f>IF(tblProduction[[#This Row],[Date]]="","",IFERROR(INDEX(tblParts[Standard cost],MATCH(tblProduction[[#This Row],[Part]],tblParts[Part],0)),""))</f>
        <v>5.35</v>
      </c>
      <c r="F21" s="44">
        <f>IF(tblProduction[[#This Row],[Date]]="","",IF(tblProduction[[#This Row],[Standard cost]]="","",tblProduction[[#This Row],[Produced]]*tblProduction[[#This Row],[Standard cost]]))</f>
        <v>4173</v>
      </c>
      <c r="G21" s="44">
        <f>IF(tblProduction[[#This Row],[Date]]="","",SUMIFS(tblScrap[Scrapped],tblScrap[Date],tblProduction[[#This Row],[Date]],tblScrap[Part],tblProduction[[#This Row],[Part]]))</f>
        <v>13</v>
      </c>
      <c r="H21" s="38">
        <f>IF(tblProduction[[#This Row],[Date]]="","",SUMIFS(tblScrap[Net scrap cost],tblScrap[Date],tblProduction[[#This Row],[Date]],tblScrap[Part],tblProduction[[#This Row],[Part]]))</f>
        <v>32.669</v>
      </c>
      <c r="I21" s="45">
        <f>IF(tblProduction[[#This Row],[Date]]="","",IF(tblProduction[[#This Row],[Produced]]&gt;0,tblProduction[[#This Row],[Scrapped]]/tblProduction[[#This Row],[Produced]],""))</f>
        <v>0.0166666666666667</v>
      </c>
      <c r="J21" s="46" t="str">
        <f>IF(NOT(ISNUMBER(tblProduction[[#This Row],[Scrap rate]])),"",IF(tblProduction[[#This Row],[Scrap rate]]&lt;=TargetRate,"On target",IF(tblProduction[[#This Row],[Scrap rate]]&lt;=TargetRate*(1+0.05),"Near target","Above target")))</f>
        <v>On target</v>
      </c>
      <c r="K21" s="45">
        <f>IF(tblProduction[[#This Row],[Date]]="","",IF(N(tblProduction[[#This Row],[Production value]])&gt;0,tblProduction[[#This Row],[Net scrap cost]]/tblProduction[[#This Row],[Production value]],""))</f>
        <v>0.00782866043613707</v>
      </c>
      <c r="L21" s="47">
        <f>IF(tblProduction[[#This Row],[Date]]="","",IF(tblProduction[[#This Row],[Produced]]-tblProduction[[#This Row],[Scrapped]]&gt;0,tblProduction[[#This Row],[Net scrap cost]]/(tblProduction[[#This Row],[Produced]]-tblProduction[[#This Row],[Scrapped]]),""))</f>
        <v>0.042593220338983</v>
      </c>
      <c r="M21" s="41">
        <f>IF(tblProduction[[#This Row],[Date]]="","",IF(AND(tblProduction[[#This Row],[Date]]&gt;=FFrom,tblProduction[[#This Row],[Date]]&lt;=FTo,OR(DashPart="",tblProduction[[#This Row],[Part]]=DashPart)),tblProduction[[#This Row],[Date]],""))</f>
        <v>46261</v>
      </c>
      <c r="N21"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21" s="43" t="s">
        <v>139</v>
      </c>
    </row>
    <row r="22" spans="2:15">
      <c r="B22" s="36">
        <v>46261</v>
      </c>
      <c r="C22" s="28" t="s">
        <v>93</v>
      </c>
      <c r="D22" s="37">
        <v>500</v>
      </c>
      <c r="E22" s="38">
        <f>IF(tblProduction[[#This Row],[Date]]="","",IFERROR(INDEX(tblParts[Standard cost],MATCH(tblProduction[[#This Row],[Part]],tblParts[Part],0)),""))</f>
        <v>11.35</v>
      </c>
      <c r="F22" s="44">
        <f>IF(tblProduction[[#This Row],[Date]]="","",IF(tblProduction[[#This Row],[Standard cost]]="","",tblProduction[[#This Row],[Produced]]*tblProduction[[#This Row],[Standard cost]]))</f>
        <v>5675</v>
      </c>
      <c r="G22" s="44">
        <f>IF(tblProduction[[#This Row],[Date]]="","",SUMIFS(tblScrap[Scrapped],tblScrap[Date],tblProduction[[#This Row],[Date]],tblScrap[Part],tblProduction[[#This Row],[Part]]))</f>
        <v>11</v>
      </c>
      <c r="H22" s="38">
        <f>IF(tblProduction[[#This Row],[Date]]="","",SUMIFS(tblScrap[Net scrap cost],tblScrap[Date],tblProduction[[#This Row],[Date]],tblScrap[Part],tblProduction[[#This Row],[Part]]))</f>
        <v>52.415</v>
      </c>
      <c r="I22" s="45">
        <f>IF(tblProduction[[#This Row],[Date]]="","",IF(tblProduction[[#This Row],[Produced]]&gt;0,tblProduction[[#This Row],[Scrapped]]/tblProduction[[#This Row],[Produced]],""))</f>
        <v>0.022</v>
      </c>
      <c r="J22" s="46" t="str">
        <f>IF(NOT(ISNUMBER(tblProduction[[#This Row],[Scrap rate]])),"",IF(tblProduction[[#This Row],[Scrap rate]]&lt;=TargetRate,"On target",IF(tblProduction[[#This Row],[Scrap rate]]&lt;=TargetRate*(1+0.05),"Near target","Above target")))</f>
        <v>Above target</v>
      </c>
      <c r="K22" s="45">
        <f>IF(tblProduction[[#This Row],[Date]]="","",IF(N(tblProduction[[#This Row],[Production value]])&gt;0,tblProduction[[#This Row],[Net scrap cost]]/tblProduction[[#This Row],[Production value]],""))</f>
        <v>0.00923612334801762</v>
      </c>
      <c r="L22" s="47">
        <f>IF(tblProduction[[#This Row],[Date]]="","",IF(tblProduction[[#This Row],[Produced]]-tblProduction[[#This Row],[Scrapped]]&gt;0,tblProduction[[#This Row],[Net scrap cost]]/(tblProduction[[#This Row],[Produced]]-tblProduction[[#This Row],[Scrapped]]),""))</f>
        <v>0.107188139059305</v>
      </c>
      <c r="M22" s="41">
        <f>IF(tblProduction[[#This Row],[Date]]="","",IF(AND(tblProduction[[#This Row],[Date]]&gt;=FFrom,tblProduction[[#This Row],[Date]]&lt;=FTo,OR(DashPart="",tblProduction[[#This Row],[Part]]=DashPart)),tblProduction[[#This Row],[Date]],""))</f>
        <v>46261</v>
      </c>
      <c r="N22"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22" s="43" t="s">
        <v>139</v>
      </c>
    </row>
    <row r="23" spans="2:15">
      <c r="B23" s="36">
        <v>46262</v>
      </c>
      <c r="C23" s="28" t="s">
        <v>87</v>
      </c>
      <c r="D23" s="37">
        <v>350</v>
      </c>
      <c r="E23" s="38">
        <f>IF(tblProduction[[#This Row],[Date]]="","",IFERROR(INDEX(tblParts[Standard cost],MATCH(tblProduction[[#This Row],[Part]],tblParts[Part],0)),""))</f>
        <v>19</v>
      </c>
      <c r="F23" s="44">
        <f>IF(tblProduction[[#This Row],[Date]]="","",IF(tblProduction[[#This Row],[Standard cost]]="","",tblProduction[[#This Row],[Produced]]*tblProduction[[#This Row],[Standard cost]]))</f>
        <v>6650</v>
      </c>
      <c r="G23" s="44">
        <f>IF(tblProduction[[#This Row],[Date]]="","",SUMIFS(tblScrap[Scrapped],tblScrap[Date],tblProduction[[#This Row],[Date]],tblScrap[Part],tblProduction[[#This Row],[Part]]))</f>
        <v>5</v>
      </c>
      <c r="H23" s="38">
        <f>IF(tblProduction[[#This Row],[Date]]="","",SUMIFS(tblScrap[Net scrap cost],tblScrap[Date],tblProduction[[#This Row],[Date]],tblScrap[Part],tblProduction[[#This Row],[Part]]))</f>
        <v>76.0125</v>
      </c>
      <c r="I23" s="45">
        <f>IF(tblProduction[[#This Row],[Date]]="","",IF(tblProduction[[#This Row],[Produced]]&gt;0,tblProduction[[#This Row],[Scrapped]]/tblProduction[[#This Row],[Produced]],""))</f>
        <v>0.0142857142857143</v>
      </c>
      <c r="J23" s="46" t="str">
        <f>IF(NOT(ISNUMBER(tblProduction[[#This Row],[Scrap rate]])),"",IF(tblProduction[[#This Row],[Scrap rate]]&lt;=TargetRate,"On target",IF(tblProduction[[#This Row],[Scrap rate]]&lt;=TargetRate*(1+0.05),"Near target","Above target")))</f>
        <v>On target</v>
      </c>
      <c r="K23" s="45">
        <f>IF(tblProduction[[#This Row],[Date]]="","",IF(N(tblProduction[[#This Row],[Production value]])&gt;0,tblProduction[[#This Row],[Net scrap cost]]/tblProduction[[#This Row],[Production value]],""))</f>
        <v>0.0114304511278196</v>
      </c>
      <c r="L23" s="47">
        <f>IF(tblProduction[[#This Row],[Date]]="","",IF(tblProduction[[#This Row],[Produced]]-tblProduction[[#This Row],[Scrapped]]&gt;0,tblProduction[[#This Row],[Net scrap cost]]/(tblProduction[[#This Row],[Produced]]-tblProduction[[#This Row],[Scrapped]]),""))</f>
        <v>0.220326086956522</v>
      </c>
      <c r="M23" s="41">
        <f>IF(tblProduction[[#This Row],[Date]]="","",IF(AND(tblProduction[[#This Row],[Date]]&gt;=FFrom,tblProduction[[#This Row],[Date]]&lt;=FTo,OR(DashPart="",tblProduction[[#This Row],[Part]]=DashPart)),tblProduction[[#This Row],[Date]],""))</f>
        <v>46262</v>
      </c>
      <c r="N23"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23" s="43" t="s">
        <v>139</v>
      </c>
    </row>
    <row r="24" spans="2:15">
      <c r="B24" s="36">
        <v>46262</v>
      </c>
      <c r="C24" s="28" t="s">
        <v>89</v>
      </c>
      <c r="D24" s="37">
        <v>270</v>
      </c>
      <c r="E24" s="38">
        <f>IF(tblProduction[[#This Row],[Date]]="","",IFERROR(INDEX(tblParts[Standard cost],MATCH(tblProduction[[#This Row],[Part]],tblParts[Part],0)),""))</f>
        <v>26</v>
      </c>
      <c r="F24" s="44">
        <f>IF(tblProduction[[#This Row],[Date]]="","",IF(tblProduction[[#This Row],[Standard cost]]="","",tblProduction[[#This Row],[Produced]]*tblProduction[[#This Row],[Standard cost]]))</f>
        <v>7020</v>
      </c>
      <c r="G24" s="44">
        <f>IF(tblProduction[[#This Row],[Date]]="","",SUMIFS(tblScrap[Scrapped],tblScrap[Date],tblProduction[[#This Row],[Date]],tblScrap[Part],tblProduction[[#This Row],[Part]]))</f>
        <v>13</v>
      </c>
      <c r="H24" s="38">
        <f>IF(tblProduction[[#This Row],[Date]]="","",SUMIFS(tblScrap[Net scrap cost],tblScrap[Date],tblProduction[[#This Row],[Date]],tblScrap[Part],tblProduction[[#This Row],[Part]]))</f>
        <v>246.97</v>
      </c>
      <c r="I24" s="45">
        <f>IF(tblProduction[[#This Row],[Date]]="","",IF(tblProduction[[#This Row],[Produced]]&gt;0,tblProduction[[#This Row],[Scrapped]]/tblProduction[[#This Row],[Produced]],""))</f>
        <v>0.0481481481481482</v>
      </c>
      <c r="J24" s="46" t="str">
        <f>IF(NOT(ISNUMBER(tblProduction[[#This Row],[Scrap rate]])),"",IF(tblProduction[[#This Row],[Scrap rate]]&lt;=TargetRate,"On target",IF(tblProduction[[#This Row],[Scrap rate]]&lt;=TargetRate*(1+0.05),"Near target","Above target")))</f>
        <v>Above target</v>
      </c>
      <c r="K24" s="45">
        <f>IF(tblProduction[[#This Row],[Date]]="","",IF(N(tblProduction[[#This Row],[Production value]])&gt;0,tblProduction[[#This Row],[Net scrap cost]]/tblProduction[[#This Row],[Production value]],""))</f>
        <v>0.0351809116809117</v>
      </c>
      <c r="L24" s="47">
        <f>IF(tblProduction[[#This Row],[Date]]="","",IF(tblProduction[[#This Row],[Produced]]-tblProduction[[#This Row],[Scrapped]]&gt;0,tblProduction[[#This Row],[Net scrap cost]]/(tblProduction[[#This Row],[Produced]]-tblProduction[[#This Row],[Scrapped]]),""))</f>
        <v>0.960972762645914</v>
      </c>
      <c r="M24" s="41">
        <f>IF(tblProduction[[#This Row],[Date]]="","",IF(AND(tblProduction[[#This Row],[Date]]&gt;=FFrom,tblProduction[[#This Row],[Date]]&lt;=FTo,OR(DashPart="",tblProduction[[#This Row],[Part]]=DashPart)),tblProduction[[#This Row],[Date]],""))</f>
        <v>46262</v>
      </c>
      <c r="N24"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24" s="43" t="s">
        <v>139</v>
      </c>
    </row>
    <row r="25" spans="2:15">
      <c r="B25" s="36">
        <v>46262</v>
      </c>
      <c r="C25" s="28" t="s">
        <v>91</v>
      </c>
      <c r="D25" s="37">
        <v>805</v>
      </c>
      <c r="E25" s="38">
        <f>IF(tblProduction[[#This Row],[Date]]="","",IFERROR(INDEX(tblParts[Standard cost],MATCH(tblProduction[[#This Row],[Part]],tblParts[Part],0)),""))</f>
        <v>5.35</v>
      </c>
      <c r="F25" s="44">
        <f>IF(tblProduction[[#This Row],[Date]]="","",IF(tblProduction[[#This Row],[Standard cost]]="","",tblProduction[[#This Row],[Produced]]*tblProduction[[#This Row],[Standard cost]]))</f>
        <v>4306.75</v>
      </c>
      <c r="G25" s="44">
        <f>IF(tblProduction[[#This Row],[Date]]="","",SUMIFS(tblScrap[Scrapped],tblScrap[Date],tblProduction[[#This Row],[Date]],tblScrap[Part],tblProduction[[#This Row],[Part]]))</f>
        <v>14</v>
      </c>
      <c r="H25" s="38">
        <f>IF(tblProduction[[#This Row],[Date]]="","",SUMIFS(tblScrap[Net scrap cost],tblScrap[Date],tblProduction[[#This Row],[Date]],tblScrap[Part],tblProduction[[#This Row],[Part]]))</f>
        <v>35.182</v>
      </c>
      <c r="I25" s="45">
        <f>IF(tblProduction[[#This Row],[Date]]="","",IF(tblProduction[[#This Row],[Produced]]&gt;0,tblProduction[[#This Row],[Scrapped]]/tblProduction[[#This Row],[Produced]],""))</f>
        <v>0.0173913043478261</v>
      </c>
      <c r="J25" s="46" t="str">
        <f>IF(NOT(ISNUMBER(tblProduction[[#This Row],[Scrap rate]])),"",IF(tblProduction[[#This Row],[Scrap rate]]&lt;=TargetRate,"On target",IF(tblProduction[[#This Row],[Scrap rate]]&lt;=TargetRate*(1+0.05),"Near target","Above target")))</f>
        <v>On target</v>
      </c>
      <c r="K25" s="45">
        <f>IF(tblProduction[[#This Row],[Date]]="","",IF(N(tblProduction[[#This Row],[Production value]])&gt;0,tblProduction[[#This Row],[Net scrap cost]]/tblProduction[[#This Row],[Production value]],""))</f>
        <v>0.00816903697683868</v>
      </c>
      <c r="L25" s="47">
        <f>IF(tblProduction[[#This Row],[Date]]="","",IF(tblProduction[[#This Row],[Produced]]-tblProduction[[#This Row],[Scrapped]]&gt;0,tblProduction[[#This Row],[Net scrap cost]]/(tblProduction[[#This Row],[Produced]]-tblProduction[[#This Row],[Scrapped]]),""))</f>
        <v>0.0444778761061947</v>
      </c>
      <c r="M25" s="41">
        <f>IF(tblProduction[[#This Row],[Date]]="","",IF(AND(tblProduction[[#This Row],[Date]]&gt;=FFrom,tblProduction[[#This Row],[Date]]&lt;=FTo,OR(DashPart="",tblProduction[[#This Row],[Part]]=DashPart)),tblProduction[[#This Row],[Date]],""))</f>
        <v>46262</v>
      </c>
      <c r="N25"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25" s="43" t="s">
        <v>139</v>
      </c>
    </row>
    <row r="26" spans="2:15">
      <c r="B26" s="36">
        <v>46262</v>
      </c>
      <c r="C26" s="28" t="s">
        <v>93</v>
      </c>
      <c r="D26" s="37">
        <v>565</v>
      </c>
      <c r="E26" s="38">
        <f>IF(tblProduction[[#This Row],[Date]]="","",IFERROR(INDEX(tblParts[Standard cost],MATCH(tblProduction[[#This Row],[Part]],tblParts[Part],0)),""))</f>
        <v>11.35</v>
      </c>
      <c r="F26" s="44">
        <f>IF(tblProduction[[#This Row],[Date]]="","",IF(tblProduction[[#This Row],[Standard cost]]="","",tblProduction[[#This Row],[Produced]]*tblProduction[[#This Row],[Standard cost]]))</f>
        <v>6412.75</v>
      </c>
      <c r="G26" s="44">
        <f>IF(tblProduction[[#This Row],[Date]]="","",SUMIFS(tblScrap[Scrapped],tblScrap[Date],tblProduction[[#This Row],[Date]],tblScrap[Part],tblProduction[[#This Row],[Part]]))</f>
        <v>6</v>
      </c>
      <c r="H26" s="38">
        <f>IF(tblProduction[[#This Row],[Date]]="","",SUMIFS(tblScrap[Net scrap cost],tblScrap[Date],tblProduction[[#This Row],[Date]],tblScrap[Part],tblProduction[[#This Row],[Part]]))</f>
        <v>58.29</v>
      </c>
      <c r="I26" s="45">
        <f>IF(tblProduction[[#This Row],[Date]]="","",IF(tblProduction[[#This Row],[Produced]]&gt;0,tblProduction[[#This Row],[Scrapped]]/tblProduction[[#This Row],[Produced]],""))</f>
        <v>0.0106194690265487</v>
      </c>
      <c r="J26" s="46" t="str">
        <f>IF(NOT(ISNUMBER(tblProduction[[#This Row],[Scrap rate]])),"",IF(tblProduction[[#This Row],[Scrap rate]]&lt;=TargetRate,"On target",IF(tblProduction[[#This Row],[Scrap rate]]&lt;=TargetRate*(1+0.05),"Near target","Above target")))</f>
        <v>On target</v>
      </c>
      <c r="K26" s="45">
        <f>IF(tblProduction[[#This Row],[Date]]="","",IF(N(tblProduction[[#This Row],[Production value]])&gt;0,tblProduction[[#This Row],[Net scrap cost]]/tblProduction[[#This Row],[Production value]],""))</f>
        <v>0.00908970410510311</v>
      </c>
      <c r="L26" s="47">
        <f>IF(tblProduction[[#This Row],[Date]]="","",IF(tblProduction[[#This Row],[Produced]]-tblProduction[[#This Row],[Scrapped]]&gt;0,tblProduction[[#This Row],[Net scrap cost]]/(tblProduction[[#This Row],[Produced]]-tblProduction[[#This Row],[Scrapped]]),""))</f>
        <v>0.104275491949911</v>
      </c>
      <c r="M26" s="41">
        <f>IF(tblProduction[[#This Row],[Date]]="","",IF(AND(tblProduction[[#This Row],[Date]]&gt;=FFrom,tblProduction[[#This Row],[Date]]&lt;=FTo,OR(DashPart="",tblProduction[[#This Row],[Part]]=DashPart)),tblProduction[[#This Row],[Date]],""))</f>
        <v>46262</v>
      </c>
      <c r="N26"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26" s="43" t="s">
        <v>139</v>
      </c>
    </row>
    <row r="27" spans="2:15">
      <c r="B27" s="36">
        <v>46265</v>
      </c>
      <c r="C27" s="28" t="s">
        <v>87</v>
      </c>
      <c r="D27" s="37">
        <v>340</v>
      </c>
      <c r="E27" s="38">
        <f>IF(tblProduction[[#This Row],[Date]]="","",IFERROR(INDEX(tblParts[Standard cost],MATCH(tblProduction[[#This Row],[Part]],tblParts[Part],0)),""))</f>
        <v>19</v>
      </c>
      <c r="F27" s="44">
        <f>IF(tblProduction[[#This Row],[Date]]="","",IF(tblProduction[[#This Row],[Standard cost]]="","",tblProduction[[#This Row],[Produced]]*tblProduction[[#This Row],[Standard cost]]))</f>
        <v>6460</v>
      </c>
      <c r="G27" s="44">
        <f>IF(tblProduction[[#This Row],[Date]]="","",SUMIFS(tblScrap[Scrapped],tblScrap[Date],tblProduction[[#This Row],[Date]],tblScrap[Part],tblProduction[[#This Row],[Part]]))</f>
        <v>3</v>
      </c>
      <c r="H27" s="38">
        <f>IF(tblProduction[[#This Row],[Date]]="","",SUMIFS(tblScrap[Net scrap cost],tblScrap[Date],tblProduction[[#This Row],[Date]],tblScrap[Part],tblProduction[[#This Row],[Part]]))</f>
        <v>23.4075</v>
      </c>
      <c r="I27" s="45">
        <f>IF(tblProduction[[#This Row],[Date]]="","",IF(tblProduction[[#This Row],[Produced]]&gt;0,tblProduction[[#This Row],[Scrapped]]/tblProduction[[#This Row],[Produced]],""))</f>
        <v>0.00882352941176471</v>
      </c>
      <c r="J27" s="46" t="str">
        <f>IF(NOT(ISNUMBER(tblProduction[[#This Row],[Scrap rate]])),"",IF(tblProduction[[#This Row],[Scrap rate]]&lt;=TargetRate,"On target",IF(tblProduction[[#This Row],[Scrap rate]]&lt;=TargetRate*(1+0.05),"Near target","Above target")))</f>
        <v>On target</v>
      </c>
      <c r="K27" s="45">
        <f>IF(tblProduction[[#This Row],[Date]]="","",IF(N(tblProduction[[#This Row],[Production value]])&gt;0,tblProduction[[#This Row],[Net scrap cost]]/tblProduction[[#This Row],[Production value]],""))</f>
        <v>0.0036234520123839</v>
      </c>
      <c r="L27" s="47">
        <f>IF(tblProduction[[#This Row],[Date]]="","",IF(tblProduction[[#This Row],[Produced]]-tblProduction[[#This Row],[Scrapped]]&gt;0,tblProduction[[#This Row],[Net scrap cost]]/(tblProduction[[#This Row],[Produced]]-tblProduction[[#This Row],[Scrapped]]),""))</f>
        <v>0.0694584569732938</v>
      </c>
      <c r="M27" s="41">
        <f>IF(tblProduction[[#This Row],[Date]]="","",IF(AND(tblProduction[[#This Row],[Date]]&gt;=FFrom,tblProduction[[#This Row],[Date]]&lt;=FTo,OR(DashPart="",tblProduction[[#This Row],[Part]]=DashPart)),tblProduction[[#This Row],[Date]],""))</f>
        <v>46265</v>
      </c>
      <c r="N27"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27" s="43" t="s">
        <v>139</v>
      </c>
    </row>
    <row r="28" spans="2:15">
      <c r="B28" s="36">
        <v>46265</v>
      </c>
      <c r="C28" s="28" t="s">
        <v>89</v>
      </c>
      <c r="D28" s="37">
        <v>280</v>
      </c>
      <c r="E28" s="38">
        <f>IF(tblProduction[[#This Row],[Date]]="","",IFERROR(INDEX(tblParts[Standard cost],MATCH(tblProduction[[#This Row],[Part]],tblParts[Part],0)),""))</f>
        <v>26</v>
      </c>
      <c r="F28" s="44">
        <f>IF(tblProduction[[#This Row],[Date]]="","",IF(tblProduction[[#This Row],[Standard cost]]="","",tblProduction[[#This Row],[Produced]]*tblProduction[[#This Row],[Standard cost]]))</f>
        <v>7280</v>
      </c>
      <c r="G28" s="44">
        <f>IF(tblProduction[[#This Row],[Date]]="","",SUMIFS(tblScrap[Scrapped],tblScrap[Date],tblProduction[[#This Row],[Date]],tblScrap[Part],tblProduction[[#This Row],[Part]]))</f>
        <v>12</v>
      </c>
      <c r="H28" s="38">
        <f>IF(tblProduction[[#This Row],[Date]]="","",SUMIFS(tblScrap[Net scrap cost],tblScrap[Date],tblProduction[[#This Row],[Date]],tblScrap[Part],tblProduction[[#This Row],[Part]]))</f>
        <v>232.68</v>
      </c>
      <c r="I28" s="45">
        <f>IF(tblProduction[[#This Row],[Date]]="","",IF(tblProduction[[#This Row],[Produced]]&gt;0,tblProduction[[#This Row],[Scrapped]]/tblProduction[[#This Row],[Produced]],""))</f>
        <v>0.0428571428571429</v>
      </c>
      <c r="J28" s="46" t="str">
        <f>IF(NOT(ISNUMBER(tblProduction[[#This Row],[Scrap rate]])),"",IF(tblProduction[[#This Row],[Scrap rate]]&lt;=TargetRate,"On target",IF(tblProduction[[#This Row],[Scrap rate]]&lt;=TargetRate*(1+0.05),"Near target","Above target")))</f>
        <v>Above target</v>
      </c>
      <c r="K28" s="45">
        <f>IF(tblProduction[[#This Row],[Date]]="","",IF(N(tblProduction[[#This Row],[Production value]])&gt;0,tblProduction[[#This Row],[Net scrap cost]]/tblProduction[[#This Row],[Production value]],""))</f>
        <v>0.0319615384615385</v>
      </c>
      <c r="L28" s="47">
        <f>IF(tblProduction[[#This Row],[Date]]="","",IF(tblProduction[[#This Row],[Produced]]-tblProduction[[#This Row],[Scrapped]]&gt;0,tblProduction[[#This Row],[Net scrap cost]]/(tblProduction[[#This Row],[Produced]]-tblProduction[[#This Row],[Scrapped]]),""))</f>
        <v>0.868208955223881</v>
      </c>
      <c r="M28" s="41">
        <f>IF(tblProduction[[#This Row],[Date]]="","",IF(AND(tblProduction[[#This Row],[Date]]&gt;=FFrom,tblProduction[[#This Row],[Date]]&lt;=FTo,OR(DashPart="",tblProduction[[#This Row],[Part]]=DashPart)),tblProduction[[#This Row],[Date]],""))</f>
        <v>46265</v>
      </c>
      <c r="N28"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28" s="43" t="s">
        <v>139</v>
      </c>
    </row>
    <row r="29" spans="2:15">
      <c r="B29" s="36">
        <v>46265</v>
      </c>
      <c r="C29" s="28" t="s">
        <v>91</v>
      </c>
      <c r="D29" s="37">
        <v>830</v>
      </c>
      <c r="E29" s="38">
        <f>IF(tblProduction[[#This Row],[Date]]="","",IFERROR(INDEX(tblParts[Standard cost],MATCH(tblProduction[[#This Row],[Part]],tblParts[Part],0)),""))</f>
        <v>5.35</v>
      </c>
      <c r="F29" s="44">
        <f>IF(tblProduction[[#This Row],[Date]]="","",IF(tblProduction[[#This Row],[Standard cost]]="","",tblProduction[[#This Row],[Produced]]*tblProduction[[#This Row],[Standard cost]]))</f>
        <v>4440.5</v>
      </c>
      <c r="G29" s="44">
        <f>IF(tblProduction[[#This Row],[Date]]="","",SUMIFS(tblScrap[Scrapped],tblScrap[Date],tblProduction[[#This Row],[Date]],tblScrap[Part],tblProduction[[#This Row],[Part]]))</f>
        <v>0</v>
      </c>
      <c r="H29" s="38">
        <f>IF(tblProduction[[#This Row],[Date]]="","",SUMIFS(tblScrap[Net scrap cost],tblScrap[Date],tblProduction[[#This Row],[Date]],tblScrap[Part],tblProduction[[#This Row],[Part]]))</f>
        <v>0</v>
      </c>
      <c r="I29" s="45">
        <f>IF(tblProduction[[#This Row],[Date]]="","",IF(tblProduction[[#This Row],[Produced]]&gt;0,tblProduction[[#This Row],[Scrapped]]/tblProduction[[#This Row],[Produced]],""))</f>
        <v>0</v>
      </c>
      <c r="J29" s="46" t="str">
        <f>IF(NOT(ISNUMBER(tblProduction[[#This Row],[Scrap rate]])),"",IF(tblProduction[[#This Row],[Scrap rate]]&lt;=TargetRate,"On target",IF(tblProduction[[#This Row],[Scrap rate]]&lt;=TargetRate*(1+0.05),"Near target","Above target")))</f>
        <v>On target</v>
      </c>
      <c r="K29" s="45">
        <f>IF(tblProduction[[#This Row],[Date]]="","",IF(N(tblProduction[[#This Row],[Production value]])&gt;0,tblProduction[[#This Row],[Net scrap cost]]/tblProduction[[#This Row],[Production value]],""))</f>
        <v>0</v>
      </c>
      <c r="L29" s="47">
        <f>IF(tblProduction[[#This Row],[Date]]="","",IF(tblProduction[[#This Row],[Produced]]-tblProduction[[#This Row],[Scrapped]]&gt;0,tblProduction[[#This Row],[Net scrap cost]]/(tblProduction[[#This Row],[Produced]]-tblProduction[[#This Row],[Scrapped]]),""))</f>
        <v>0</v>
      </c>
      <c r="M29" s="41">
        <f>IF(tblProduction[[#This Row],[Date]]="","",IF(AND(tblProduction[[#This Row],[Date]]&gt;=FFrom,tblProduction[[#This Row],[Date]]&lt;=FTo,OR(DashPart="",tblProduction[[#This Row],[Part]]=DashPart)),tblProduction[[#This Row],[Date]],""))</f>
        <v>46265</v>
      </c>
      <c r="N29"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29" s="43" t="s">
        <v>139</v>
      </c>
    </row>
    <row r="30" spans="2:15">
      <c r="B30" s="36">
        <v>46265</v>
      </c>
      <c r="C30" s="28" t="s">
        <v>93</v>
      </c>
      <c r="D30" s="37">
        <v>565</v>
      </c>
      <c r="E30" s="38">
        <f>IF(tblProduction[[#This Row],[Date]]="","",IFERROR(INDEX(tblParts[Standard cost],MATCH(tblProduction[[#This Row],[Part]],tblParts[Part],0)),""))</f>
        <v>11.35</v>
      </c>
      <c r="F30" s="44">
        <f>IF(tblProduction[[#This Row],[Date]]="","",IF(tblProduction[[#This Row],[Standard cost]]="","",tblProduction[[#This Row],[Produced]]*tblProduction[[#This Row],[Standard cost]]))</f>
        <v>6412.75</v>
      </c>
      <c r="G30" s="44">
        <f>IF(tblProduction[[#This Row],[Date]]="","",SUMIFS(tblScrap[Scrapped],tblScrap[Date],tblProduction[[#This Row],[Date]],tblScrap[Part],tblProduction[[#This Row],[Part]]))</f>
        <v>18</v>
      </c>
      <c r="H30" s="38">
        <f>IF(tblProduction[[#This Row],[Date]]="","",SUMIFS(tblScrap[Net scrap cost],tblScrap[Date],tblProduction[[#This Row],[Date]],tblScrap[Part],tblProduction[[#This Row],[Part]]))</f>
        <v>115.87</v>
      </c>
      <c r="I30" s="45">
        <f>IF(tblProduction[[#This Row],[Date]]="","",IF(tblProduction[[#This Row],[Produced]]&gt;0,tblProduction[[#This Row],[Scrapped]]/tblProduction[[#This Row],[Produced]],""))</f>
        <v>0.031858407079646</v>
      </c>
      <c r="J30" s="46" t="str">
        <f>IF(NOT(ISNUMBER(tblProduction[[#This Row],[Scrap rate]])),"",IF(tblProduction[[#This Row],[Scrap rate]]&lt;=TargetRate,"On target",IF(tblProduction[[#This Row],[Scrap rate]]&lt;=TargetRate*(1+0.05),"Near target","Above target")))</f>
        <v>Above target</v>
      </c>
      <c r="K30" s="45">
        <f>IF(tblProduction[[#This Row],[Date]]="","",IF(N(tblProduction[[#This Row],[Production value]])&gt;0,tblProduction[[#This Row],[Net scrap cost]]/tblProduction[[#This Row],[Production value]],""))</f>
        <v>0.0180686912790924</v>
      </c>
      <c r="L30" s="47">
        <f>IF(tblProduction[[#This Row],[Date]]="","",IF(tblProduction[[#This Row],[Produced]]-tblProduction[[#This Row],[Scrapped]]&gt;0,tblProduction[[#This Row],[Net scrap cost]]/(tblProduction[[#This Row],[Produced]]-tblProduction[[#This Row],[Scrapped]]),""))</f>
        <v>0.211828153564899</v>
      </c>
      <c r="M30" s="41">
        <f>IF(tblProduction[[#This Row],[Date]]="","",IF(AND(tblProduction[[#This Row],[Date]]&gt;=FFrom,tblProduction[[#This Row],[Date]]&lt;=FTo,OR(DashPart="",tblProduction[[#This Row],[Part]]=DashPart)),tblProduction[[#This Row],[Date]],""))</f>
        <v>46265</v>
      </c>
      <c r="N30"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30" s="43" t="s">
        <v>139</v>
      </c>
    </row>
    <row r="31" spans="2:15">
      <c r="B31" s="36">
        <v>46266</v>
      </c>
      <c r="C31" s="28" t="s">
        <v>87</v>
      </c>
      <c r="D31" s="37">
        <v>320</v>
      </c>
      <c r="E31" s="38">
        <f>IF(tblProduction[[#This Row],[Date]]="","",IFERROR(INDEX(tblParts[Standard cost],MATCH(tblProduction[[#This Row],[Part]],tblParts[Part],0)),""))</f>
        <v>19</v>
      </c>
      <c r="F31" s="44">
        <f>IF(tblProduction[[#This Row],[Date]]="","",IF(tblProduction[[#This Row],[Standard cost]]="","",tblProduction[[#This Row],[Produced]]*tblProduction[[#This Row],[Standard cost]]))</f>
        <v>6080</v>
      </c>
      <c r="G31" s="44">
        <f>IF(tblProduction[[#This Row],[Date]]="","",SUMIFS(tblScrap[Scrapped],tblScrap[Date],tblProduction[[#This Row],[Date]],tblScrap[Part],tblProduction[[#This Row],[Part]]))</f>
        <v>0</v>
      </c>
      <c r="H31" s="38">
        <f>IF(tblProduction[[#This Row],[Date]]="","",SUMIFS(tblScrap[Net scrap cost],tblScrap[Date],tblProduction[[#This Row],[Date]],tblScrap[Part],tblProduction[[#This Row],[Part]]))</f>
        <v>0</v>
      </c>
      <c r="I31" s="45">
        <f>IF(tblProduction[[#This Row],[Date]]="","",IF(tblProduction[[#This Row],[Produced]]&gt;0,tblProduction[[#This Row],[Scrapped]]/tblProduction[[#This Row],[Produced]],""))</f>
        <v>0</v>
      </c>
      <c r="J31" s="46" t="str">
        <f>IF(NOT(ISNUMBER(tblProduction[[#This Row],[Scrap rate]])),"",IF(tblProduction[[#This Row],[Scrap rate]]&lt;=TargetRate,"On target",IF(tblProduction[[#This Row],[Scrap rate]]&lt;=TargetRate*(1+0.05),"Near target","Above target")))</f>
        <v>On target</v>
      </c>
      <c r="K31" s="45">
        <f>IF(tblProduction[[#This Row],[Date]]="","",IF(N(tblProduction[[#This Row],[Production value]])&gt;0,tblProduction[[#This Row],[Net scrap cost]]/tblProduction[[#This Row],[Production value]],""))</f>
        <v>0</v>
      </c>
      <c r="L31" s="47">
        <f>IF(tblProduction[[#This Row],[Date]]="","",IF(tblProduction[[#This Row],[Produced]]-tblProduction[[#This Row],[Scrapped]]&gt;0,tblProduction[[#This Row],[Net scrap cost]]/(tblProduction[[#This Row],[Produced]]-tblProduction[[#This Row],[Scrapped]]),""))</f>
        <v>0</v>
      </c>
      <c r="M31" s="41">
        <f>IF(tblProduction[[#This Row],[Date]]="","",IF(AND(tblProduction[[#This Row],[Date]]&gt;=FFrom,tblProduction[[#This Row],[Date]]&lt;=FTo,OR(DashPart="",tblProduction[[#This Row],[Part]]=DashPart)),tblProduction[[#This Row],[Date]],""))</f>
        <v>46266</v>
      </c>
      <c r="N31"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31" s="43" t="s">
        <v>139</v>
      </c>
    </row>
    <row r="32" spans="2:15">
      <c r="B32" s="36">
        <v>46266</v>
      </c>
      <c r="C32" s="28" t="s">
        <v>89</v>
      </c>
      <c r="D32" s="37">
        <v>255</v>
      </c>
      <c r="E32" s="38">
        <f>IF(tblProduction[[#This Row],[Date]]="","",IFERROR(INDEX(tblParts[Standard cost],MATCH(tblProduction[[#This Row],[Part]],tblParts[Part],0)),""))</f>
        <v>26</v>
      </c>
      <c r="F32" s="44">
        <f>IF(tblProduction[[#This Row],[Date]]="","",IF(tblProduction[[#This Row],[Standard cost]]="","",tblProduction[[#This Row],[Produced]]*tblProduction[[#This Row],[Standard cost]]))</f>
        <v>6630</v>
      </c>
      <c r="G32" s="44">
        <f>IF(tblProduction[[#This Row],[Date]]="","",SUMIFS(tblScrap[Scrapped],tblScrap[Date],tblProduction[[#This Row],[Date]],tblScrap[Part],tblProduction[[#This Row],[Part]]))</f>
        <v>17</v>
      </c>
      <c r="H32" s="38">
        <f>IF(tblProduction[[#This Row],[Date]]="","",SUMIFS(tblScrap[Net scrap cost],tblScrap[Date],tblProduction[[#This Row],[Date]],tblScrap[Part],tblProduction[[#This Row],[Part]]))</f>
        <v>304.83</v>
      </c>
      <c r="I32" s="45">
        <f>IF(tblProduction[[#This Row],[Date]]="","",IF(tblProduction[[#This Row],[Produced]]&gt;0,tblProduction[[#This Row],[Scrapped]]/tblProduction[[#This Row],[Produced]],""))</f>
        <v>0.0666666666666667</v>
      </c>
      <c r="J32" s="46" t="str">
        <f>IF(NOT(ISNUMBER(tblProduction[[#This Row],[Scrap rate]])),"",IF(tblProduction[[#This Row],[Scrap rate]]&lt;=TargetRate,"On target",IF(tblProduction[[#This Row],[Scrap rate]]&lt;=TargetRate*(1+0.05),"Near target","Above target")))</f>
        <v>Above target</v>
      </c>
      <c r="K32" s="45">
        <f>IF(tblProduction[[#This Row],[Date]]="","",IF(N(tblProduction[[#This Row],[Production value]])&gt;0,tblProduction[[#This Row],[Net scrap cost]]/tblProduction[[#This Row],[Production value]],""))</f>
        <v>0.0459773755656109</v>
      </c>
      <c r="L32" s="47">
        <f>IF(tblProduction[[#This Row],[Date]]="","",IF(tblProduction[[#This Row],[Produced]]-tblProduction[[#This Row],[Scrapped]]&gt;0,tblProduction[[#This Row],[Net scrap cost]]/(tblProduction[[#This Row],[Produced]]-tblProduction[[#This Row],[Scrapped]]),""))</f>
        <v>1.28079831932773</v>
      </c>
      <c r="M32" s="41">
        <f>IF(tblProduction[[#This Row],[Date]]="","",IF(AND(tblProduction[[#This Row],[Date]]&gt;=FFrom,tblProduction[[#This Row],[Date]]&lt;=FTo,OR(DashPart="",tblProduction[[#This Row],[Part]]=DashPart)),tblProduction[[#This Row],[Date]],""))</f>
        <v>46266</v>
      </c>
      <c r="N32"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32" s="43" t="s">
        <v>139</v>
      </c>
    </row>
    <row r="33" spans="2:15">
      <c r="B33" s="36">
        <v>46266</v>
      </c>
      <c r="C33" s="28" t="s">
        <v>91</v>
      </c>
      <c r="D33" s="37">
        <v>855</v>
      </c>
      <c r="E33" s="38">
        <f>IF(tblProduction[[#This Row],[Date]]="","",IFERROR(INDEX(tblParts[Standard cost],MATCH(tblProduction[[#This Row],[Part]],tblParts[Part],0)),""))</f>
        <v>5.35</v>
      </c>
      <c r="F33" s="44">
        <f>IF(tblProduction[[#This Row],[Date]]="","",IF(tblProduction[[#This Row],[Standard cost]]="","",tblProduction[[#This Row],[Produced]]*tblProduction[[#This Row],[Standard cost]]))</f>
        <v>4574.25</v>
      </c>
      <c r="G33" s="44">
        <f>IF(tblProduction[[#This Row],[Date]]="","",SUMIFS(tblScrap[Scrapped],tblScrap[Date],tblProduction[[#This Row],[Date]],tblScrap[Part],tblProduction[[#This Row],[Part]]))</f>
        <v>10</v>
      </c>
      <c r="H33" s="38">
        <f>IF(tblProduction[[#This Row],[Date]]="","",SUMIFS(tblScrap[Net scrap cost],tblScrap[Date],tblProduction[[#This Row],[Date]],tblScrap[Part],tblProduction[[#This Row],[Part]]))</f>
        <v>25.13</v>
      </c>
      <c r="I33" s="45">
        <f>IF(tblProduction[[#This Row],[Date]]="","",IF(tblProduction[[#This Row],[Produced]]&gt;0,tblProduction[[#This Row],[Scrapped]]/tblProduction[[#This Row],[Produced]],""))</f>
        <v>0.0116959064327485</v>
      </c>
      <c r="J33" s="46" t="str">
        <f>IF(NOT(ISNUMBER(tblProduction[[#This Row],[Scrap rate]])),"",IF(tblProduction[[#This Row],[Scrap rate]]&lt;=TargetRate,"On target",IF(tblProduction[[#This Row],[Scrap rate]]&lt;=TargetRate*(1+0.05),"Near target","Above target")))</f>
        <v>On target</v>
      </c>
      <c r="K33" s="45">
        <f>IF(tblProduction[[#This Row],[Date]]="","",IF(N(tblProduction[[#This Row],[Production value]])&gt;0,tblProduction[[#This Row],[Net scrap cost]]/tblProduction[[#This Row],[Production value]],""))</f>
        <v>0.00549379679728917</v>
      </c>
      <c r="L33" s="47">
        <f>IF(tblProduction[[#This Row],[Date]]="","",IF(tblProduction[[#This Row],[Produced]]-tblProduction[[#This Row],[Scrapped]]&gt;0,tblProduction[[#This Row],[Net scrap cost]]/(tblProduction[[#This Row],[Produced]]-tblProduction[[#This Row],[Scrapped]]),""))</f>
        <v>0.0297396449704142</v>
      </c>
      <c r="M33" s="41">
        <f>IF(tblProduction[[#This Row],[Date]]="","",IF(AND(tblProduction[[#This Row],[Date]]&gt;=FFrom,tblProduction[[#This Row],[Date]]&lt;=FTo,OR(DashPart="",tblProduction[[#This Row],[Part]]=DashPart)),tblProduction[[#This Row],[Date]],""))</f>
        <v>46266</v>
      </c>
      <c r="N33"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33" s="43" t="s">
        <v>139</v>
      </c>
    </row>
    <row r="34" spans="2:15">
      <c r="B34" s="36">
        <v>46266</v>
      </c>
      <c r="C34" s="28" t="s">
        <v>93</v>
      </c>
      <c r="D34" s="37">
        <v>555</v>
      </c>
      <c r="E34" s="38">
        <f>IF(tblProduction[[#This Row],[Date]]="","",IFERROR(INDEX(tblParts[Standard cost],MATCH(tblProduction[[#This Row],[Part]],tblParts[Part],0)),""))</f>
        <v>11.35</v>
      </c>
      <c r="F34" s="44">
        <f>IF(tblProduction[[#This Row],[Date]]="","",IF(tblProduction[[#This Row],[Standard cost]]="","",tblProduction[[#This Row],[Produced]]*tblProduction[[#This Row],[Standard cost]]))</f>
        <v>6299.25</v>
      </c>
      <c r="G34" s="44">
        <f>IF(tblProduction[[#This Row],[Date]]="","",SUMIFS(tblScrap[Scrapped],tblScrap[Date],tblProduction[[#This Row],[Date]],tblScrap[Part],tblProduction[[#This Row],[Part]]))</f>
        <v>0</v>
      </c>
      <c r="H34" s="38">
        <f>IF(tblProduction[[#This Row],[Date]]="","",SUMIFS(tblScrap[Net scrap cost],tblScrap[Date],tblProduction[[#This Row],[Date]],tblScrap[Part],tblProduction[[#This Row],[Part]]))</f>
        <v>0</v>
      </c>
      <c r="I34" s="45">
        <f>IF(tblProduction[[#This Row],[Date]]="","",IF(tblProduction[[#This Row],[Produced]]&gt;0,tblProduction[[#This Row],[Scrapped]]/tblProduction[[#This Row],[Produced]],""))</f>
        <v>0</v>
      </c>
      <c r="J34" s="46" t="str">
        <f>IF(NOT(ISNUMBER(tblProduction[[#This Row],[Scrap rate]])),"",IF(tblProduction[[#This Row],[Scrap rate]]&lt;=TargetRate,"On target",IF(tblProduction[[#This Row],[Scrap rate]]&lt;=TargetRate*(1+0.05),"Near target","Above target")))</f>
        <v>On target</v>
      </c>
      <c r="K34" s="45">
        <f>IF(tblProduction[[#This Row],[Date]]="","",IF(N(tblProduction[[#This Row],[Production value]])&gt;0,tblProduction[[#This Row],[Net scrap cost]]/tblProduction[[#This Row],[Production value]],""))</f>
        <v>0</v>
      </c>
      <c r="L34" s="47">
        <f>IF(tblProduction[[#This Row],[Date]]="","",IF(tblProduction[[#This Row],[Produced]]-tblProduction[[#This Row],[Scrapped]]&gt;0,tblProduction[[#This Row],[Net scrap cost]]/(tblProduction[[#This Row],[Produced]]-tblProduction[[#This Row],[Scrapped]]),""))</f>
        <v>0</v>
      </c>
      <c r="M34" s="41">
        <f>IF(tblProduction[[#This Row],[Date]]="","",IF(AND(tblProduction[[#This Row],[Date]]&gt;=FFrom,tblProduction[[#This Row],[Date]]&lt;=FTo,OR(DashPart="",tblProduction[[#This Row],[Part]]=DashPart)),tblProduction[[#This Row],[Date]],""))</f>
        <v>46266</v>
      </c>
      <c r="N34"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34" s="43" t="s">
        <v>139</v>
      </c>
    </row>
    <row r="35" spans="2:15">
      <c r="B35" s="36">
        <v>46267</v>
      </c>
      <c r="C35" s="28" t="s">
        <v>87</v>
      </c>
      <c r="D35" s="37">
        <v>335</v>
      </c>
      <c r="E35" s="38">
        <f>IF(tblProduction[[#This Row],[Date]]="","",IFERROR(INDEX(tblParts[Standard cost],MATCH(tblProduction[[#This Row],[Part]],tblParts[Part],0)),""))</f>
        <v>19</v>
      </c>
      <c r="F35" s="44">
        <f>IF(tblProduction[[#This Row],[Date]]="","",IF(tblProduction[[#This Row],[Standard cost]]="","",tblProduction[[#This Row],[Produced]]*tblProduction[[#This Row],[Standard cost]]))</f>
        <v>6365</v>
      </c>
      <c r="G35" s="44">
        <f>IF(tblProduction[[#This Row],[Date]]="","",SUMIFS(tblScrap[Scrapped],tblScrap[Date],tblProduction[[#This Row],[Date]],tblScrap[Part],tblProduction[[#This Row],[Part]]))</f>
        <v>4</v>
      </c>
      <c r="H35" s="38">
        <f>IF(tblProduction[[#This Row],[Date]]="","",SUMIFS(tblScrap[Net scrap cost],tblScrap[Date],tblProduction[[#This Row],[Date]],tblScrap[Part],tblProduction[[#This Row],[Part]]))</f>
        <v>60.81</v>
      </c>
      <c r="I35" s="45">
        <f>IF(tblProduction[[#This Row],[Date]]="","",IF(tblProduction[[#This Row],[Produced]]&gt;0,tblProduction[[#This Row],[Scrapped]]/tblProduction[[#This Row],[Produced]],""))</f>
        <v>0.0119402985074627</v>
      </c>
      <c r="J35" s="46" t="str">
        <f>IF(NOT(ISNUMBER(tblProduction[[#This Row],[Scrap rate]])),"",IF(tblProduction[[#This Row],[Scrap rate]]&lt;=TargetRate,"On target",IF(tblProduction[[#This Row],[Scrap rate]]&lt;=TargetRate*(1+0.05),"Near target","Above target")))</f>
        <v>On target</v>
      </c>
      <c r="K35" s="45">
        <f>IF(tblProduction[[#This Row],[Date]]="","",IF(N(tblProduction[[#This Row],[Production value]])&gt;0,tblProduction[[#This Row],[Net scrap cost]]/tblProduction[[#This Row],[Production value]],""))</f>
        <v>0.00955380989787903</v>
      </c>
      <c r="L35" s="47">
        <f>IF(tblProduction[[#This Row],[Date]]="","",IF(tblProduction[[#This Row],[Produced]]-tblProduction[[#This Row],[Scrapped]]&gt;0,tblProduction[[#This Row],[Net scrap cost]]/(tblProduction[[#This Row],[Produced]]-tblProduction[[#This Row],[Scrapped]]),""))</f>
        <v>0.183716012084592</v>
      </c>
      <c r="M35" s="41">
        <f>IF(tblProduction[[#This Row],[Date]]="","",IF(AND(tblProduction[[#This Row],[Date]]&gt;=FFrom,tblProduction[[#This Row],[Date]]&lt;=FTo,OR(DashPart="",tblProduction[[#This Row],[Part]]=DashPart)),tblProduction[[#This Row],[Date]],""))</f>
        <v>46267</v>
      </c>
      <c r="N35"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35" s="43" t="s">
        <v>139</v>
      </c>
    </row>
    <row r="36" spans="2:15">
      <c r="B36" s="36">
        <v>46267</v>
      </c>
      <c r="C36" s="28" t="s">
        <v>89</v>
      </c>
      <c r="D36" s="37">
        <v>260</v>
      </c>
      <c r="E36" s="38">
        <f>IF(tblProduction[[#This Row],[Date]]="","",IFERROR(INDEX(tblParts[Standard cost],MATCH(tblProduction[[#This Row],[Part]],tblParts[Part],0)),""))</f>
        <v>26</v>
      </c>
      <c r="F36" s="44">
        <f>IF(tblProduction[[#This Row],[Date]]="","",IF(tblProduction[[#This Row],[Standard cost]]="","",tblProduction[[#This Row],[Produced]]*tblProduction[[#This Row],[Standard cost]]))</f>
        <v>6760</v>
      </c>
      <c r="G36" s="44">
        <f>IF(tblProduction[[#This Row],[Date]]="","",SUMIFS(tblScrap[Scrapped],tblScrap[Date],tblProduction[[#This Row],[Date]],tblScrap[Part],tblProduction[[#This Row],[Part]]))</f>
        <v>14</v>
      </c>
      <c r="H36" s="38">
        <f>IF(tblProduction[[#This Row],[Date]]="","",SUMIFS(tblScrap[Net scrap cost],tblScrap[Date],tblProduction[[#This Row],[Date]],tblScrap[Part],tblProduction[[#This Row],[Part]]))</f>
        <v>283.76</v>
      </c>
      <c r="I36" s="45">
        <f>IF(tblProduction[[#This Row],[Date]]="","",IF(tblProduction[[#This Row],[Produced]]&gt;0,tblProduction[[#This Row],[Scrapped]]/tblProduction[[#This Row],[Produced]],""))</f>
        <v>0.0538461538461539</v>
      </c>
      <c r="J36" s="46" t="str">
        <f>IF(NOT(ISNUMBER(tblProduction[[#This Row],[Scrap rate]])),"",IF(tblProduction[[#This Row],[Scrap rate]]&lt;=TargetRate,"On target",IF(tblProduction[[#This Row],[Scrap rate]]&lt;=TargetRate*(1+0.05),"Near target","Above target")))</f>
        <v>Above target</v>
      </c>
      <c r="K36" s="45">
        <f>IF(tblProduction[[#This Row],[Date]]="","",IF(N(tblProduction[[#This Row],[Production value]])&gt;0,tblProduction[[#This Row],[Net scrap cost]]/tblProduction[[#This Row],[Production value]],""))</f>
        <v>0.0419763313609467</v>
      </c>
      <c r="L36" s="47">
        <f>IF(tblProduction[[#This Row],[Date]]="","",IF(tblProduction[[#This Row],[Produced]]-tblProduction[[#This Row],[Scrapped]]&gt;0,tblProduction[[#This Row],[Net scrap cost]]/(tblProduction[[#This Row],[Produced]]-tblProduction[[#This Row],[Scrapped]]),""))</f>
        <v>1.15349593495935</v>
      </c>
      <c r="M36" s="41">
        <f>IF(tblProduction[[#This Row],[Date]]="","",IF(AND(tblProduction[[#This Row],[Date]]&gt;=FFrom,tblProduction[[#This Row],[Date]]&lt;=FTo,OR(DashPart="",tblProduction[[#This Row],[Part]]=DashPart)),tblProduction[[#This Row],[Date]],""))</f>
        <v>46267</v>
      </c>
      <c r="N36"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36" s="43" t="s">
        <v>139</v>
      </c>
    </row>
    <row r="37" spans="2:15">
      <c r="B37" s="36">
        <v>46267</v>
      </c>
      <c r="C37" s="28" t="s">
        <v>91</v>
      </c>
      <c r="D37" s="37">
        <v>805</v>
      </c>
      <c r="E37" s="38">
        <f>IF(tblProduction[[#This Row],[Date]]="","",IFERROR(INDEX(tblParts[Standard cost],MATCH(tblProduction[[#This Row],[Part]],tblParts[Part],0)),""))</f>
        <v>5.35</v>
      </c>
      <c r="F37" s="44">
        <f>IF(tblProduction[[#This Row],[Date]]="","",IF(tblProduction[[#This Row],[Standard cost]]="","",tblProduction[[#This Row],[Produced]]*tblProduction[[#This Row],[Standard cost]]))</f>
        <v>4306.75</v>
      </c>
      <c r="G37" s="44">
        <f>IF(tblProduction[[#This Row],[Date]]="","",SUMIFS(tblScrap[Scrapped],tblScrap[Date],tblProduction[[#This Row],[Date]],tblScrap[Part],tblProduction[[#This Row],[Part]]))</f>
        <v>17</v>
      </c>
      <c r="H37" s="38">
        <f>IF(tblProduction[[#This Row],[Date]]="","",SUMIFS(tblScrap[Net scrap cost],tblScrap[Date],tblProduction[[#This Row],[Date]],tblScrap[Part],tblProduction[[#This Row],[Part]]))</f>
        <v>42.721</v>
      </c>
      <c r="I37" s="45">
        <f>IF(tblProduction[[#This Row],[Date]]="","",IF(tblProduction[[#This Row],[Produced]]&gt;0,tblProduction[[#This Row],[Scrapped]]/tblProduction[[#This Row],[Produced]],""))</f>
        <v>0.0211180124223603</v>
      </c>
      <c r="J37" s="46" t="str">
        <f>IF(NOT(ISNUMBER(tblProduction[[#This Row],[Scrap rate]])),"",IF(tblProduction[[#This Row],[Scrap rate]]&lt;=TargetRate,"On target",IF(tblProduction[[#This Row],[Scrap rate]]&lt;=TargetRate*(1+0.05),"Near target","Above target")))</f>
        <v>Above target</v>
      </c>
      <c r="K37" s="45">
        <f>IF(tblProduction[[#This Row],[Date]]="","",IF(N(tblProduction[[#This Row],[Production value]])&gt;0,tblProduction[[#This Row],[Net scrap cost]]/tblProduction[[#This Row],[Production value]],""))</f>
        <v>0.00991954490044697</v>
      </c>
      <c r="L37" s="47">
        <f>IF(tblProduction[[#This Row],[Date]]="","",IF(tblProduction[[#This Row],[Produced]]-tblProduction[[#This Row],[Scrapped]]&gt;0,tblProduction[[#This Row],[Net scrap cost]]/(tblProduction[[#This Row],[Produced]]-tblProduction[[#This Row],[Scrapped]]),""))</f>
        <v>0.0542144670050761</v>
      </c>
      <c r="M37" s="41">
        <f>IF(tblProduction[[#This Row],[Date]]="","",IF(AND(tblProduction[[#This Row],[Date]]&gt;=FFrom,tblProduction[[#This Row],[Date]]&lt;=FTo,OR(DashPart="",tblProduction[[#This Row],[Part]]=DashPart)),tblProduction[[#This Row],[Date]],""))</f>
        <v>46267</v>
      </c>
      <c r="N37"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37" s="43" t="s">
        <v>139</v>
      </c>
    </row>
    <row r="38" spans="2:15">
      <c r="B38" s="36">
        <v>46267</v>
      </c>
      <c r="C38" s="28" t="s">
        <v>93</v>
      </c>
      <c r="D38" s="37">
        <v>585</v>
      </c>
      <c r="E38" s="38">
        <f>IF(tblProduction[[#This Row],[Date]]="","",IFERROR(INDEX(tblParts[Standard cost],MATCH(tblProduction[[#This Row],[Part]],tblParts[Part],0)),""))</f>
        <v>11.35</v>
      </c>
      <c r="F38" s="44">
        <f>IF(tblProduction[[#This Row],[Date]]="","",IF(tblProduction[[#This Row],[Standard cost]]="","",tblProduction[[#This Row],[Produced]]*tblProduction[[#This Row],[Standard cost]]))</f>
        <v>6639.75</v>
      </c>
      <c r="G38" s="44">
        <f>IF(tblProduction[[#This Row],[Date]]="","",SUMIFS(tblScrap[Scrapped],tblScrap[Date],tblProduction[[#This Row],[Date]],tblScrap[Part],tblProduction[[#This Row],[Part]]))</f>
        <v>0</v>
      </c>
      <c r="H38" s="38">
        <f>IF(tblProduction[[#This Row],[Date]]="","",SUMIFS(tblScrap[Net scrap cost],tblScrap[Date],tblProduction[[#This Row],[Date]],tblScrap[Part],tblProduction[[#This Row],[Part]]))</f>
        <v>0</v>
      </c>
      <c r="I38" s="45">
        <f>IF(tblProduction[[#This Row],[Date]]="","",IF(tblProduction[[#This Row],[Produced]]&gt;0,tblProduction[[#This Row],[Scrapped]]/tblProduction[[#This Row],[Produced]],""))</f>
        <v>0</v>
      </c>
      <c r="J38" s="46" t="str">
        <f>IF(NOT(ISNUMBER(tblProduction[[#This Row],[Scrap rate]])),"",IF(tblProduction[[#This Row],[Scrap rate]]&lt;=TargetRate,"On target",IF(tblProduction[[#This Row],[Scrap rate]]&lt;=TargetRate*(1+0.05),"Near target","Above target")))</f>
        <v>On target</v>
      </c>
      <c r="K38" s="45">
        <f>IF(tblProduction[[#This Row],[Date]]="","",IF(N(tblProduction[[#This Row],[Production value]])&gt;0,tblProduction[[#This Row],[Net scrap cost]]/tblProduction[[#This Row],[Production value]],""))</f>
        <v>0</v>
      </c>
      <c r="L38" s="47">
        <f>IF(tblProduction[[#This Row],[Date]]="","",IF(tblProduction[[#This Row],[Produced]]-tblProduction[[#This Row],[Scrapped]]&gt;0,tblProduction[[#This Row],[Net scrap cost]]/(tblProduction[[#This Row],[Produced]]-tblProduction[[#This Row],[Scrapped]]),""))</f>
        <v>0</v>
      </c>
      <c r="M38" s="41">
        <f>IF(tblProduction[[#This Row],[Date]]="","",IF(AND(tblProduction[[#This Row],[Date]]&gt;=FFrom,tblProduction[[#This Row],[Date]]&lt;=FTo,OR(DashPart="",tblProduction[[#This Row],[Part]]=DashPart)),tblProduction[[#This Row],[Date]],""))</f>
        <v>46267</v>
      </c>
      <c r="N38"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38" s="43" t="s">
        <v>139</v>
      </c>
    </row>
    <row r="39" spans="2:15">
      <c r="B39" s="36">
        <v>46268</v>
      </c>
      <c r="C39" s="28" t="s">
        <v>87</v>
      </c>
      <c r="D39" s="37">
        <v>345</v>
      </c>
      <c r="E39" s="38">
        <f>IF(tblProduction[[#This Row],[Date]]="","",IFERROR(INDEX(tblParts[Standard cost],MATCH(tblProduction[[#This Row],[Part]],tblParts[Part],0)),""))</f>
        <v>19</v>
      </c>
      <c r="F39" s="44">
        <f>IF(tblProduction[[#This Row],[Date]]="","",IF(tblProduction[[#This Row],[Standard cost]]="","",tblProduction[[#This Row],[Produced]]*tblProduction[[#This Row],[Standard cost]]))</f>
        <v>6555</v>
      </c>
      <c r="G39" s="44">
        <f>IF(tblProduction[[#This Row],[Date]]="","",SUMIFS(tblScrap[Scrapped],tblScrap[Date],tblProduction[[#This Row],[Date]],tblScrap[Part],tblProduction[[#This Row],[Part]]))</f>
        <v>0</v>
      </c>
      <c r="H39" s="38">
        <f>IF(tblProduction[[#This Row],[Date]]="","",SUMIFS(tblScrap[Net scrap cost],tblScrap[Date],tblProduction[[#This Row],[Date]],tblScrap[Part],tblProduction[[#This Row],[Part]]))</f>
        <v>0</v>
      </c>
      <c r="I39" s="45">
        <f>IF(tblProduction[[#This Row],[Date]]="","",IF(tblProduction[[#This Row],[Produced]]&gt;0,tblProduction[[#This Row],[Scrapped]]/tblProduction[[#This Row],[Produced]],""))</f>
        <v>0</v>
      </c>
      <c r="J39" s="46" t="str">
        <f>IF(NOT(ISNUMBER(tblProduction[[#This Row],[Scrap rate]])),"",IF(tblProduction[[#This Row],[Scrap rate]]&lt;=TargetRate,"On target",IF(tblProduction[[#This Row],[Scrap rate]]&lt;=TargetRate*(1+0.05),"Near target","Above target")))</f>
        <v>On target</v>
      </c>
      <c r="K39" s="45">
        <f>IF(tblProduction[[#This Row],[Date]]="","",IF(N(tblProduction[[#This Row],[Production value]])&gt;0,tblProduction[[#This Row],[Net scrap cost]]/tblProduction[[#This Row],[Production value]],""))</f>
        <v>0</v>
      </c>
      <c r="L39" s="47">
        <f>IF(tblProduction[[#This Row],[Date]]="","",IF(tblProduction[[#This Row],[Produced]]-tblProduction[[#This Row],[Scrapped]]&gt;0,tblProduction[[#This Row],[Net scrap cost]]/(tblProduction[[#This Row],[Produced]]-tblProduction[[#This Row],[Scrapped]]),""))</f>
        <v>0</v>
      </c>
      <c r="M39" s="41">
        <f>IF(tblProduction[[#This Row],[Date]]="","",IF(AND(tblProduction[[#This Row],[Date]]&gt;=FFrom,tblProduction[[#This Row],[Date]]&lt;=FTo,OR(DashPart="",tblProduction[[#This Row],[Part]]=DashPart)),tblProduction[[#This Row],[Date]],""))</f>
        <v>46268</v>
      </c>
      <c r="N39"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39" s="43" t="s">
        <v>139</v>
      </c>
    </row>
    <row r="40" spans="2:15">
      <c r="B40" s="36">
        <v>46268</v>
      </c>
      <c r="C40" s="28" t="s">
        <v>89</v>
      </c>
      <c r="D40" s="37">
        <v>260</v>
      </c>
      <c r="E40" s="38">
        <f>IF(tblProduction[[#This Row],[Date]]="","",IFERROR(INDEX(tblParts[Standard cost],MATCH(tblProduction[[#This Row],[Part]],tblParts[Part],0)),""))</f>
        <v>26</v>
      </c>
      <c r="F40" s="44">
        <f>IF(tblProduction[[#This Row],[Date]]="","",IF(tblProduction[[#This Row],[Standard cost]]="","",tblProduction[[#This Row],[Produced]]*tblProduction[[#This Row],[Standard cost]]))</f>
        <v>6760</v>
      </c>
      <c r="G40" s="44">
        <f>IF(tblProduction[[#This Row],[Date]]="","",SUMIFS(tblScrap[Scrapped],tblScrap[Date],tblProduction[[#This Row],[Date]],tblScrap[Part],tblProduction[[#This Row],[Part]]))</f>
        <v>15</v>
      </c>
      <c r="H40" s="38">
        <f>IF(tblProduction[[#This Row],[Date]]="","",SUMIFS(tblScrap[Net scrap cost],tblScrap[Date],tblProduction[[#This Row],[Date]],tblScrap[Part],tblProduction[[#This Row],[Part]]))</f>
        <v>283.85</v>
      </c>
      <c r="I40" s="45">
        <f>IF(tblProduction[[#This Row],[Date]]="","",IF(tblProduction[[#This Row],[Produced]]&gt;0,tblProduction[[#This Row],[Scrapped]]/tblProduction[[#This Row],[Produced]],""))</f>
        <v>0.0576923076923077</v>
      </c>
      <c r="J40" s="46" t="str">
        <f>IF(NOT(ISNUMBER(tblProduction[[#This Row],[Scrap rate]])),"",IF(tblProduction[[#This Row],[Scrap rate]]&lt;=TargetRate,"On target",IF(tblProduction[[#This Row],[Scrap rate]]&lt;=TargetRate*(1+0.05),"Near target","Above target")))</f>
        <v>Above target</v>
      </c>
      <c r="K40" s="45">
        <f>IF(tblProduction[[#This Row],[Date]]="","",IF(N(tblProduction[[#This Row],[Production value]])&gt;0,tblProduction[[#This Row],[Net scrap cost]]/tblProduction[[#This Row],[Production value]],""))</f>
        <v>0.0419896449704142</v>
      </c>
      <c r="L40" s="47">
        <f>IF(tblProduction[[#This Row],[Date]]="","",IF(tblProduction[[#This Row],[Produced]]-tblProduction[[#This Row],[Scrapped]]&gt;0,tblProduction[[#This Row],[Net scrap cost]]/(tblProduction[[#This Row],[Produced]]-tblProduction[[#This Row],[Scrapped]]),""))</f>
        <v>1.15857142857143</v>
      </c>
      <c r="M40" s="41">
        <f>IF(tblProduction[[#This Row],[Date]]="","",IF(AND(tblProduction[[#This Row],[Date]]&gt;=FFrom,tblProduction[[#This Row],[Date]]&lt;=FTo,OR(DashPart="",tblProduction[[#This Row],[Part]]=DashPart)),tblProduction[[#This Row],[Date]],""))</f>
        <v>46268</v>
      </c>
      <c r="N40"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40" s="43" t="s">
        <v>139</v>
      </c>
    </row>
    <row r="41" spans="2:15">
      <c r="B41" s="36">
        <v>46268</v>
      </c>
      <c r="C41" s="28" t="s">
        <v>91</v>
      </c>
      <c r="D41" s="37">
        <v>865</v>
      </c>
      <c r="E41" s="38">
        <f>IF(tblProduction[[#This Row],[Date]]="","",IFERROR(INDEX(tblParts[Standard cost],MATCH(tblProduction[[#This Row],[Part]],tblParts[Part],0)),""))</f>
        <v>5.35</v>
      </c>
      <c r="F41" s="44">
        <f>IF(tblProduction[[#This Row],[Date]]="","",IF(tblProduction[[#This Row],[Standard cost]]="","",tblProduction[[#This Row],[Produced]]*tblProduction[[#This Row],[Standard cost]]))</f>
        <v>4627.75</v>
      </c>
      <c r="G41" s="44">
        <f>IF(tblProduction[[#This Row],[Date]]="","",SUMIFS(tblScrap[Scrapped],tblScrap[Date],tblProduction[[#This Row],[Date]],tblScrap[Part],tblProduction[[#This Row],[Part]]))</f>
        <v>0</v>
      </c>
      <c r="H41" s="38">
        <f>IF(tblProduction[[#This Row],[Date]]="","",SUMIFS(tblScrap[Net scrap cost],tblScrap[Date],tblProduction[[#This Row],[Date]],tblScrap[Part],tblProduction[[#This Row],[Part]]))</f>
        <v>0</v>
      </c>
      <c r="I41" s="45">
        <f>IF(tblProduction[[#This Row],[Date]]="","",IF(tblProduction[[#This Row],[Produced]]&gt;0,tblProduction[[#This Row],[Scrapped]]/tblProduction[[#This Row],[Produced]],""))</f>
        <v>0</v>
      </c>
      <c r="J41" s="46" t="str">
        <f>IF(NOT(ISNUMBER(tblProduction[[#This Row],[Scrap rate]])),"",IF(tblProduction[[#This Row],[Scrap rate]]&lt;=TargetRate,"On target",IF(tblProduction[[#This Row],[Scrap rate]]&lt;=TargetRate*(1+0.05),"Near target","Above target")))</f>
        <v>On target</v>
      </c>
      <c r="K41" s="45">
        <f>IF(tblProduction[[#This Row],[Date]]="","",IF(N(tblProduction[[#This Row],[Production value]])&gt;0,tblProduction[[#This Row],[Net scrap cost]]/tblProduction[[#This Row],[Production value]],""))</f>
        <v>0</v>
      </c>
      <c r="L41" s="47">
        <f>IF(tblProduction[[#This Row],[Date]]="","",IF(tblProduction[[#This Row],[Produced]]-tblProduction[[#This Row],[Scrapped]]&gt;0,tblProduction[[#This Row],[Net scrap cost]]/(tblProduction[[#This Row],[Produced]]-tblProduction[[#This Row],[Scrapped]]),""))</f>
        <v>0</v>
      </c>
      <c r="M41" s="41">
        <f>IF(tblProduction[[#This Row],[Date]]="","",IF(AND(tblProduction[[#This Row],[Date]]&gt;=FFrom,tblProduction[[#This Row],[Date]]&lt;=FTo,OR(DashPart="",tblProduction[[#This Row],[Part]]=DashPart)),tblProduction[[#This Row],[Date]],""))</f>
        <v>46268</v>
      </c>
      <c r="N41"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41" s="43" t="s">
        <v>139</v>
      </c>
    </row>
    <row r="42" spans="2:15">
      <c r="B42" s="36">
        <v>46268</v>
      </c>
      <c r="C42" s="28" t="s">
        <v>93</v>
      </c>
      <c r="D42" s="37">
        <v>540</v>
      </c>
      <c r="E42" s="38">
        <f>IF(tblProduction[[#This Row],[Date]]="","",IFERROR(INDEX(tblParts[Standard cost],MATCH(tblProduction[[#This Row],[Part]],tblParts[Part],0)),""))</f>
        <v>11.35</v>
      </c>
      <c r="F42" s="44">
        <f>IF(tblProduction[[#This Row],[Date]]="","",IF(tblProduction[[#This Row],[Standard cost]]="","",tblProduction[[#This Row],[Produced]]*tblProduction[[#This Row],[Standard cost]]))</f>
        <v>6129</v>
      </c>
      <c r="G42" s="44">
        <f>IF(tblProduction[[#This Row],[Date]]="","",SUMIFS(tblScrap[Scrapped],tblScrap[Date],tblProduction[[#This Row],[Date]],tblScrap[Part],tblProduction[[#This Row],[Part]]))</f>
        <v>4</v>
      </c>
      <c r="H42" s="38">
        <f>IF(tblProduction[[#This Row],[Date]]="","",SUMIFS(tblScrap[Net scrap cost],tblScrap[Date],tblProduction[[#This Row],[Date]],tblScrap[Part],tblProduction[[#This Row],[Part]]))</f>
        <v>38.26</v>
      </c>
      <c r="I42" s="45">
        <f>IF(tblProduction[[#This Row],[Date]]="","",IF(tblProduction[[#This Row],[Produced]]&gt;0,tblProduction[[#This Row],[Scrapped]]/tblProduction[[#This Row],[Produced]],""))</f>
        <v>0.00740740740740741</v>
      </c>
      <c r="J42" s="46" t="str">
        <f>IF(NOT(ISNUMBER(tblProduction[[#This Row],[Scrap rate]])),"",IF(tblProduction[[#This Row],[Scrap rate]]&lt;=TargetRate,"On target",IF(tblProduction[[#This Row],[Scrap rate]]&lt;=TargetRate*(1+0.05),"Near target","Above target")))</f>
        <v>On target</v>
      </c>
      <c r="K42" s="45">
        <f>IF(tblProduction[[#This Row],[Date]]="","",IF(N(tblProduction[[#This Row],[Production value]])&gt;0,tblProduction[[#This Row],[Net scrap cost]]/tblProduction[[#This Row],[Production value]],""))</f>
        <v>0.00624245390765215</v>
      </c>
      <c r="L42" s="47">
        <f>IF(tblProduction[[#This Row],[Date]]="","",IF(tblProduction[[#This Row],[Produced]]-tblProduction[[#This Row],[Scrapped]]&gt;0,tblProduction[[#This Row],[Net scrap cost]]/(tblProduction[[#This Row],[Produced]]-tblProduction[[#This Row],[Scrapped]]),""))</f>
        <v>0.0713805970149254</v>
      </c>
      <c r="M42" s="41">
        <f>IF(tblProduction[[#This Row],[Date]]="","",IF(AND(tblProduction[[#This Row],[Date]]&gt;=FFrom,tblProduction[[#This Row],[Date]]&lt;=FTo,OR(DashPart="",tblProduction[[#This Row],[Part]]=DashPart)),tblProduction[[#This Row],[Date]],""))</f>
        <v>46268</v>
      </c>
      <c r="N42"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42" s="43" t="s">
        <v>139</v>
      </c>
    </row>
    <row r="43" spans="2:15">
      <c r="B43" s="36">
        <v>46269</v>
      </c>
      <c r="C43" s="28" t="s">
        <v>87</v>
      </c>
      <c r="D43" s="37">
        <v>345</v>
      </c>
      <c r="E43" s="38">
        <f>IF(tblProduction[[#This Row],[Date]]="","",IFERROR(INDEX(tblParts[Standard cost],MATCH(tblProduction[[#This Row],[Part]],tblParts[Part],0)),""))</f>
        <v>19</v>
      </c>
      <c r="F43" s="44">
        <f>IF(tblProduction[[#This Row],[Date]]="","",IF(tblProduction[[#This Row],[Standard cost]]="","",tblProduction[[#This Row],[Produced]]*tblProduction[[#This Row],[Standard cost]]))</f>
        <v>6555</v>
      </c>
      <c r="G43" s="44">
        <f>IF(tblProduction[[#This Row],[Date]]="","",SUMIFS(tblScrap[Scrapped],tblScrap[Date],tblProduction[[#This Row],[Date]],tblScrap[Part],tblProduction[[#This Row],[Part]]))</f>
        <v>0</v>
      </c>
      <c r="H43" s="38">
        <f>IF(tblProduction[[#This Row],[Date]]="","",SUMIFS(tblScrap[Net scrap cost],tblScrap[Date],tblProduction[[#This Row],[Date]],tblScrap[Part],tblProduction[[#This Row],[Part]]))</f>
        <v>0</v>
      </c>
      <c r="I43" s="45">
        <f>IF(tblProduction[[#This Row],[Date]]="","",IF(tblProduction[[#This Row],[Produced]]&gt;0,tblProduction[[#This Row],[Scrapped]]/tblProduction[[#This Row],[Produced]],""))</f>
        <v>0</v>
      </c>
      <c r="J43" s="46" t="str">
        <f>IF(NOT(ISNUMBER(tblProduction[[#This Row],[Scrap rate]])),"",IF(tblProduction[[#This Row],[Scrap rate]]&lt;=TargetRate,"On target",IF(tblProduction[[#This Row],[Scrap rate]]&lt;=TargetRate*(1+0.05),"Near target","Above target")))</f>
        <v>On target</v>
      </c>
      <c r="K43" s="45">
        <f>IF(tblProduction[[#This Row],[Date]]="","",IF(N(tblProduction[[#This Row],[Production value]])&gt;0,tblProduction[[#This Row],[Net scrap cost]]/tblProduction[[#This Row],[Production value]],""))</f>
        <v>0</v>
      </c>
      <c r="L43" s="47">
        <f>IF(tblProduction[[#This Row],[Date]]="","",IF(tblProduction[[#This Row],[Produced]]-tblProduction[[#This Row],[Scrapped]]&gt;0,tblProduction[[#This Row],[Net scrap cost]]/(tblProduction[[#This Row],[Produced]]-tblProduction[[#This Row],[Scrapped]]),""))</f>
        <v>0</v>
      </c>
      <c r="M43" s="41">
        <f>IF(tblProduction[[#This Row],[Date]]="","",IF(AND(tblProduction[[#This Row],[Date]]&gt;=FFrom,tblProduction[[#This Row],[Date]]&lt;=FTo,OR(DashPart="",tblProduction[[#This Row],[Part]]=DashPart)),tblProduction[[#This Row],[Date]],""))</f>
        <v>46269</v>
      </c>
      <c r="N43"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43" s="43" t="s">
        <v>139</v>
      </c>
    </row>
    <row r="44" spans="2:15">
      <c r="B44" s="36">
        <v>46269</v>
      </c>
      <c r="C44" s="28" t="s">
        <v>89</v>
      </c>
      <c r="D44" s="37">
        <v>250</v>
      </c>
      <c r="E44" s="38">
        <f>IF(tblProduction[[#This Row],[Date]]="","",IFERROR(INDEX(tblParts[Standard cost],MATCH(tblProduction[[#This Row],[Part]],tblParts[Part],0)),""))</f>
        <v>26</v>
      </c>
      <c r="F44" s="44">
        <f>IF(tblProduction[[#This Row],[Date]]="","",IF(tblProduction[[#This Row],[Standard cost]]="","",tblProduction[[#This Row],[Produced]]*tblProduction[[#This Row],[Standard cost]]))</f>
        <v>6500</v>
      </c>
      <c r="G44" s="44">
        <f>IF(tblProduction[[#This Row],[Date]]="","",SUMIFS(tblScrap[Scrapped],tblScrap[Date],tblProduction[[#This Row],[Date]],tblScrap[Part],tblProduction[[#This Row],[Part]]))</f>
        <v>15</v>
      </c>
      <c r="H44" s="38">
        <f>IF(tblProduction[[#This Row],[Date]]="","",SUMIFS(tblScrap[Net scrap cost],tblScrap[Date],tblProduction[[#This Row],[Date]],tblScrap[Part],tblProduction[[#This Row],[Part]]))</f>
        <v>283.85</v>
      </c>
      <c r="I44" s="45">
        <f>IF(tblProduction[[#This Row],[Date]]="","",IF(tblProduction[[#This Row],[Produced]]&gt;0,tblProduction[[#This Row],[Scrapped]]/tblProduction[[#This Row],[Produced]],""))</f>
        <v>0.06</v>
      </c>
      <c r="J44" s="46" t="str">
        <f>IF(NOT(ISNUMBER(tblProduction[[#This Row],[Scrap rate]])),"",IF(tblProduction[[#This Row],[Scrap rate]]&lt;=TargetRate,"On target",IF(tblProduction[[#This Row],[Scrap rate]]&lt;=TargetRate*(1+0.05),"Near target","Above target")))</f>
        <v>Above target</v>
      </c>
      <c r="K44" s="45">
        <f>IF(tblProduction[[#This Row],[Date]]="","",IF(N(tblProduction[[#This Row],[Production value]])&gt;0,tblProduction[[#This Row],[Net scrap cost]]/tblProduction[[#This Row],[Production value]],""))</f>
        <v>0.0436692307692308</v>
      </c>
      <c r="L44" s="47">
        <f>IF(tblProduction[[#This Row],[Date]]="","",IF(tblProduction[[#This Row],[Produced]]-tblProduction[[#This Row],[Scrapped]]&gt;0,tblProduction[[#This Row],[Net scrap cost]]/(tblProduction[[#This Row],[Produced]]-tblProduction[[#This Row],[Scrapped]]),""))</f>
        <v>1.20787234042553</v>
      </c>
      <c r="M44" s="41">
        <f>IF(tblProduction[[#This Row],[Date]]="","",IF(AND(tblProduction[[#This Row],[Date]]&gt;=FFrom,tblProduction[[#This Row],[Date]]&lt;=FTo,OR(DashPart="",tblProduction[[#This Row],[Part]]=DashPart)),tblProduction[[#This Row],[Date]],""))</f>
        <v>46269</v>
      </c>
      <c r="N44"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44" s="43" t="s">
        <v>139</v>
      </c>
    </row>
    <row r="45" spans="2:15">
      <c r="B45" s="36">
        <v>46269</v>
      </c>
      <c r="C45" s="28" t="s">
        <v>91</v>
      </c>
      <c r="D45" s="37">
        <v>870</v>
      </c>
      <c r="E45" s="38">
        <f>IF(tblProduction[[#This Row],[Date]]="","",IFERROR(INDEX(tblParts[Standard cost],MATCH(tblProduction[[#This Row],[Part]],tblParts[Part],0)),""))</f>
        <v>5.35</v>
      </c>
      <c r="F45" s="44">
        <f>IF(tblProduction[[#This Row],[Date]]="","",IF(tblProduction[[#This Row],[Standard cost]]="","",tblProduction[[#This Row],[Produced]]*tblProduction[[#This Row],[Standard cost]]))</f>
        <v>4654.5</v>
      </c>
      <c r="G45" s="44">
        <f>IF(tblProduction[[#This Row],[Date]]="","",SUMIFS(tblScrap[Scrapped],tblScrap[Date],tblProduction[[#This Row],[Date]],tblScrap[Part],tblProduction[[#This Row],[Part]]))</f>
        <v>14</v>
      </c>
      <c r="H45" s="38">
        <f>IF(tblProduction[[#This Row],[Date]]="","",SUMIFS(tblScrap[Net scrap cost],tblScrap[Date],tblProduction[[#This Row],[Date]],tblScrap[Part],tblProduction[[#This Row],[Part]]))</f>
        <v>35.182</v>
      </c>
      <c r="I45" s="45">
        <f>IF(tblProduction[[#This Row],[Date]]="","",IF(tblProduction[[#This Row],[Produced]]&gt;0,tblProduction[[#This Row],[Scrapped]]/tblProduction[[#This Row],[Produced]],""))</f>
        <v>0.0160919540229885</v>
      </c>
      <c r="J45" s="46" t="str">
        <f>IF(NOT(ISNUMBER(tblProduction[[#This Row],[Scrap rate]])),"",IF(tblProduction[[#This Row],[Scrap rate]]&lt;=TargetRate,"On target",IF(tblProduction[[#This Row],[Scrap rate]]&lt;=TargetRate*(1+0.05),"Near target","Above target")))</f>
        <v>On target</v>
      </c>
      <c r="K45" s="45">
        <f>IF(tblProduction[[#This Row],[Date]]="","",IF(N(tblProduction[[#This Row],[Production value]])&gt;0,tblProduction[[#This Row],[Net scrap cost]]/tblProduction[[#This Row],[Production value]],""))</f>
        <v>0.00755870662799441</v>
      </c>
      <c r="L45" s="47">
        <f>IF(tblProduction[[#This Row],[Date]]="","",IF(tblProduction[[#This Row],[Produced]]-tblProduction[[#This Row],[Scrapped]]&gt;0,tblProduction[[#This Row],[Net scrap cost]]/(tblProduction[[#This Row],[Produced]]-tblProduction[[#This Row],[Scrapped]]),""))</f>
        <v>0.0411004672897196</v>
      </c>
      <c r="M45" s="41">
        <f>IF(tblProduction[[#This Row],[Date]]="","",IF(AND(tblProduction[[#This Row],[Date]]&gt;=FFrom,tblProduction[[#This Row],[Date]]&lt;=FTo,OR(DashPart="",tblProduction[[#This Row],[Part]]=DashPart)),tblProduction[[#This Row],[Date]],""))</f>
        <v>46269</v>
      </c>
      <c r="N45"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45" s="43" t="s">
        <v>139</v>
      </c>
    </row>
    <row r="46" spans="2:15">
      <c r="B46" s="36">
        <v>46269</v>
      </c>
      <c r="C46" s="28" t="s">
        <v>93</v>
      </c>
      <c r="D46" s="37">
        <v>535</v>
      </c>
      <c r="E46" s="38">
        <f>IF(tblProduction[[#This Row],[Date]]="","",IFERROR(INDEX(tblParts[Standard cost],MATCH(tblProduction[[#This Row],[Part]],tblParts[Part],0)),""))</f>
        <v>11.35</v>
      </c>
      <c r="F46" s="44">
        <f>IF(tblProduction[[#This Row],[Date]]="","",IF(tblProduction[[#This Row],[Standard cost]]="","",tblProduction[[#This Row],[Produced]]*tblProduction[[#This Row],[Standard cost]]))</f>
        <v>6072.25</v>
      </c>
      <c r="G46" s="44">
        <f>IF(tblProduction[[#This Row],[Date]]="","",SUMIFS(tblScrap[Scrapped],tblScrap[Date],tblProduction[[#This Row],[Date]],tblScrap[Part],tblProduction[[#This Row],[Part]]))</f>
        <v>0</v>
      </c>
      <c r="H46" s="38">
        <f>IF(tblProduction[[#This Row],[Date]]="","",SUMIFS(tblScrap[Net scrap cost],tblScrap[Date],tblProduction[[#This Row],[Date]],tblScrap[Part],tblProduction[[#This Row],[Part]]))</f>
        <v>0</v>
      </c>
      <c r="I46" s="45">
        <f>IF(tblProduction[[#This Row],[Date]]="","",IF(tblProduction[[#This Row],[Produced]]&gt;0,tblProduction[[#This Row],[Scrapped]]/tblProduction[[#This Row],[Produced]],""))</f>
        <v>0</v>
      </c>
      <c r="J46" s="46" t="str">
        <f>IF(NOT(ISNUMBER(tblProduction[[#This Row],[Scrap rate]])),"",IF(tblProduction[[#This Row],[Scrap rate]]&lt;=TargetRate,"On target",IF(tblProduction[[#This Row],[Scrap rate]]&lt;=TargetRate*(1+0.05),"Near target","Above target")))</f>
        <v>On target</v>
      </c>
      <c r="K46" s="45">
        <f>IF(tblProduction[[#This Row],[Date]]="","",IF(N(tblProduction[[#This Row],[Production value]])&gt;0,tblProduction[[#This Row],[Net scrap cost]]/tblProduction[[#This Row],[Production value]],""))</f>
        <v>0</v>
      </c>
      <c r="L46" s="47">
        <f>IF(tblProduction[[#This Row],[Date]]="","",IF(tblProduction[[#This Row],[Produced]]-tblProduction[[#This Row],[Scrapped]]&gt;0,tblProduction[[#This Row],[Net scrap cost]]/(tblProduction[[#This Row],[Produced]]-tblProduction[[#This Row],[Scrapped]]),""))</f>
        <v>0</v>
      </c>
      <c r="M46" s="41">
        <f>IF(tblProduction[[#This Row],[Date]]="","",IF(AND(tblProduction[[#This Row],[Date]]&gt;=FFrom,tblProduction[[#This Row],[Date]]&lt;=FTo,OR(DashPart="",tblProduction[[#This Row],[Part]]=DashPart)),tblProduction[[#This Row],[Date]],""))</f>
        <v>46269</v>
      </c>
      <c r="N46"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46" s="43" t="s">
        <v>139</v>
      </c>
    </row>
    <row r="47" spans="2:15">
      <c r="B47" s="36">
        <v>46272</v>
      </c>
      <c r="C47" s="28" t="s">
        <v>87</v>
      </c>
      <c r="D47" s="37">
        <v>315</v>
      </c>
      <c r="E47" s="38">
        <f>IF(tblProduction[[#This Row],[Date]]="","",IFERROR(INDEX(tblParts[Standard cost],MATCH(tblProduction[[#This Row],[Part]],tblParts[Part],0)),""))</f>
        <v>19</v>
      </c>
      <c r="F47" s="44">
        <f>IF(tblProduction[[#This Row],[Date]]="","",IF(tblProduction[[#This Row],[Standard cost]]="","",tblProduction[[#This Row],[Produced]]*tblProduction[[#This Row],[Standard cost]]))</f>
        <v>5985</v>
      </c>
      <c r="G47" s="44">
        <f>IF(tblProduction[[#This Row],[Date]]="","",SUMIFS(tblScrap[Scrapped],tblScrap[Date],tblProduction[[#This Row],[Date]],tblScrap[Part],tblProduction[[#This Row],[Part]]))</f>
        <v>5</v>
      </c>
      <c r="H47" s="38">
        <f>IF(tblProduction[[#This Row],[Date]]="","",SUMIFS(tblScrap[Net scrap cost],tblScrap[Date],tblProduction[[#This Row],[Date]],tblScrap[Part],tblProduction[[#This Row],[Part]]))</f>
        <v>76.8125</v>
      </c>
      <c r="I47" s="45">
        <f>IF(tblProduction[[#This Row],[Date]]="","",IF(tblProduction[[#This Row],[Produced]]&gt;0,tblProduction[[#This Row],[Scrapped]]/tblProduction[[#This Row],[Produced]],""))</f>
        <v>0.0158730158730159</v>
      </c>
      <c r="J47" s="46" t="str">
        <f>IF(NOT(ISNUMBER(tblProduction[[#This Row],[Scrap rate]])),"",IF(tblProduction[[#This Row],[Scrap rate]]&lt;=TargetRate,"On target",IF(tblProduction[[#This Row],[Scrap rate]]&lt;=TargetRate*(1+0.05),"Near target","Above target")))</f>
        <v>On target</v>
      </c>
      <c r="K47" s="45">
        <f>IF(tblProduction[[#This Row],[Date]]="","",IF(N(tblProduction[[#This Row],[Production value]])&gt;0,tblProduction[[#This Row],[Net scrap cost]]/tblProduction[[#This Row],[Production value]],""))</f>
        <v>0.0128341687552214</v>
      </c>
      <c r="L47" s="47">
        <f>IF(tblProduction[[#This Row],[Date]]="","",IF(tblProduction[[#This Row],[Produced]]-tblProduction[[#This Row],[Scrapped]]&gt;0,tblProduction[[#This Row],[Net scrap cost]]/(tblProduction[[#This Row],[Produced]]-tblProduction[[#This Row],[Scrapped]]),""))</f>
        <v>0.247782258064516</v>
      </c>
      <c r="M47" s="41">
        <f>IF(tblProduction[[#This Row],[Date]]="","",IF(AND(tblProduction[[#This Row],[Date]]&gt;=FFrom,tblProduction[[#This Row],[Date]]&lt;=FTo,OR(DashPart="",tblProduction[[#This Row],[Part]]=DashPart)),tblProduction[[#This Row],[Date]],""))</f>
        <v>46272</v>
      </c>
      <c r="N47"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47" s="43" t="s">
        <v>139</v>
      </c>
    </row>
    <row r="48" spans="2:15">
      <c r="B48" s="36">
        <v>46272</v>
      </c>
      <c r="C48" s="28" t="s">
        <v>89</v>
      </c>
      <c r="D48" s="37">
        <v>255</v>
      </c>
      <c r="E48" s="38">
        <f>IF(tblProduction[[#This Row],[Date]]="","",IFERROR(INDEX(tblParts[Standard cost],MATCH(tblProduction[[#This Row],[Part]],tblParts[Part],0)),""))</f>
        <v>26</v>
      </c>
      <c r="F48" s="44">
        <f>IF(tblProduction[[#This Row],[Date]]="","",IF(tblProduction[[#This Row],[Standard cost]]="","",tblProduction[[#This Row],[Produced]]*tblProduction[[#This Row],[Standard cost]]))</f>
        <v>6630</v>
      </c>
      <c r="G48" s="44">
        <f>IF(tblProduction[[#This Row],[Date]]="","",SUMIFS(tblScrap[Scrapped],tblScrap[Date],tblProduction[[#This Row],[Date]],tblScrap[Part],tblProduction[[#This Row],[Part]]))</f>
        <v>9</v>
      </c>
      <c r="H48" s="38">
        <f>IF(tblProduction[[#This Row],[Date]]="","",SUMIFS(tblScrap[Net scrap cost],tblScrap[Date],tblProduction[[#This Row],[Date]],tblScrap[Part],tblProduction[[#This Row],[Part]]))</f>
        <v>195.71</v>
      </c>
      <c r="I48" s="45">
        <f>IF(tblProduction[[#This Row],[Date]]="","",IF(tblProduction[[#This Row],[Produced]]&gt;0,tblProduction[[#This Row],[Scrapped]]/tblProduction[[#This Row],[Produced]],""))</f>
        <v>0.0352941176470588</v>
      </c>
      <c r="J48" s="46" t="str">
        <f>IF(NOT(ISNUMBER(tblProduction[[#This Row],[Scrap rate]])),"",IF(tblProduction[[#This Row],[Scrap rate]]&lt;=TargetRate,"On target",IF(tblProduction[[#This Row],[Scrap rate]]&lt;=TargetRate*(1+0.05),"Near target","Above target")))</f>
        <v>Above target</v>
      </c>
      <c r="K48" s="45">
        <f>IF(tblProduction[[#This Row],[Date]]="","",IF(N(tblProduction[[#This Row],[Production value]])&gt;0,tblProduction[[#This Row],[Net scrap cost]]/tblProduction[[#This Row],[Production value]],""))</f>
        <v>0.0295188536953243</v>
      </c>
      <c r="L48" s="47">
        <f>IF(tblProduction[[#This Row],[Date]]="","",IF(tblProduction[[#This Row],[Produced]]-tblProduction[[#This Row],[Scrapped]]&gt;0,tblProduction[[#This Row],[Net scrap cost]]/(tblProduction[[#This Row],[Produced]]-tblProduction[[#This Row],[Scrapped]]),""))</f>
        <v>0.795569105691057</v>
      </c>
      <c r="M48" s="41">
        <f>IF(tblProduction[[#This Row],[Date]]="","",IF(AND(tblProduction[[#This Row],[Date]]&gt;=FFrom,tblProduction[[#This Row],[Date]]&lt;=FTo,OR(DashPart="",tblProduction[[#This Row],[Part]]=DashPart)),tblProduction[[#This Row],[Date]],""))</f>
        <v>46272</v>
      </c>
      <c r="N48"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48" s="43" t="s">
        <v>139</v>
      </c>
    </row>
    <row r="49" spans="2:15">
      <c r="B49" s="36">
        <v>46272</v>
      </c>
      <c r="C49" s="28" t="s">
        <v>91</v>
      </c>
      <c r="D49" s="37">
        <v>770</v>
      </c>
      <c r="E49" s="38">
        <f>IF(tblProduction[[#This Row],[Date]]="","",IFERROR(INDEX(tblParts[Standard cost],MATCH(tblProduction[[#This Row],[Part]],tblParts[Part],0)),""))</f>
        <v>5.35</v>
      </c>
      <c r="F49" s="44">
        <f>IF(tblProduction[[#This Row],[Date]]="","",IF(tblProduction[[#This Row],[Standard cost]]="","",tblProduction[[#This Row],[Produced]]*tblProduction[[#This Row],[Standard cost]]))</f>
        <v>4119.5</v>
      </c>
      <c r="G49" s="44">
        <f>IF(tblProduction[[#This Row],[Date]]="","",SUMIFS(tblScrap[Scrapped],tblScrap[Date],tblProduction[[#This Row],[Date]],tblScrap[Part],tblProduction[[#This Row],[Part]]))</f>
        <v>8</v>
      </c>
      <c r="H49" s="38">
        <f>IF(tblProduction[[#This Row],[Date]]="","",SUMIFS(tblScrap[Net scrap cost],tblScrap[Date],tblProduction[[#This Row],[Date]],tblScrap[Part],tblProduction[[#This Row],[Part]]))</f>
        <v>20.104</v>
      </c>
      <c r="I49" s="45">
        <f>IF(tblProduction[[#This Row],[Date]]="","",IF(tblProduction[[#This Row],[Produced]]&gt;0,tblProduction[[#This Row],[Scrapped]]/tblProduction[[#This Row],[Produced]],""))</f>
        <v>0.0103896103896104</v>
      </c>
      <c r="J49" s="46" t="str">
        <f>IF(NOT(ISNUMBER(tblProduction[[#This Row],[Scrap rate]])),"",IF(tblProduction[[#This Row],[Scrap rate]]&lt;=TargetRate,"On target",IF(tblProduction[[#This Row],[Scrap rate]]&lt;=TargetRate*(1+0.05),"Near target","Above target")))</f>
        <v>On target</v>
      </c>
      <c r="K49" s="45">
        <f>IF(tblProduction[[#This Row],[Date]]="","",IF(N(tblProduction[[#This Row],[Production value]])&gt;0,tblProduction[[#This Row],[Net scrap cost]]/tblProduction[[#This Row],[Production value]],""))</f>
        <v>0.00488020390824129</v>
      </c>
      <c r="L49" s="47">
        <f>IF(tblProduction[[#This Row],[Date]]="","",IF(tblProduction[[#This Row],[Produced]]-tblProduction[[#This Row],[Scrapped]]&gt;0,tblProduction[[#This Row],[Net scrap cost]]/(tblProduction[[#This Row],[Produced]]-tblProduction[[#This Row],[Scrapped]]),""))</f>
        <v>0.0263832020997375</v>
      </c>
      <c r="M49" s="41">
        <f>IF(tblProduction[[#This Row],[Date]]="","",IF(AND(tblProduction[[#This Row],[Date]]&gt;=FFrom,tblProduction[[#This Row],[Date]]&lt;=FTo,OR(DashPart="",tblProduction[[#This Row],[Part]]=DashPart)),tblProduction[[#This Row],[Date]],""))</f>
        <v>46272</v>
      </c>
      <c r="N49"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49" s="43" t="s">
        <v>139</v>
      </c>
    </row>
    <row r="50" spans="2:15">
      <c r="B50" s="36">
        <v>46272</v>
      </c>
      <c r="C50" s="28" t="s">
        <v>93</v>
      </c>
      <c r="D50" s="37">
        <v>580</v>
      </c>
      <c r="E50" s="38">
        <f>IF(tblProduction[[#This Row],[Date]]="","",IFERROR(INDEX(tblParts[Standard cost],MATCH(tblProduction[[#This Row],[Part]],tblParts[Part],0)),""))</f>
        <v>11.35</v>
      </c>
      <c r="F50" s="44">
        <f>IF(tblProduction[[#This Row],[Date]]="","",IF(tblProduction[[#This Row],[Standard cost]]="","",tblProduction[[#This Row],[Produced]]*tblProduction[[#This Row],[Standard cost]]))</f>
        <v>6583</v>
      </c>
      <c r="G50" s="44">
        <f>IF(tblProduction[[#This Row],[Date]]="","",SUMIFS(tblScrap[Scrapped],tblScrap[Date],tblProduction[[#This Row],[Date]],tblScrap[Part],tblProduction[[#This Row],[Part]]))</f>
        <v>3</v>
      </c>
      <c r="H50" s="38">
        <f>IF(tblProduction[[#This Row],[Date]]="","",SUMIFS(tblScrap[Net scrap cost],tblScrap[Date],tblProduction[[#This Row],[Date]],tblScrap[Part],tblProduction[[#This Row],[Part]]))</f>
        <v>28.695</v>
      </c>
      <c r="I50" s="45">
        <f>IF(tblProduction[[#This Row],[Date]]="","",IF(tblProduction[[#This Row],[Produced]]&gt;0,tblProduction[[#This Row],[Scrapped]]/tblProduction[[#This Row],[Produced]],""))</f>
        <v>0.00517241379310345</v>
      </c>
      <c r="J50" s="46" t="str">
        <f>IF(NOT(ISNUMBER(tblProduction[[#This Row],[Scrap rate]])),"",IF(tblProduction[[#This Row],[Scrap rate]]&lt;=TargetRate,"On target",IF(tblProduction[[#This Row],[Scrap rate]]&lt;=TargetRate*(1+0.05),"Near target","Above target")))</f>
        <v>On target</v>
      </c>
      <c r="K50" s="45">
        <f>IF(tblProduction[[#This Row],[Date]]="","",IF(N(tblProduction[[#This Row],[Production value]])&gt;0,tblProduction[[#This Row],[Net scrap cost]]/tblProduction[[#This Row],[Production value]],""))</f>
        <v>0.00435895488379159</v>
      </c>
      <c r="L50" s="47">
        <f>IF(tblProduction[[#This Row],[Date]]="","",IF(tblProduction[[#This Row],[Produced]]-tblProduction[[#This Row],[Scrapped]]&gt;0,tblProduction[[#This Row],[Net scrap cost]]/(tblProduction[[#This Row],[Produced]]-tblProduction[[#This Row],[Scrapped]]),""))</f>
        <v>0.0497313691507799</v>
      </c>
      <c r="M50" s="41">
        <f>IF(tblProduction[[#This Row],[Date]]="","",IF(AND(tblProduction[[#This Row],[Date]]&gt;=FFrom,tblProduction[[#This Row],[Date]]&lt;=FTo,OR(DashPart="",tblProduction[[#This Row],[Part]]=DashPart)),tblProduction[[#This Row],[Date]],""))</f>
        <v>46272</v>
      </c>
      <c r="N50"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50" s="43" t="s">
        <v>139</v>
      </c>
    </row>
    <row r="51" spans="2:15">
      <c r="B51" s="36">
        <v>46273</v>
      </c>
      <c r="C51" s="28" t="s">
        <v>87</v>
      </c>
      <c r="D51" s="37">
        <v>330</v>
      </c>
      <c r="E51" s="38">
        <f>IF(tblProduction[[#This Row],[Date]]="","",IFERROR(INDEX(tblParts[Standard cost],MATCH(tblProduction[[#This Row],[Part]],tblParts[Part],0)),""))</f>
        <v>19</v>
      </c>
      <c r="F51" s="44">
        <f>IF(tblProduction[[#This Row],[Date]]="","",IF(tblProduction[[#This Row],[Standard cost]]="","",tblProduction[[#This Row],[Produced]]*tblProduction[[#This Row],[Standard cost]]))</f>
        <v>6270</v>
      </c>
      <c r="G51" s="44">
        <f>IF(tblProduction[[#This Row],[Date]]="","",SUMIFS(tblScrap[Scrapped],tblScrap[Date],tblProduction[[#This Row],[Date]],tblScrap[Part],tblProduction[[#This Row],[Part]]))</f>
        <v>4</v>
      </c>
      <c r="H51" s="38">
        <f>IF(tblProduction[[#This Row],[Date]]="","",SUMIFS(tblScrap[Net scrap cost],tblScrap[Date],tblProduction[[#This Row],[Date]],tblScrap[Part],tblProduction[[#This Row],[Part]]))</f>
        <v>31.21</v>
      </c>
      <c r="I51" s="45">
        <f>IF(tblProduction[[#This Row],[Date]]="","",IF(tblProduction[[#This Row],[Produced]]&gt;0,tblProduction[[#This Row],[Scrapped]]/tblProduction[[#This Row],[Produced]],""))</f>
        <v>0.0121212121212121</v>
      </c>
      <c r="J51" s="46" t="str">
        <f>IF(NOT(ISNUMBER(tblProduction[[#This Row],[Scrap rate]])),"",IF(tblProduction[[#This Row],[Scrap rate]]&lt;=TargetRate,"On target",IF(tblProduction[[#This Row],[Scrap rate]]&lt;=TargetRate*(1+0.05),"Near target","Above target")))</f>
        <v>On target</v>
      </c>
      <c r="K51" s="45">
        <f>IF(tblProduction[[#This Row],[Date]]="","",IF(N(tblProduction[[#This Row],[Production value]])&gt;0,tblProduction[[#This Row],[Net scrap cost]]/tblProduction[[#This Row],[Production value]],""))</f>
        <v>0.00497767145135566</v>
      </c>
      <c r="L51" s="47">
        <f>IF(tblProduction[[#This Row],[Date]]="","",IF(tblProduction[[#This Row],[Produced]]-tblProduction[[#This Row],[Scrapped]]&gt;0,tblProduction[[#This Row],[Net scrap cost]]/(tblProduction[[#This Row],[Produced]]-tblProduction[[#This Row],[Scrapped]]),""))</f>
        <v>0.0957361963190184</v>
      </c>
      <c r="M51" s="41">
        <f>IF(tblProduction[[#This Row],[Date]]="","",IF(AND(tblProduction[[#This Row],[Date]]&gt;=FFrom,tblProduction[[#This Row],[Date]]&lt;=FTo,OR(DashPart="",tblProduction[[#This Row],[Part]]=DashPart)),tblProduction[[#This Row],[Date]],""))</f>
        <v>46273</v>
      </c>
      <c r="N51"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51" s="43" t="s">
        <v>139</v>
      </c>
    </row>
    <row r="52" spans="2:15">
      <c r="B52" s="36">
        <v>46273</v>
      </c>
      <c r="C52" s="28" t="s">
        <v>89</v>
      </c>
      <c r="D52" s="37">
        <v>265</v>
      </c>
      <c r="E52" s="38">
        <f>IF(tblProduction[[#This Row],[Date]]="","",IFERROR(INDEX(tblParts[Standard cost],MATCH(tblProduction[[#This Row],[Part]],tblParts[Part],0)),""))</f>
        <v>26</v>
      </c>
      <c r="F52" s="44">
        <f>IF(tblProduction[[#This Row],[Date]]="","",IF(tblProduction[[#This Row],[Standard cost]]="","",tblProduction[[#This Row],[Produced]]*tblProduction[[#This Row],[Standard cost]]))</f>
        <v>6890</v>
      </c>
      <c r="G52" s="44">
        <f>IF(tblProduction[[#This Row],[Date]]="","",SUMIFS(tblScrap[Scrapped],tblScrap[Date],tblProduction[[#This Row],[Date]],tblScrap[Part],tblProduction[[#This Row],[Part]]))</f>
        <v>6</v>
      </c>
      <c r="H52" s="38">
        <f>IF(tblProduction[[#This Row],[Date]]="","",SUMIFS(tblScrap[Net scrap cost],tblScrap[Date],tblProduction[[#This Row],[Date]],tblScrap[Part],tblProduction[[#This Row],[Part]]))</f>
        <v>94.14</v>
      </c>
      <c r="I52" s="45">
        <f>IF(tblProduction[[#This Row],[Date]]="","",IF(tblProduction[[#This Row],[Produced]]&gt;0,tblProduction[[#This Row],[Scrapped]]/tblProduction[[#This Row],[Produced]],""))</f>
        <v>0.0226415094339623</v>
      </c>
      <c r="J52" s="46" t="str">
        <f>IF(NOT(ISNUMBER(tblProduction[[#This Row],[Scrap rate]])),"",IF(tblProduction[[#This Row],[Scrap rate]]&lt;=TargetRate,"On target",IF(tblProduction[[#This Row],[Scrap rate]]&lt;=TargetRate*(1+0.05),"Near target","Above target")))</f>
        <v>Above target</v>
      </c>
      <c r="K52" s="45">
        <f>IF(tblProduction[[#This Row],[Date]]="","",IF(N(tblProduction[[#This Row],[Production value]])&gt;0,tblProduction[[#This Row],[Net scrap cost]]/tblProduction[[#This Row],[Production value]],""))</f>
        <v>0.0136632801161103</v>
      </c>
      <c r="L52" s="47">
        <f>IF(tblProduction[[#This Row],[Date]]="","",IF(tblProduction[[#This Row],[Produced]]-tblProduction[[#This Row],[Scrapped]]&gt;0,tblProduction[[#This Row],[Net scrap cost]]/(tblProduction[[#This Row],[Produced]]-tblProduction[[#This Row],[Scrapped]]),""))</f>
        <v>0.363474903474903</v>
      </c>
      <c r="M52" s="41">
        <f>IF(tblProduction[[#This Row],[Date]]="","",IF(AND(tblProduction[[#This Row],[Date]]&gt;=FFrom,tblProduction[[#This Row],[Date]]&lt;=FTo,OR(DashPart="",tblProduction[[#This Row],[Part]]=DashPart)),tblProduction[[#This Row],[Date]],""))</f>
        <v>46273</v>
      </c>
      <c r="N52"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52" s="43" t="s">
        <v>139</v>
      </c>
    </row>
    <row r="53" spans="2:15">
      <c r="B53" s="36">
        <v>46273</v>
      </c>
      <c r="C53" s="28" t="s">
        <v>91</v>
      </c>
      <c r="D53" s="37">
        <v>930</v>
      </c>
      <c r="E53" s="38">
        <f>IF(tblProduction[[#This Row],[Date]]="","",IFERROR(INDEX(tblParts[Standard cost],MATCH(tblProduction[[#This Row],[Part]],tblParts[Part],0)),""))</f>
        <v>5.35</v>
      </c>
      <c r="F53" s="44">
        <f>IF(tblProduction[[#This Row],[Date]]="","",IF(tblProduction[[#This Row],[Standard cost]]="","",tblProduction[[#This Row],[Produced]]*tblProduction[[#This Row],[Standard cost]]))</f>
        <v>4975.5</v>
      </c>
      <c r="G53" s="44">
        <f>IF(tblProduction[[#This Row],[Date]]="","",SUMIFS(tblScrap[Scrapped],tblScrap[Date],tblProduction[[#This Row],[Date]],tblScrap[Part],tblProduction[[#This Row],[Part]]))</f>
        <v>15</v>
      </c>
      <c r="H53" s="38">
        <f>IF(tblProduction[[#This Row],[Date]]="","",SUMIFS(tblScrap[Net scrap cost],tblScrap[Date],tblProduction[[#This Row],[Date]],tblScrap[Part],tblProduction[[#This Row],[Part]]))</f>
        <v>66.495</v>
      </c>
      <c r="I53" s="45">
        <f>IF(tblProduction[[#This Row],[Date]]="","",IF(tblProduction[[#This Row],[Produced]]&gt;0,tblProduction[[#This Row],[Scrapped]]/tblProduction[[#This Row],[Produced]],""))</f>
        <v>0.0161290322580645</v>
      </c>
      <c r="J53" s="46" t="str">
        <f>IF(NOT(ISNUMBER(tblProduction[[#This Row],[Scrap rate]])),"",IF(tblProduction[[#This Row],[Scrap rate]]&lt;=TargetRate,"On target",IF(tblProduction[[#This Row],[Scrap rate]]&lt;=TargetRate*(1+0.05),"Near target","Above target")))</f>
        <v>On target</v>
      </c>
      <c r="K53" s="45">
        <f>IF(tblProduction[[#This Row],[Date]]="","",IF(N(tblProduction[[#This Row],[Production value]])&gt;0,tblProduction[[#This Row],[Net scrap cost]]/tblProduction[[#This Row],[Production value]],""))</f>
        <v>0.0133644859813084</v>
      </c>
      <c r="L53" s="47">
        <f>IF(tblProduction[[#This Row],[Date]]="","",IF(tblProduction[[#This Row],[Produced]]-tblProduction[[#This Row],[Scrapped]]&gt;0,tblProduction[[#This Row],[Net scrap cost]]/(tblProduction[[#This Row],[Produced]]-tblProduction[[#This Row],[Scrapped]]),""))</f>
        <v>0.072672131147541</v>
      </c>
      <c r="M53" s="41">
        <f>IF(tblProduction[[#This Row],[Date]]="","",IF(AND(tblProduction[[#This Row],[Date]]&gt;=FFrom,tblProduction[[#This Row],[Date]]&lt;=FTo,OR(DashPart="",tblProduction[[#This Row],[Part]]=DashPart)),tblProduction[[#This Row],[Date]],""))</f>
        <v>46273</v>
      </c>
      <c r="N53"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53" s="43" t="s">
        <v>139</v>
      </c>
    </row>
    <row r="54" spans="2:15">
      <c r="B54" s="36">
        <v>46273</v>
      </c>
      <c r="C54" s="28" t="s">
        <v>93</v>
      </c>
      <c r="D54" s="37">
        <v>565</v>
      </c>
      <c r="E54" s="38">
        <f>IF(tblProduction[[#This Row],[Date]]="","",IFERROR(INDEX(tblParts[Standard cost],MATCH(tblProduction[[#This Row],[Part]],tblParts[Part],0)),""))</f>
        <v>11.35</v>
      </c>
      <c r="F54" s="44">
        <f>IF(tblProduction[[#This Row],[Date]]="","",IF(tblProduction[[#This Row],[Standard cost]]="","",tblProduction[[#This Row],[Produced]]*tblProduction[[#This Row],[Standard cost]]))</f>
        <v>6412.75</v>
      </c>
      <c r="G54" s="44">
        <f>IF(tblProduction[[#This Row],[Date]]="","",SUMIFS(tblScrap[Scrapped],tblScrap[Date],tblProduction[[#This Row],[Date]],tblScrap[Part],tblProduction[[#This Row],[Part]]))</f>
        <v>6</v>
      </c>
      <c r="H54" s="38">
        <f>IF(tblProduction[[#This Row],[Date]]="","",SUMIFS(tblScrap[Net scrap cost],tblScrap[Date],tblProduction[[#This Row],[Date]],tblScrap[Part],tblProduction[[#This Row],[Part]]))</f>
        <v>28.59</v>
      </c>
      <c r="I54" s="45">
        <f>IF(tblProduction[[#This Row],[Date]]="","",IF(tblProduction[[#This Row],[Produced]]&gt;0,tblProduction[[#This Row],[Scrapped]]/tblProduction[[#This Row],[Produced]],""))</f>
        <v>0.0106194690265487</v>
      </c>
      <c r="J54" s="46" t="str">
        <f>IF(NOT(ISNUMBER(tblProduction[[#This Row],[Scrap rate]])),"",IF(tblProduction[[#This Row],[Scrap rate]]&lt;=TargetRate,"On target",IF(tblProduction[[#This Row],[Scrap rate]]&lt;=TargetRate*(1+0.05),"Near target","Above target")))</f>
        <v>On target</v>
      </c>
      <c r="K54" s="45">
        <f>IF(tblProduction[[#This Row],[Date]]="","",IF(N(tblProduction[[#This Row],[Production value]])&gt;0,tblProduction[[#This Row],[Net scrap cost]]/tblProduction[[#This Row],[Production value]],""))</f>
        <v>0.00445830571907528</v>
      </c>
      <c r="L54" s="47">
        <f>IF(tblProduction[[#This Row],[Date]]="","",IF(tblProduction[[#This Row],[Produced]]-tblProduction[[#This Row],[Scrapped]]&gt;0,tblProduction[[#This Row],[Net scrap cost]]/(tblProduction[[#This Row],[Produced]]-tblProduction[[#This Row],[Scrapped]]),""))</f>
        <v>0.0511449016100179</v>
      </c>
      <c r="M54" s="41">
        <f>IF(tblProduction[[#This Row],[Date]]="","",IF(AND(tblProduction[[#This Row],[Date]]&gt;=FFrom,tblProduction[[#This Row],[Date]]&lt;=FTo,OR(DashPart="",tblProduction[[#This Row],[Part]]=DashPart)),tblProduction[[#This Row],[Date]],""))</f>
        <v>46273</v>
      </c>
      <c r="N54"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54" s="43" t="s">
        <v>139</v>
      </c>
    </row>
    <row r="55" spans="2:15">
      <c r="B55" s="36">
        <v>46274</v>
      </c>
      <c r="C55" s="28" t="s">
        <v>87</v>
      </c>
      <c r="D55" s="37">
        <v>340</v>
      </c>
      <c r="E55" s="38">
        <f>IF(tblProduction[[#This Row],[Date]]="","",IFERROR(INDEX(tblParts[Standard cost],MATCH(tblProduction[[#This Row],[Part]],tblParts[Part],0)),""))</f>
        <v>19</v>
      </c>
      <c r="F55" s="44">
        <f>IF(tblProduction[[#This Row],[Date]]="","",IF(tblProduction[[#This Row],[Standard cost]]="","",tblProduction[[#This Row],[Produced]]*tblProduction[[#This Row],[Standard cost]]))</f>
        <v>6460</v>
      </c>
      <c r="G55" s="44">
        <f>IF(tblProduction[[#This Row],[Date]]="","",SUMIFS(tblScrap[Scrapped],tblScrap[Date],tblProduction[[#This Row],[Date]],tblScrap[Part],tblProduction[[#This Row],[Part]]))</f>
        <v>9</v>
      </c>
      <c r="H55" s="38">
        <f>IF(tblProduction[[#This Row],[Date]]="","",SUMIFS(tblScrap[Net scrap cost],tblScrap[Date],tblProduction[[#This Row],[Date]],tblScrap[Part],tblProduction[[#This Row],[Part]]))</f>
        <v>78.4225</v>
      </c>
      <c r="I55" s="45">
        <f>IF(tblProduction[[#This Row],[Date]]="","",IF(tblProduction[[#This Row],[Produced]]&gt;0,tblProduction[[#This Row],[Scrapped]]/tblProduction[[#This Row],[Produced]],""))</f>
        <v>0.0264705882352941</v>
      </c>
      <c r="J55" s="46" t="str">
        <f>IF(NOT(ISNUMBER(tblProduction[[#This Row],[Scrap rate]])),"",IF(tblProduction[[#This Row],[Scrap rate]]&lt;=TargetRate,"On target",IF(tblProduction[[#This Row],[Scrap rate]]&lt;=TargetRate*(1+0.05),"Near target","Above target")))</f>
        <v>Above target</v>
      </c>
      <c r="K55" s="45">
        <f>IF(tblProduction[[#This Row],[Date]]="","",IF(N(tblProduction[[#This Row],[Production value]])&gt;0,tblProduction[[#This Row],[Net scrap cost]]/tblProduction[[#This Row],[Production value]],""))</f>
        <v>0.0121397058823529</v>
      </c>
      <c r="L55" s="47">
        <f>IF(tblProduction[[#This Row],[Date]]="","",IF(tblProduction[[#This Row],[Produced]]-tblProduction[[#This Row],[Scrapped]]&gt;0,tblProduction[[#This Row],[Net scrap cost]]/(tblProduction[[#This Row],[Produced]]-tblProduction[[#This Row],[Scrapped]]),""))</f>
        <v>0.236925981873112</v>
      </c>
      <c r="M55" s="41">
        <f>IF(tblProduction[[#This Row],[Date]]="","",IF(AND(tblProduction[[#This Row],[Date]]&gt;=FFrom,tblProduction[[#This Row],[Date]]&lt;=FTo,OR(DashPart="",tblProduction[[#This Row],[Part]]=DashPart)),tblProduction[[#This Row],[Date]],""))</f>
        <v>46274</v>
      </c>
      <c r="N55"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55" s="43" t="s">
        <v>139</v>
      </c>
    </row>
    <row r="56" spans="2:15">
      <c r="B56" s="36">
        <v>46274</v>
      </c>
      <c r="C56" s="28" t="s">
        <v>89</v>
      </c>
      <c r="D56" s="37">
        <v>275</v>
      </c>
      <c r="E56" s="38">
        <f>IF(tblProduction[[#This Row],[Date]]="","",IFERROR(INDEX(tblParts[Standard cost],MATCH(tblProduction[[#This Row],[Part]],tblParts[Part],0)),""))</f>
        <v>26</v>
      </c>
      <c r="F56" s="44">
        <f>IF(tblProduction[[#This Row],[Date]]="","",IF(tblProduction[[#This Row],[Standard cost]]="","",tblProduction[[#This Row],[Produced]]*tblProduction[[#This Row],[Standard cost]]))</f>
        <v>7150</v>
      </c>
      <c r="G56" s="44">
        <f>IF(tblProduction[[#This Row],[Date]]="","",SUMIFS(tblScrap[Scrapped],tblScrap[Date],tblProduction[[#This Row],[Date]],tblScrap[Part],tblProduction[[#This Row],[Part]]))</f>
        <v>6</v>
      </c>
      <c r="H56" s="38">
        <f>IF(tblProduction[[#This Row],[Date]]="","",SUMIFS(tblScrap[Net scrap cost],tblScrap[Date],tblProduction[[#This Row],[Date]],tblScrap[Part],tblProduction[[#This Row],[Part]]))</f>
        <v>130.84</v>
      </c>
      <c r="I56" s="45">
        <f>IF(tblProduction[[#This Row],[Date]]="","",IF(tblProduction[[#This Row],[Produced]]&gt;0,tblProduction[[#This Row],[Scrapped]]/tblProduction[[#This Row],[Produced]],""))</f>
        <v>0.0218181818181818</v>
      </c>
      <c r="J56" s="46" t="str">
        <f>IF(NOT(ISNUMBER(tblProduction[[#This Row],[Scrap rate]])),"",IF(tblProduction[[#This Row],[Scrap rate]]&lt;=TargetRate,"On target",IF(tblProduction[[#This Row],[Scrap rate]]&lt;=TargetRate*(1+0.05),"Near target","Above target")))</f>
        <v>Above target</v>
      </c>
      <c r="K56" s="45">
        <f>IF(tblProduction[[#This Row],[Date]]="","",IF(N(tblProduction[[#This Row],[Production value]])&gt;0,tblProduction[[#This Row],[Net scrap cost]]/tblProduction[[#This Row],[Production value]],""))</f>
        <v>0.0182993006993007</v>
      </c>
      <c r="L56" s="47">
        <f>IF(tblProduction[[#This Row],[Date]]="","",IF(tblProduction[[#This Row],[Produced]]-tblProduction[[#This Row],[Scrapped]]&gt;0,tblProduction[[#This Row],[Net scrap cost]]/(tblProduction[[#This Row],[Produced]]-tblProduction[[#This Row],[Scrapped]]),""))</f>
        <v>0.48639405204461</v>
      </c>
      <c r="M56" s="41">
        <f>IF(tblProduction[[#This Row],[Date]]="","",IF(AND(tblProduction[[#This Row],[Date]]&gt;=FFrom,tblProduction[[#This Row],[Date]]&lt;=FTo,OR(DashPart="",tblProduction[[#This Row],[Part]]=DashPart)),tblProduction[[#This Row],[Date]],""))</f>
        <v>46274</v>
      </c>
      <c r="N56"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56" s="43" t="s">
        <v>139</v>
      </c>
    </row>
    <row r="57" spans="2:15">
      <c r="B57" s="36">
        <v>46274</v>
      </c>
      <c r="C57" s="28" t="s">
        <v>91</v>
      </c>
      <c r="D57" s="37">
        <v>885</v>
      </c>
      <c r="E57" s="38">
        <f>IF(tblProduction[[#This Row],[Date]]="","",IFERROR(INDEX(tblParts[Standard cost],MATCH(tblProduction[[#This Row],[Part]],tblParts[Part],0)),""))</f>
        <v>5.35</v>
      </c>
      <c r="F57" s="44">
        <f>IF(tblProduction[[#This Row],[Date]]="","",IF(tblProduction[[#This Row],[Standard cost]]="","",tblProduction[[#This Row],[Produced]]*tblProduction[[#This Row],[Standard cost]]))</f>
        <v>4734.75</v>
      </c>
      <c r="G57" s="44">
        <f>IF(tblProduction[[#This Row],[Date]]="","",SUMIFS(tblScrap[Scrapped],tblScrap[Date],tblProduction[[#This Row],[Date]],tblScrap[Part],tblProduction[[#This Row],[Part]]))</f>
        <v>26</v>
      </c>
      <c r="H57" s="38">
        <f>IF(tblProduction[[#This Row],[Date]]="","",SUMIFS(tblScrap[Net scrap cost],tblScrap[Date],tblProduction[[#This Row],[Date]],tblScrap[Part],tblProduction[[#This Row],[Part]]))</f>
        <v>77.938</v>
      </c>
      <c r="I57" s="45">
        <f>IF(tblProduction[[#This Row],[Date]]="","",IF(tblProduction[[#This Row],[Produced]]&gt;0,tblProduction[[#This Row],[Scrapped]]/tblProduction[[#This Row],[Produced]],""))</f>
        <v>0.0293785310734463</v>
      </c>
      <c r="J57" s="46" t="str">
        <f>IF(NOT(ISNUMBER(tblProduction[[#This Row],[Scrap rate]])),"",IF(tblProduction[[#This Row],[Scrap rate]]&lt;=TargetRate,"On target",IF(tblProduction[[#This Row],[Scrap rate]]&lt;=TargetRate*(1+0.05),"Near target","Above target")))</f>
        <v>Above target</v>
      </c>
      <c r="K57" s="45">
        <f>IF(tblProduction[[#This Row],[Date]]="","",IF(N(tblProduction[[#This Row],[Production value]])&gt;0,tblProduction[[#This Row],[Net scrap cost]]/tblProduction[[#This Row],[Production value]],""))</f>
        <v>0.0164608479856381</v>
      </c>
      <c r="L57" s="47">
        <f>IF(tblProduction[[#This Row],[Date]]="","",IF(tblProduction[[#This Row],[Produced]]-tblProduction[[#This Row],[Scrapped]]&gt;0,tblProduction[[#This Row],[Net scrap cost]]/(tblProduction[[#This Row],[Produced]]-tblProduction[[#This Row],[Scrapped]]),""))</f>
        <v>0.0907310826542491</v>
      </c>
      <c r="M57" s="41">
        <f>IF(tblProduction[[#This Row],[Date]]="","",IF(AND(tblProduction[[#This Row],[Date]]&gt;=FFrom,tblProduction[[#This Row],[Date]]&lt;=FTo,OR(DashPart="",tblProduction[[#This Row],[Part]]=DashPart)),tblProduction[[#This Row],[Date]],""))</f>
        <v>46274</v>
      </c>
      <c r="N57"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57" s="43" t="s">
        <v>139</v>
      </c>
    </row>
    <row r="58" spans="2:15">
      <c r="B58" s="36">
        <v>46274</v>
      </c>
      <c r="C58" s="28" t="s">
        <v>93</v>
      </c>
      <c r="D58" s="37">
        <v>575</v>
      </c>
      <c r="E58" s="38">
        <f>IF(tblProduction[[#This Row],[Date]]="","",IFERROR(INDEX(tblParts[Standard cost],MATCH(tblProduction[[#This Row],[Part]],tblParts[Part],0)),""))</f>
        <v>11.35</v>
      </c>
      <c r="F58" s="44">
        <f>IF(tblProduction[[#This Row],[Date]]="","",IF(tblProduction[[#This Row],[Standard cost]]="","",tblProduction[[#This Row],[Produced]]*tblProduction[[#This Row],[Standard cost]]))</f>
        <v>6526.25</v>
      </c>
      <c r="G58" s="44">
        <f>IF(tblProduction[[#This Row],[Date]]="","",SUMIFS(tblScrap[Scrapped],tblScrap[Date],tblProduction[[#This Row],[Date]],tblScrap[Part],tblProduction[[#This Row],[Part]]))</f>
        <v>7</v>
      </c>
      <c r="H58" s="38">
        <f>IF(tblProduction[[#This Row],[Date]]="","",SUMIFS(tblScrap[Net scrap cost],tblScrap[Date],tblProduction[[#This Row],[Date]],tblScrap[Part],tblProduction[[#This Row],[Part]]))</f>
        <v>33.355</v>
      </c>
      <c r="I58" s="45">
        <f>IF(tblProduction[[#This Row],[Date]]="","",IF(tblProduction[[#This Row],[Produced]]&gt;0,tblProduction[[#This Row],[Scrapped]]/tblProduction[[#This Row],[Produced]],""))</f>
        <v>0.0121739130434783</v>
      </c>
      <c r="J58" s="46" t="str">
        <f>IF(NOT(ISNUMBER(tblProduction[[#This Row],[Scrap rate]])),"",IF(tblProduction[[#This Row],[Scrap rate]]&lt;=TargetRate,"On target",IF(tblProduction[[#This Row],[Scrap rate]]&lt;=TargetRate*(1+0.05),"Near target","Above target")))</f>
        <v>On target</v>
      </c>
      <c r="K58" s="45">
        <f>IF(tblProduction[[#This Row],[Date]]="","",IF(N(tblProduction[[#This Row],[Production value]])&gt;0,tblProduction[[#This Row],[Net scrap cost]]/tblProduction[[#This Row],[Production value]],""))</f>
        <v>0.00511089829534572</v>
      </c>
      <c r="L58" s="47">
        <f>IF(tblProduction[[#This Row],[Date]]="","",IF(tblProduction[[#This Row],[Produced]]-tblProduction[[#This Row],[Scrapped]]&gt;0,tblProduction[[#This Row],[Net scrap cost]]/(tblProduction[[#This Row],[Produced]]-tblProduction[[#This Row],[Scrapped]]),""))</f>
        <v>0.0587235915492958</v>
      </c>
      <c r="M58" s="41">
        <f>IF(tblProduction[[#This Row],[Date]]="","",IF(AND(tblProduction[[#This Row],[Date]]&gt;=FFrom,tblProduction[[#This Row],[Date]]&lt;=FTo,OR(DashPart="",tblProduction[[#This Row],[Part]]=DashPart)),tblProduction[[#This Row],[Date]],""))</f>
        <v>46274</v>
      </c>
      <c r="N58"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58" s="43" t="s">
        <v>139</v>
      </c>
    </row>
    <row r="59" spans="2:15">
      <c r="B59" s="36">
        <v>46275</v>
      </c>
      <c r="C59" s="28" t="s">
        <v>87</v>
      </c>
      <c r="D59" s="37">
        <v>290</v>
      </c>
      <c r="E59" s="38">
        <f>IF(tblProduction[[#This Row],[Date]]="","",IFERROR(INDEX(tblParts[Standard cost],MATCH(tblProduction[[#This Row],[Part]],tblParts[Part],0)),""))</f>
        <v>19</v>
      </c>
      <c r="F59" s="44">
        <f>IF(tblProduction[[#This Row],[Date]]="","",IF(tblProduction[[#This Row],[Standard cost]]="","",tblProduction[[#This Row],[Produced]]*tblProduction[[#This Row],[Standard cost]]))</f>
        <v>5510</v>
      </c>
      <c r="G59" s="44">
        <f>IF(tblProduction[[#This Row],[Date]]="","",SUMIFS(tblScrap[Scrapped],tblScrap[Date],tblProduction[[#This Row],[Date]],tblScrap[Part],tblProduction[[#This Row],[Part]]))</f>
        <v>9</v>
      </c>
      <c r="H59" s="38">
        <f>IF(tblProduction[[#This Row],[Date]]="","",SUMIFS(tblScrap[Net scrap cost],tblScrap[Date],tblProduction[[#This Row],[Date]],tblScrap[Part],tblProduction[[#This Row],[Part]]))</f>
        <v>85.0225</v>
      </c>
      <c r="I59" s="45">
        <f>IF(tblProduction[[#This Row],[Date]]="","",IF(tblProduction[[#This Row],[Produced]]&gt;0,tblProduction[[#This Row],[Scrapped]]/tblProduction[[#This Row],[Produced]],""))</f>
        <v>0.0310344827586207</v>
      </c>
      <c r="J59" s="46" t="str">
        <f>IF(NOT(ISNUMBER(tblProduction[[#This Row],[Scrap rate]])),"",IF(tblProduction[[#This Row],[Scrap rate]]&lt;=TargetRate,"On target",IF(tblProduction[[#This Row],[Scrap rate]]&lt;=TargetRate*(1+0.05),"Near target","Above target")))</f>
        <v>Above target</v>
      </c>
      <c r="K59" s="45">
        <f>IF(tblProduction[[#This Row],[Date]]="","",IF(N(tblProduction[[#This Row],[Production value]])&gt;0,tblProduction[[#This Row],[Net scrap cost]]/tblProduction[[#This Row],[Production value]],""))</f>
        <v>0.0154305807622505</v>
      </c>
      <c r="L59" s="47">
        <f>IF(tblProduction[[#This Row],[Date]]="","",IF(tblProduction[[#This Row],[Produced]]-tblProduction[[#This Row],[Scrapped]]&gt;0,tblProduction[[#This Row],[Net scrap cost]]/(tblProduction[[#This Row],[Produced]]-tblProduction[[#This Row],[Scrapped]]),""))</f>
        <v>0.302571174377224</v>
      </c>
      <c r="M59" s="41">
        <f>IF(tblProduction[[#This Row],[Date]]="","",IF(AND(tblProduction[[#This Row],[Date]]&gt;=FFrom,tblProduction[[#This Row],[Date]]&lt;=FTo,OR(DashPart="",tblProduction[[#This Row],[Part]]=DashPart)),tblProduction[[#This Row],[Date]],""))</f>
        <v>46275</v>
      </c>
      <c r="N59"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59" s="43" t="s">
        <v>139</v>
      </c>
    </row>
    <row r="60" spans="2:15">
      <c r="B60" s="36">
        <v>46275</v>
      </c>
      <c r="C60" s="28" t="s">
        <v>89</v>
      </c>
      <c r="D60" s="37">
        <v>270</v>
      </c>
      <c r="E60" s="38">
        <f>IF(tblProduction[[#This Row],[Date]]="","",IFERROR(INDEX(tblParts[Standard cost],MATCH(tblProduction[[#This Row],[Part]],tblParts[Part],0)),""))</f>
        <v>26</v>
      </c>
      <c r="F60" s="44">
        <f>IF(tblProduction[[#This Row],[Date]]="","",IF(tblProduction[[#This Row],[Standard cost]]="","",tblProduction[[#This Row],[Produced]]*tblProduction[[#This Row],[Standard cost]]))</f>
        <v>7020</v>
      </c>
      <c r="G60" s="44">
        <f>IF(tblProduction[[#This Row],[Date]]="","",SUMIFS(tblScrap[Scrapped],tblScrap[Date],tblProduction[[#This Row],[Date]],tblScrap[Part],tblProduction[[#This Row],[Part]]))</f>
        <v>17</v>
      </c>
      <c r="H60" s="38">
        <f>IF(tblProduction[[#This Row],[Date]]="","",SUMIFS(tblScrap[Net scrap cost],tblScrap[Date],tblProduction[[#This Row],[Date]],tblScrap[Part],tblProduction[[#This Row],[Part]]))</f>
        <v>313.03</v>
      </c>
      <c r="I60" s="45">
        <f>IF(tblProduction[[#This Row],[Date]]="","",IF(tblProduction[[#This Row],[Produced]]&gt;0,tblProduction[[#This Row],[Scrapped]]/tblProduction[[#This Row],[Produced]],""))</f>
        <v>0.062962962962963</v>
      </c>
      <c r="J60" s="46" t="str">
        <f>IF(NOT(ISNUMBER(tblProduction[[#This Row],[Scrap rate]])),"",IF(tblProduction[[#This Row],[Scrap rate]]&lt;=TargetRate,"On target",IF(tblProduction[[#This Row],[Scrap rate]]&lt;=TargetRate*(1+0.05),"Near target","Above target")))</f>
        <v>Above target</v>
      </c>
      <c r="K60" s="45">
        <f>IF(tblProduction[[#This Row],[Date]]="","",IF(N(tblProduction[[#This Row],[Production value]])&gt;0,tblProduction[[#This Row],[Net scrap cost]]/tblProduction[[#This Row],[Production value]],""))</f>
        <v>0.0445911680911681</v>
      </c>
      <c r="L60" s="47">
        <f>IF(tblProduction[[#This Row],[Date]]="","",IF(tblProduction[[#This Row],[Produced]]-tblProduction[[#This Row],[Scrapped]]&gt;0,tblProduction[[#This Row],[Net scrap cost]]/(tblProduction[[#This Row],[Produced]]-tblProduction[[#This Row],[Scrapped]]),""))</f>
        <v>1.23727272727273</v>
      </c>
      <c r="M60" s="41">
        <f>IF(tblProduction[[#This Row],[Date]]="","",IF(AND(tblProduction[[#This Row],[Date]]&gt;=FFrom,tblProduction[[#This Row],[Date]]&lt;=FTo,OR(DashPart="",tblProduction[[#This Row],[Part]]=DashPart)),tblProduction[[#This Row],[Date]],""))</f>
        <v>46275</v>
      </c>
      <c r="N60"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60" s="43" t="s">
        <v>139</v>
      </c>
    </row>
    <row r="61" spans="2:15">
      <c r="B61" s="36">
        <v>46275</v>
      </c>
      <c r="C61" s="28" t="s">
        <v>91</v>
      </c>
      <c r="D61" s="37">
        <v>915</v>
      </c>
      <c r="E61" s="38">
        <f>IF(tblProduction[[#This Row],[Date]]="","",IFERROR(INDEX(tblParts[Standard cost],MATCH(tblProduction[[#This Row],[Part]],tblParts[Part],0)),""))</f>
        <v>5.35</v>
      </c>
      <c r="F61" s="44">
        <f>IF(tblProduction[[#This Row],[Date]]="","",IF(tblProduction[[#This Row],[Standard cost]]="","",tblProduction[[#This Row],[Produced]]*tblProduction[[#This Row],[Standard cost]]))</f>
        <v>4895.25</v>
      </c>
      <c r="G61" s="44">
        <f>IF(tblProduction[[#This Row],[Date]]="","",SUMIFS(tblScrap[Scrapped],tblScrap[Date],tblProduction[[#This Row],[Date]],tblScrap[Part],tblProduction[[#This Row],[Part]]))</f>
        <v>0</v>
      </c>
      <c r="H61" s="38">
        <f>IF(tblProduction[[#This Row],[Date]]="","",SUMIFS(tblScrap[Net scrap cost],tblScrap[Date],tblProduction[[#This Row],[Date]],tblScrap[Part],tblProduction[[#This Row],[Part]]))</f>
        <v>0</v>
      </c>
      <c r="I61" s="45">
        <f>IF(tblProduction[[#This Row],[Date]]="","",IF(tblProduction[[#This Row],[Produced]]&gt;0,tblProduction[[#This Row],[Scrapped]]/tblProduction[[#This Row],[Produced]],""))</f>
        <v>0</v>
      </c>
      <c r="J61" s="46" t="str">
        <f>IF(NOT(ISNUMBER(tblProduction[[#This Row],[Scrap rate]])),"",IF(tblProduction[[#This Row],[Scrap rate]]&lt;=TargetRate,"On target",IF(tblProduction[[#This Row],[Scrap rate]]&lt;=TargetRate*(1+0.05),"Near target","Above target")))</f>
        <v>On target</v>
      </c>
      <c r="K61" s="45">
        <f>IF(tblProduction[[#This Row],[Date]]="","",IF(N(tblProduction[[#This Row],[Production value]])&gt;0,tblProduction[[#This Row],[Net scrap cost]]/tblProduction[[#This Row],[Production value]],""))</f>
        <v>0</v>
      </c>
      <c r="L61" s="47">
        <f>IF(tblProduction[[#This Row],[Date]]="","",IF(tblProduction[[#This Row],[Produced]]-tblProduction[[#This Row],[Scrapped]]&gt;0,tblProduction[[#This Row],[Net scrap cost]]/(tblProduction[[#This Row],[Produced]]-tblProduction[[#This Row],[Scrapped]]),""))</f>
        <v>0</v>
      </c>
      <c r="M61" s="41">
        <f>IF(tblProduction[[#This Row],[Date]]="","",IF(AND(tblProduction[[#This Row],[Date]]&gt;=FFrom,tblProduction[[#This Row],[Date]]&lt;=FTo,OR(DashPart="",tblProduction[[#This Row],[Part]]=DashPart)),tblProduction[[#This Row],[Date]],""))</f>
        <v>46275</v>
      </c>
      <c r="N61"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61" s="43" t="s">
        <v>139</v>
      </c>
    </row>
    <row r="62" spans="2:15">
      <c r="B62" s="36">
        <v>46275</v>
      </c>
      <c r="C62" s="28" t="s">
        <v>93</v>
      </c>
      <c r="D62" s="37">
        <v>505</v>
      </c>
      <c r="E62" s="38">
        <f>IF(tblProduction[[#This Row],[Date]]="","",IFERROR(INDEX(tblParts[Standard cost],MATCH(tblProduction[[#This Row],[Part]],tblParts[Part],0)),""))</f>
        <v>11.35</v>
      </c>
      <c r="F62" s="44">
        <f>IF(tblProduction[[#This Row],[Date]]="","",IF(tblProduction[[#This Row],[Standard cost]]="","",tblProduction[[#This Row],[Produced]]*tblProduction[[#This Row],[Standard cost]]))</f>
        <v>5731.75</v>
      </c>
      <c r="G62" s="44">
        <f>IF(tblProduction[[#This Row],[Date]]="","",SUMIFS(tblScrap[Scrapped],tblScrap[Date],tblProduction[[#This Row],[Date]],tblScrap[Part],tblProduction[[#This Row],[Part]]))</f>
        <v>0</v>
      </c>
      <c r="H62" s="38">
        <f>IF(tblProduction[[#This Row],[Date]]="","",SUMIFS(tblScrap[Net scrap cost],tblScrap[Date],tblProduction[[#This Row],[Date]],tblScrap[Part],tblProduction[[#This Row],[Part]]))</f>
        <v>0</v>
      </c>
      <c r="I62" s="45">
        <f>IF(tblProduction[[#This Row],[Date]]="","",IF(tblProduction[[#This Row],[Produced]]&gt;0,tblProduction[[#This Row],[Scrapped]]/tblProduction[[#This Row],[Produced]],""))</f>
        <v>0</v>
      </c>
      <c r="J62" s="46" t="str">
        <f>IF(NOT(ISNUMBER(tblProduction[[#This Row],[Scrap rate]])),"",IF(tblProduction[[#This Row],[Scrap rate]]&lt;=TargetRate,"On target",IF(tblProduction[[#This Row],[Scrap rate]]&lt;=TargetRate*(1+0.05),"Near target","Above target")))</f>
        <v>On target</v>
      </c>
      <c r="K62" s="45">
        <f>IF(tblProduction[[#This Row],[Date]]="","",IF(N(tblProduction[[#This Row],[Production value]])&gt;0,tblProduction[[#This Row],[Net scrap cost]]/tblProduction[[#This Row],[Production value]],""))</f>
        <v>0</v>
      </c>
      <c r="L62" s="47">
        <f>IF(tblProduction[[#This Row],[Date]]="","",IF(tblProduction[[#This Row],[Produced]]-tblProduction[[#This Row],[Scrapped]]&gt;0,tblProduction[[#This Row],[Net scrap cost]]/(tblProduction[[#This Row],[Produced]]-tblProduction[[#This Row],[Scrapped]]),""))</f>
        <v>0</v>
      </c>
      <c r="M62" s="41">
        <f>IF(tblProduction[[#This Row],[Date]]="","",IF(AND(tblProduction[[#This Row],[Date]]&gt;=FFrom,tblProduction[[#This Row],[Date]]&lt;=FTo,OR(DashPart="",tblProduction[[#This Row],[Part]]=DashPart)),tblProduction[[#This Row],[Date]],""))</f>
        <v>46275</v>
      </c>
      <c r="N62"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62" s="43" t="s">
        <v>139</v>
      </c>
    </row>
    <row r="63" spans="2:15">
      <c r="B63" s="36">
        <v>46276</v>
      </c>
      <c r="C63" s="28" t="s">
        <v>87</v>
      </c>
      <c r="D63" s="37">
        <v>290</v>
      </c>
      <c r="E63" s="38">
        <f>IF(tblProduction[[#This Row],[Date]]="","",IFERROR(INDEX(tblParts[Standard cost],MATCH(tblProduction[[#This Row],[Part]],tblParts[Part],0)),""))</f>
        <v>19</v>
      </c>
      <c r="F63" s="44">
        <f>IF(tblProduction[[#This Row],[Date]]="","",IF(tblProduction[[#This Row],[Standard cost]]="","",tblProduction[[#This Row],[Produced]]*tblProduction[[#This Row],[Standard cost]]))</f>
        <v>5510</v>
      </c>
      <c r="G63" s="44">
        <f>IF(tblProduction[[#This Row],[Date]]="","",SUMIFS(tblScrap[Scrapped],tblScrap[Date],tblProduction[[#This Row],[Date]],tblScrap[Part],tblProduction[[#This Row],[Part]]))</f>
        <v>2</v>
      </c>
      <c r="H63" s="38">
        <f>IF(tblProduction[[#This Row],[Date]]="","",SUMIFS(tblScrap[Net scrap cost],tblScrap[Date],tblProduction[[#This Row],[Date]],tblScrap[Part],tblProduction[[#This Row],[Part]]))</f>
        <v>30.405</v>
      </c>
      <c r="I63" s="45">
        <f>IF(tblProduction[[#This Row],[Date]]="","",IF(tblProduction[[#This Row],[Produced]]&gt;0,tblProduction[[#This Row],[Scrapped]]/tblProduction[[#This Row],[Produced]],""))</f>
        <v>0.00689655172413793</v>
      </c>
      <c r="J63" s="46" t="str">
        <f>IF(NOT(ISNUMBER(tblProduction[[#This Row],[Scrap rate]])),"",IF(tblProduction[[#This Row],[Scrap rate]]&lt;=TargetRate,"On target",IF(tblProduction[[#This Row],[Scrap rate]]&lt;=TargetRate*(1+0.05),"Near target","Above target")))</f>
        <v>On target</v>
      </c>
      <c r="K63" s="45">
        <f>IF(tblProduction[[#This Row],[Date]]="","",IF(N(tblProduction[[#This Row],[Production value]])&gt;0,tblProduction[[#This Row],[Net scrap cost]]/tblProduction[[#This Row],[Production value]],""))</f>
        <v>0.00551814882032668</v>
      </c>
      <c r="L63" s="47">
        <f>IF(tblProduction[[#This Row],[Date]]="","",IF(tblProduction[[#This Row],[Produced]]-tblProduction[[#This Row],[Scrapped]]&gt;0,tblProduction[[#This Row],[Net scrap cost]]/(tblProduction[[#This Row],[Produced]]-tblProduction[[#This Row],[Scrapped]]),""))</f>
        <v>0.105572916666667</v>
      </c>
      <c r="M63" s="41">
        <f>IF(tblProduction[[#This Row],[Date]]="","",IF(AND(tblProduction[[#This Row],[Date]]&gt;=FFrom,tblProduction[[#This Row],[Date]]&lt;=FTo,OR(DashPart="",tblProduction[[#This Row],[Part]]=DashPart)),tblProduction[[#This Row],[Date]],""))</f>
        <v>46276</v>
      </c>
      <c r="N63"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63" s="43" t="s">
        <v>139</v>
      </c>
    </row>
    <row r="64" spans="2:15">
      <c r="B64" s="36">
        <v>46276</v>
      </c>
      <c r="C64" s="28" t="s">
        <v>89</v>
      </c>
      <c r="D64" s="37">
        <v>275</v>
      </c>
      <c r="E64" s="38">
        <f>IF(tblProduction[[#This Row],[Date]]="","",IFERROR(INDEX(tblParts[Standard cost],MATCH(tblProduction[[#This Row],[Part]],tblParts[Part],0)),""))</f>
        <v>26</v>
      </c>
      <c r="F64" s="44">
        <f>IF(tblProduction[[#This Row],[Date]]="","",IF(tblProduction[[#This Row],[Standard cost]]="","",tblProduction[[#This Row],[Produced]]*tblProduction[[#This Row],[Standard cost]]))</f>
        <v>7150</v>
      </c>
      <c r="G64" s="44">
        <f>IF(tblProduction[[#This Row],[Date]]="","",SUMIFS(tblScrap[Scrapped],tblScrap[Date],tblProduction[[#This Row],[Date]],tblScrap[Part],tblProduction[[#This Row],[Part]]))</f>
        <v>7</v>
      </c>
      <c r="H64" s="38">
        <f>IF(tblProduction[[#This Row],[Date]]="","",SUMIFS(tblScrap[Net scrap cost],tblScrap[Date],tblProduction[[#This Row],[Date]],tblScrap[Part],tblProduction[[#This Row],[Part]]))</f>
        <v>153.93</v>
      </c>
      <c r="I64" s="45">
        <f>IF(tblProduction[[#This Row],[Date]]="","",IF(tblProduction[[#This Row],[Produced]]&gt;0,tblProduction[[#This Row],[Scrapped]]/tblProduction[[#This Row],[Produced]],""))</f>
        <v>0.0254545454545455</v>
      </c>
      <c r="J64" s="46" t="str">
        <f>IF(NOT(ISNUMBER(tblProduction[[#This Row],[Scrap rate]])),"",IF(tblProduction[[#This Row],[Scrap rate]]&lt;=TargetRate,"On target",IF(tblProduction[[#This Row],[Scrap rate]]&lt;=TargetRate*(1+0.05),"Near target","Above target")))</f>
        <v>Above target</v>
      </c>
      <c r="K64" s="45">
        <f>IF(tblProduction[[#This Row],[Date]]="","",IF(N(tblProduction[[#This Row],[Production value]])&gt;0,tblProduction[[#This Row],[Net scrap cost]]/tblProduction[[#This Row],[Production value]],""))</f>
        <v>0.0215286713286713</v>
      </c>
      <c r="L64" s="47">
        <f>IF(tblProduction[[#This Row],[Date]]="","",IF(tblProduction[[#This Row],[Produced]]-tblProduction[[#This Row],[Scrapped]]&gt;0,tblProduction[[#This Row],[Net scrap cost]]/(tblProduction[[#This Row],[Produced]]-tblProduction[[#This Row],[Scrapped]]),""))</f>
        <v>0.574365671641791</v>
      </c>
      <c r="M64" s="41">
        <f>IF(tblProduction[[#This Row],[Date]]="","",IF(AND(tblProduction[[#This Row],[Date]]&gt;=FFrom,tblProduction[[#This Row],[Date]]&lt;=FTo,OR(DashPart="",tblProduction[[#This Row],[Part]]=DashPart)),tblProduction[[#This Row],[Date]],""))</f>
        <v>46276</v>
      </c>
      <c r="N64"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64" s="43" t="s">
        <v>139</v>
      </c>
    </row>
    <row r="65" spans="2:15">
      <c r="B65" s="36">
        <v>46276</v>
      </c>
      <c r="C65" s="28" t="s">
        <v>91</v>
      </c>
      <c r="D65" s="37">
        <v>870</v>
      </c>
      <c r="E65" s="38">
        <f>IF(tblProduction[[#This Row],[Date]]="","",IFERROR(INDEX(tblParts[Standard cost],MATCH(tblProduction[[#This Row],[Part]],tblParts[Part],0)),""))</f>
        <v>5.35</v>
      </c>
      <c r="F65" s="44">
        <f>IF(tblProduction[[#This Row],[Date]]="","",IF(tblProduction[[#This Row],[Standard cost]]="","",tblProduction[[#This Row],[Produced]]*tblProduction[[#This Row],[Standard cost]]))</f>
        <v>4654.5</v>
      </c>
      <c r="G65" s="44">
        <f>IF(tblProduction[[#This Row],[Date]]="","",SUMIFS(tblScrap[Scrapped],tblScrap[Date],tblProduction[[#This Row],[Date]],tblScrap[Part],tblProduction[[#This Row],[Part]]))</f>
        <v>15</v>
      </c>
      <c r="H65" s="38">
        <f>IF(tblProduction[[#This Row],[Date]]="","",SUMIFS(tblScrap[Net scrap cost],tblScrap[Date],tblProduction[[#This Row],[Date]],tblScrap[Part],tblProduction[[#This Row],[Part]]))</f>
        <v>46.695</v>
      </c>
      <c r="I65" s="45">
        <f>IF(tblProduction[[#This Row],[Date]]="","",IF(tblProduction[[#This Row],[Produced]]&gt;0,tblProduction[[#This Row],[Scrapped]]/tblProduction[[#This Row],[Produced]],""))</f>
        <v>0.0172413793103448</v>
      </c>
      <c r="J65" s="46" t="str">
        <f>IF(NOT(ISNUMBER(tblProduction[[#This Row],[Scrap rate]])),"",IF(tblProduction[[#This Row],[Scrap rate]]&lt;=TargetRate,"On target",IF(tblProduction[[#This Row],[Scrap rate]]&lt;=TargetRate*(1+0.05),"Near target","Above target")))</f>
        <v>On target</v>
      </c>
      <c r="K65" s="45">
        <f>IF(tblProduction[[#This Row],[Date]]="","",IF(N(tblProduction[[#This Row],[Production value]])&gt;0,tblProduction[[#This Row],[Net scrap cost]]/tblProduction[[#This Row],[Production value]],""))</f>
        <v>0.0100322268772156</v>
      </c>
      <c r="L65" s="47">
        <f>IF(tblProduction[[#This Row],[Date]]="","",IF(tblProduction[[#This Row],[Produced]]-tblProduction[[#This Row],[Scrapped]]&gt;0,tblProduction[[#This Row],[Net scrap cost]]/(tblProduction[[#This Row],[Produced]]-tblProduction[[#This Row],[Scrapped]]),""))</f>
        <v>0.0546140350877193</v>
      </c>
      <c r="M65" s="41">
        <f>IF(tblProduction[[#This Row],[Date]]="","",IF(AND(tblProduction[[#This Row],[Date]]&gt;=FFrom,tblProduction[[#This Row],[Date]]&lt;=FTo,OR(DashPart="",tblProduction[[#This Row],[Part]]=DashPart)),tblProduction[[#This Row],[Date]],""))</f>
        <v>46276</v>
      </c>
      <c r="N65"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65" s="43" t="s">
        <v>139</v>
      </c>
    </row>
    <row r="66" spans="2:15">
      <c r="B66" s="36">
        <v>46276</v>
      </c>
      <c r="C66" s="28" t="s">
        <v>93</v>
      </c>
      <c r="D66" s="37">
        <v>485</v>
      </c>
      <c r="E66" s="38">
        <f>IF(tblProduction[[#This Row],[Date]]="","",IFERROR(INDEX(tblParts[Standard cost],MATCH(tblProduction[[#This Row],[Part]],tblParts[Part],0)),""))</f>
        <v>11.35</v>
      </c>
      <c r="F66" s="44">
        <f>IF(tblProduction[[#This Row],[Date]]="","",IF(tblProduction[[#This Row],[Standard cost]]="","",tblProduction[[#This Row],[Produced]]*tblProduction[[#This Row],[Standard cost]]))</f>
        <v>5504.75</v>
      </c>
      <c r="G66" s="44">
        <f>IF(tblProduction[[#This Row],[Date]]="","",SUMIFS(tblScrap[Scrapped],tblScrap[Date],tblProduction[[#This Row],[Date]],tblScrap[Part],tblProduction[[#This Row],[Part]]))</f>
        <v>15</v>
      </c>
      <c r="H66" s="38">
        <f>IF(tblProduction[[#This Row],[Date]]="","",SUMIFS(tblScrap[Net scrap cost],tblScrap[Date],tblProduction[[#This Row],[Date]],tblScrap[Part],tblProduction[[#This Row],[Part]]))</f>
        <v>108.275</v>
      </c>
      <c r="I66" s="45">
        <f>IF(tblProduction[[#This Row],[Date]]="","",IF(tblProduction[[#This Row],[Produced]]&gt;0,tblProduction[[#This Row],[Scrapped]]/tblProduction[[#This Row],[Produced]],""))</f>
        <v>0.0309278350515464</v>
      </c>
      <c r="J66" s="46" t="str">
        <f>IF(NOT(ISNUMBER(tblProduction[[#This Row],[Scrap rate]])),"",IF(tblProduction[[#This Row],[Scrap rate]]&lt;=TargetRate,"On target",IF(tblProduction[[#This Row],[Scrap rate]]&lt;=TargetRate*(1+0.05),"Near target","Above target")))</f>
        <v>Above target</v>
      </c>
      <c r="K66" s="45">
        <f>IF(tblProduction[[#This Row],[Date]]="","",IF(N(tblProduction[[#This Row],[Production value]])&gt;0,tblProduction[[#This Row],[Net scrap cost]]/tblProduction[[#This Row],[Production value]],""))</f>
        <v>0.0196693764476134</v>
      </c>
      <c r="L66" s="47">
        <f>IF(tblProduction[[#This Row],[Date]]="","",IF(tblProduction[[#This Row],[Produced]]-tblProduction[[#This Row],[Scrapped]]&gt;0,tblProduction[[#This Row],[Net scrap cost]]/(tblProduction[[#This Row],[Produced]]-tblProduction[[#This Row],[Scrapped]]),""))</f>
        <v>0.230372340425532</v>
      </c>
      <c r="M66" s="41">
        <f>IF(tblProduction[[#This Row],[Date]]="","",IF(AND(tblProduction[[#This Row],[Date]]&gt;=FFrom,tblProduction[[#This Row],[Date]]&lt;=FTo,OR(DashPart="",tblProduction[[#This Row],[Part]]=DashPart)),tblProduction[[#This Row],[Date]],""))</f>
        <v>46276</v>
      </c>
      <c r="N66"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66" s="43" t="s">
        <v>139</v>
      </c>
    </row>
    <row r="67" spans="2:15">
      <c r="B67" s="36">
        <v>46279</v>
      </c>
      <c r="C67" s="28" t="s">
        <v>87</v>
      </c>
      <c r="D67" s="37">
        <v>290</v>
      </c>
      <c r="E67" s="38">
        <f>IF(tblProduction[[#This Row],[Date]]="","",IFERROR(INDEX(tblParts[Standard cost],MATCH(tblProduction[[#This Row],[Part]],tblParts[Part],0)),""))</f>
        <v>19</v>
      </c>
      <c r="F67" s="44">
        <f>IF(tblProduction[[#This Row],[Date]]="","",IF(tblProduction[[#This Row],[Standard cost]]="","",tblProduction[[#This Row],[Produced]]*tblProduction[[#This Row],[Standard cost]]))</f>
        <v>5510</v>
      </c>
      <c r="G67" s="44">
        <f>IF(tblProduction[[#This Row],[Date]]="","",SUMIFS(tblScrap[Scrapped],tblScrap[Date],tblProduction[[#This Row],[Date]],tblScrap[Part],tblProduction[[#This Row],[Part]]))</f>
        <v>0</v>
      </c>
      <c r="H67" s="38">
        <f>IF(tblProduction[[#This Row],[Date]]="","",SUMIFS(tblScrap[Net scrap cost],tblScrap[Date],tblProduction[[#This Row],[Date]],tblScrap[Part],tblProduction[[#This Row],[Part]]))</f>
        <v>0</v>
      </c>
      <c r="I67" s="45">
        <f>IF(tblProduction[[#This Row],[Date]]="","",IF(tblProduction[[#This Row],[Produced]]&gt;0,tblProduction[[#This Row],[Scrapped]]/tblProduction[[#This Row],[Produced]],""))</f>
        <v>0</v>
      </c>
      <c r="J67" s="46" t="str">
        <f>IF(NOT(ISNUMBER(tblProduction[[#This Row],[Scrap rate]])),"",IF(tblProduction[[#This Row],[Scrap rate]]&lt;=TargetRate,"On target",IF(tblProduction[[#This Row],[Scrap rate]]&lt;=TargetRate*(1+0.05),"Near target","Above target")))</f>
        <v>On target</v>
      </c>
      <c r="K67" s="45">
        <f>IF(tblProduction[[#This Row],[Date]]="","",IF(N(tblProduction[[#This Row],[Production value]])&gt;0,tblProduction[[#This Row],[Net scrap cost]]/tblProduction[[#This Row],[Production value]],""))</f>
        <v>0</v>
      </c>
      <c r="L67" s="47">
        <f>IF(tblProduction[[#This Row],[Date]]="","",IF(tblProduction[[#This Row],[Produced]]-tblProduction[[#This Row],[Scrapped]]&gt;0,tblProduction[[#This Row],[Net scrap cost]]/(tblProduction[[#This Row],[Produced]]-tblProduction[[#This Row],[Scrapped]]),""))</f>
        <v>0</v>
      </c>
      <c r="M67" s="41">
        <f>IF(tblProduction[[#This Row],[Date]]="","",IF(AND(tblProduction[[#This Row],[Date]]&gt;=FFrom,tblProduction[[#This Row],[Date]]&lt;=FTo,OR(DashPart="",tblProduction[[#This Row],[Part]]=DashPart)),tblProduction[[#This Row],[Date]],""))</f>
        <v>46279</v>
      </c>
      <c r="N67"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67" s="43" t="s">
        <v>139</v>
      </c>
    </row>
    <row r="68" spans="2:15">
      <c r="B68" s="36">
        <v>46279</v>
      </c>
      <c r="C68" s="28" t="s">
        <v>89</v>
      </c>
      <c r="D68" s="37">
        <v>255</v>
      </c>
      <c r="E68" s="38">
        <f>IF(tblProduction[[#This Row],[Date]]="","",IFERROR(INDEX(tblParts[Standard cost],MATCH(tblProduction[[#This Row],[Part]],tblParts[Part],0)),""))</f>
        <v>26</v>
      </c>
      <c r="F68" s="44">
        <f>IF(tblProduction[[#This Row],[Date]]="","",IF(tblProduction[[#This Row],[Standard cost]]="","",tblProduction[[#This Row],[Produced]]*tblProduction[[#This Row],[Standard cost]]))</f>
        <v>6630</v>
      </c>
      <c r="G68" s="44">
        <f>IF(tblProduction[[#This Row],[Date]]="","",SUMIFS(tblScrap[Scrapped],tblScrap[Date],tblProduction[[#This Row],[Date]],tblScrap[Part],tblProduction[[#This Row],[Part]]))</f>
        <v>5</v>
      </c>
      <c r="H68" s="38">
        <f>IF(tblProduction[[#This Row],[Date]]="","",SUMIFS(tblScrap[Net scrap cost],tblScrap[Date],tblProduction[[#This Row],[Date]],tblScrap[Part],tblProduction[[#This Row],[Part]]))</f>
        <v>75.45</v>
      </c>
      <c r="I68" s="45">
        <f>IF(tblProduction[[#This Row],[Date]]="","",IF(tblProduction[[#This Row],[Produced]]&gt;0,tblProduction[[#This Row],[Scrapped]]/tblProduction[[#This Row],[Produced]],""))</f>
        <v>0.0196078431372549</v>
      </c>
      <c r="J68" s="46" t="str">
        <f>IF(NOT(ISNUMBER(tblProduction[[#This Row],[Scrap rate]])),"",IF(tblProduction[[#This Row],[Scrap rate]]&lt;=TargetRate,"On target",IF(tblProduction[[#This Row],[Scrap rate]]&lt;=TargetRate*(1+0.05),"Near target","Above target")))</f>
        <v>On target</v>
      </c>
      <c r="K68" s="45">
        <f>IF(tblProduction[[#This Row],[Date]]="","",IF(N(tblProduction[[#This Row],[Production value]])&gt;0,tblProduction[[#This Row],[Net scrap cost]]/tblProduction[[#This Row],[Production value]],""))</f>
        <v>0.0113800904977376</v>
      </c>
      <c r="L68" s="47">
        <f>IF(tblProduction[[#This Row],[Date]]="","",IF(tblProduction[[#This Row],[Produced]]-tblProduction[[#This Row],[Scrapped]]&gt;0,tblProduction[[#This Row],[Net scrap cost]]/(tblProduction[[#This Row],[Produced]]-tblProduction[[#This Row],[Scrapped]]),""))</f>
        <v>0.3018</v>
      </c>
      <c r="M68" s="41">
        <f>IF(tblProduction[[#This Row],[Date]]="","",IF(AND(tblProduction[[#This Row],[Date]]&gt;=FFrom,tblProduction[[#This Row],[Date]]&lt;=FTo,OR(DashPart="",tblProduction[[#This Row],[Part]]=DashPart)),tblProduction[[#This Row],[Date]],""))</f>
        <v>46279</v>
      </c>
      <c r="N68"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68" s="43" t="s">
        <v>149</v>
      </c>
    </row>
    <row r="69" spans="2:15">
      <c r="B69" s="36">
        <v>46279</v>
      </c>
      <c r="C69" s="28" t="s">
        <v>91</v>
      </c>
      <c r="D69" s="37">
        <v>770</v>
      </c>
      <c r="E69" s="38">
        <f>IF(tblProduction[[#This Row],[Date]]="","",IFERROR(INDEX(tblParts[Standard cost],MATCH(tblProduction[[#This Row],[Part]],tblParts[Part],0)),""))</f>
        <v>5.35</v>
      </c>
      <c r="F69" s="44">
        <f>IF(tblProduction[[#This Row],[Date]]="","",IF(tblProduction[[#This Row],[Standard cost]]="","",tblProduction[[#This Row],[Produced]]*tblProduction[[#This Row],[Standard cost]]))</f>
        <v>4119.5</v>
      </c>
      <c r="G69" s="44">
        <f>IF(tblProduction[[#This Row],[Date]]="","",SUMIFS(tblScrap[Scrapped],tblScrap[Date],tblProduction[[#This Row],[Date]],tblScrap[Part],tblProduction[[#This Row],[Part]]))</f>
        <v>20</v>
      </c>
      <c r="H69" s="38">
        <f>IF(tblProduction[[#This Row],[Date]]="","",SUMIFS(tblScrap[Net scrap cost],tblScrap[Date],tblProduction[[#This Row],[Date]],tblScrap[Part],tblProduction[[#This Row],[Part]]))</f>
        <v>66.46</v>
      </c>
      <c r="I69" s="45">
        <f>IF(tblProduction[[#This Row],[Date]]="","",IF(tblProduction[[#This Row],[Produced]]&gt;0,tblProduction[[#This Row],[Scrapped]]/tblProduction[[#This Row],[Produced]],""))</f>
        <v>0.025974025974026</v>
      </c>
      <c r="J69" s="46" t="str">
        <f>IF(NOT(ISNUMBER(tblProduction[[#This Row],[Scrap rate]])),"",IF(tblProduction[[#This Row],[Scrap rate]]&lt;=TargetRate,"On target",IF(tblProduction[[#This Row],[Scrap rate]]&lt;=TargetRate*(1+0.05),"Near target","Above target")))</f>
        <v>Above target</v>
      </c>
      <c r="K69" s="45">
        <f>IF(tblProduction[[#This Row],[Date]]="","",IF(N(tblProduction[[#This Row],[Production value]])&gt;0,tblProduction[[#This Row],[Net scrap cost]]/tblProduction[[#This Row],[Production value]],""))</f>
        <v>0.016133025852652</v>
      </c>
      <c r="L69" s="47">
        <f>IF(tblProduction[[#This Row],[Date]]="","",IF(tblProduction[[#This Row],[Produced]]-tblProduction[[#This Row],[Scrapped]]&gt;0,tblProduction[[#This Row],[Net scrap cost]]/(tblProduction[[#This Row],[Produced]]-tblProduction[[#This Row],[Scrapped]]),""))</f>
        <v>0.0886133333333334</v>
      </c>
      <c r="M69" s="41">
        <f>IF(tblProduction[[#This Row],[Date]]="","",IF(AND(tblProduction[[#This Row],[Date]]&gt;=FFrom,tblProduction[[#This Row],[Date]]&lt;=FTo,OR(DashPart="",tblProduction[[#This Row],[Part]]=DashPart)),tblProduction[[#This Row],[Date]],""))</f>
        <v>46279</v>
      </c>
      <c r="N69"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69" s="43" t="s">
        <v>139</v>
      </c>
    </row>
    <row r="70" spans="2:15">
      <c r="B70" s="36">
        <v>46279</v>
      </c>
      <c r="C70" s="28" t="s">
        <v>93</v>
      </c>
      <c r="D70" s="37">
        <v>590</v>
      </c>
      <c r="E70" s="38">
        <f>IF(tblProduction[[#This Row],[Date]]="","",IFERROR(INDEX(tblParts[Standard cost],MATCH(tblProduction[[#This Row],[Part]],tblParts[Part],0)),""))</f>
        <v>11.35</v>
      </c>
      <c r="F70" s="44">
        <f>IF(tblProduction[[#This Row],[Date]]="","",IF(tblProduction[[#This Row],[Standard cost]]="","",tblProduction[[#This Row],[Produced]]*tblProduction[[#This Row],[Standard cost]]))</f>
        <v>6696.5</v>
      </c>
      <c r="G70" s="44">
        <f>IF(tblProduction[[#This Row],[Date]]="","",SUMIFS(tblScrap[Scrapped],tblScrap[Date],tblProduction[[#This Row],[Date]],tblScrap[Part],tblProduction[[#This Row],[Part]]))</f>
        <v>18</v>
      </c>
      <c r="H70" s="38">
        <f>IF(tblProduction[[#This Row],[Date]]="","",SUMIFS(tblScrap[Net scrap cost],tblScrap[Date],tblProduction[[#This Row],[Date]],tblScrap[Part],tblProduction[[#This Row],[Part]]))</f>
        <v>111.57</v>
      </c>
      <c r="I70" s="45">
        <f>IF(tblProduction[[#This Row],[Date]]="","",IF(tblProduction[[#This Row],[Produced]]&gt;0,tblProduction[[#This Row],[Scrapped]]/tblProduction[[#This Row],[Produced]],""))</f>
        <v>0.0305084745762712</v>
      </c>
      <c r="J70" s="46" t="str">
        <f>IF(NOT(ISNUMBER(tblProduction[[#This Row],[Scrap rate]])),"",IF(tblProduction[[#This Row],[Scrap rate]]&lt;=TargetRate,"On target",IF(tblProduction[[#This Row],[Scrap rate]]&lt;=TargetRate*(1+0.05),"Near target","Above target")))</f>
        <v>Above target</v>
      </c>
      <c r="K70" s="45">
        <f>IF(tblProduction[[#This Row],[Date]]="","",IF(N(tblProduction[[#This Row],[Production value]])&gt;0,tblProduction[[#This Row],[Net scrap cost]]/tblProduction[[#This Row],[Production value]],""))</f>
        <v>0.0166609422832823</v>
      </c>
      <c r="L70" s="47">
        <f>IF(tblProduction[[#This Row],[Date]]="","",IF(tblProduction[[#This Row],[Produced]]-tblProduction[[#This Row],[Scrapped]]&gt;0,tblProduction[[#This Row],[Net scrap cost]]/(tblProduction[[#This Row],[Produced]]-tblProduction[[#This Row],[Scrapped]]),""))</f>
        <v>0.195052447552448</v>
      </c>
      <c r="M70" s="41">
        <f>IF(tblProduction[[#This Row],[Date]]="","",IF(AND(tblProduction[[#This Row],[Date]]&gt;=FFrom,tblProduction[[#This Row],[Date]]&lt;=FTo,OR(DashPart="",tblProduction[[#This Row],[Part]]=DashPart)),tblProduction[[#This Row],[Date]],""))</f>
        <v>46279</v>
      </c>
      <c r="N70"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70" s="43" t="s">
        <v>139</v>
      </c>
    </row>
    <row r="71" spans="2:15">
      <c r="B71" s="36">
        <v>46280</v>
      </c>
      <c r="C71" s="28" t="s">
        <v>87</v>
      </c>
      <c r="D71" s="37">
        <v>350</v>
      </c>
      <c r="E71" s="38">
        <f>IF(tblProduction[[#This Row],[Date]]="","",IFERROR(INDEX(tblParts[Standard cost],MATCH(tblProduction[[#This Row],[Part]],tblParts[Part],0)),""))</f>
        <v>19</v>
      </c>
      <c r="F71" s="44">
        <f>IF(tblProduction[[#This Row],[Date]]="","",IF(tblProduction[[#This Row],[Standard cost]]="","",tblProduction[[#This Row],[Produced]]*tblProduction[[#This Row],[Standard cost]]))</f>
        <v>6650</v>
      </c>
      <c r="G71" s="44">
        <f>IF(tblProduction[[#This Row],[Date]]="","",SUMIFS(tblScrap[Scrapped],tblScrap[Date],tblProduction[[#This Row],[Date]],tblScrap[Part],tblProduction[[#This Row],[Part]]))</f>
        <v>0</v>
      </c>
      <c r="H71" s="38">
        <f>IF(tblProduction[[#This Row],[Date]]="","",SUMIFS(tblScrap[Net scrap cost],tblScrap[Date],tblProduction[[#This Row],[Date]],tblScrap[Part],tblProduction[[#This Row],[Part]]))</f>
        <v>0</v>
      </c>
      <c r="I71" s="45">
        <f>IF(tblProduction[[#This Row],[Date]]="","",IF(tblProduction[[#This Row],[Produced]]&gt;0,tblProduction[[#This Row],[Scrapped]]/tblProduction[[#This Row],[Produced]],""))</f>
        <v>0</v>
      </c>
      <c r="J71" s="46" t="str">
        <f>IF(NOT(ISNUMBER(tblProduction[[#This Row],[Scrap rate]])),"",IF(tblProduction[[#This Row],[Scrap rate]]&lt;=TargetRate,"On target",IF(tblProduction[[#This Row],[Scrap rate]]&lt;=TargetRate*(1+0.05),"Near target","Above target")))</f>
        <v>On target</v>
      </c>
      <c r="K71" s="45">
        <f>IF(tblProduction[[#This Row],[Date]]="","",IF(N(tblProduction[[#This Row],[Production value]])&gt;0,tblProduction[[#This Row],[Net scrap cost]]/tblProduction[[#This Row],[Production value]],""))</f>
        <v>0</v>
      </c>
      <c r="L71" s="47">
        <f>IF(tblProduction[[#This Row],[Date]]="","",IF(tblProduction[[#This Row],[Produced]]-tblProduction[[#This Row],[Scrapped]]&gt;0,tblProduction[[#This Row],[Net scrap cost]]/(tblProduction[[#This Row],[Produced]]-tblProduction[[#This Row],[Scrapped]]),""))</f>
        <v>0</v>
      </c>
      <c r="M71" s="41">
        <f>IF(tblProduction[[#This Row],[Date]]="","",IF(AND(tblProduction[[#This Row],[Date]]&gt;=FFrom,tblProduction[[#This Row],[Date]]&lt;=FTo,OR(DashPart="",tblProduction[[#This Row],[Part]]=DashPart)),tblProduction[[#This Row],[Date]],""))</f>
        <v>46280</v>
      </c>
      <c r="N71"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71" s="43" t="s">
        <v>139</v>
      </c>
    </row>
    <row r="72" spans="2:15">
      <c r="B72" s="36">
        <v>46280</v>
      </c>
      <c r="C72" s="28" t="s">
        <v>89</v>
      </c>
      <c r="D72" s="37">
        <v>260</v>
      </c>
      <c r="E72" s="38">
        <f>IF(tblProduction[[#This Row],[Date]]="","",IFERROR(INDEX(tblParts[Standard cost],MATCH(tblProduction[[#This Row],[Part]],tblParts[Part],0)),""))</f>
        <v>26</v>
      </c>
      <c r="F72" s="44">
        <f>IF(tblProduction[[#This Row],[Date]]="","",IF(tblProduction[[#This Row],[Standard cost]]="","",tblProduction[[#This Row],[Produced]]*tblProduction[[#This Row],[Standard cost]]))</f>
        <v>6760</v>
      </c>
      <c r="G72" s="44">
        <f>IF(tblProduction[[#This Row],[Date]]="","",SUMIFS(tblScrap[Scrapped],tblScrap[Date],tblProduction[[#This Row],[Date]],tblScrap[Part],tblProduction[[#This Row],[Part]]))</f>
        <v>0</v>
      </c>
      <c r="H72" s="38">
        <f>IF(tblProduction[[#This Row],[Date]]="","",SUMIFS(tblScrap[Net scrap cost],tblScrap[Date],tblProduction[[#This Row],[Date]],tblScrap[Part],tblProduction[[#This Row],[Part]]))</f>
        <v>0</v>
      </c>
      <c r="I72" s="45">
        <f>IF(tblProduction[[#This Row],[Date]]="","",IF(tblProduction[[#This Row],[Produced]]&gt;0,tblProduction[[#This Row],[Scrapped]]/tblProduction[[#This Row],[Produced]],""))</f>
        <v>0</v>
      </c>
      <c r="J72" s="46" t="str">
        <f>IF(NOT(ISNUMBER(tblProduction[[#This Row],[Scrap rate]])),"",IF(tblProduction[[#This Row],[Scrap rate]]&lt;=TargetRate,"On target",IF(tblProduction[[#This Row],[Scrap rate]]&lt;=TargetRate*(1+0.05),"Near target","Above target")))</f>
        <v>On target</v>
      </c>
      <c r="K72" s="45">
        <f>IF(tblProduction[[#This Row],[Date]]="","",IF(N(tblProduction[[#This Row],[Production value]])&gt;0,tblProduction[[#This Row],[Net scrap cost]]/tblProduction[[#This Row],[Production value]],""))</f>
        <v>0</v>
      </c>
      <c r="L72" s="47">
        <f>IF(tblProduction[[#This Row],[Date]]="","",IF(tblProduction[[#This Row],[Produced]]-tblProduction[[#This Row],[Scrapped]]&gt;0,tblProduction[[#This Row],[Net scrap cost]]/(tblProduction[[#This Row],[Produced]]-tblProduction[[#This Row],[Scrapped]]),""))</f>
        <v>0</v>
      </c>
      <c r="M72" s="41">
        <f>IF(tblProduction[[#This Row],[Date]]="","",IF(AND(tblProduction[[#This Row],[Date]]&gt;=FFrom,tblProduction[[#This Row],[Date]]&lt;=FTo,OR(DashPart="",tblProduction[[#This Row],[Part]]=DashPart)),tblProduction[[#This Row],[Date]],""))</f>
        <v>46280</v>
      </c>
      <c r="N72"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72" s="43" t="s">
        <v>139</v>
      </c>
    </row>
    <row r="73" spans="2:15">
      <c r="B73" s="36">
        <v>46280</v>
      </c>
      <c r="C73" s="28" t="s">
        <v>91</v>
      </c>
      <c r="D73" s="37">
        <v>790</v>
      </c>
      <c r="E73" s="38">
        <f>IF(tblProduction[[#This Row],[Date]]="","",IFERROR(INDEX(tblParts[Standard cost],MATCH(tblProduction[[#This Row],[Part]],tblParts[Part],0)),""))</f>
        <v>5.35</v>
      </c>
      <c r="F73" s="44">
        <f>IF(tblProduction[[#This Row],[Date]]="","",IF(tblProduction[[#This Row],[Standard cost]]="","",tblProduction[[#This Row],[Produced]]*tblProduction[[#This Row],[Standard cost]]))</f>
        <v>4226.5</v>
      </c>
      <c r="G73" s="44">
        <f>IF(tblProduction[[#This Row],[Date]]="","",SUMIFS(tblScrap[Scrapped],tblScrap[Date],tblProduction[[#This Row],[Date]],tblScrap[Part],tblProduction[[#This Row],[Part]]))</f>
        <v>12</v>
      </c>
      <c r="H73" s="38">
        <f>IF(tblProduction[[#This Row],[Date]]="","",SUMIFS(tblScrap[Net scrap cost],tblScrap[Date],tblProduction[[#This Row],[Date]],tblScrap[Part],tblProduction[[#This Row],[Part]]))</f>
        <v>51.756</v>
      </c>
      <c r="I73" s="45">
        <f>IF(tblProduction[[#This Row],[Date]]="","",IF(tblProduction[[#This Row],[Produced]]&gt;0,tblProduction[[#This Row],[Scrapped]]/tblProduction[[#This Row],[Produced]],""))</f>
        <v>0.0151898734177215</v>
      </c>
      <c r="J73" s="46" t="str">
        <f>IF(NOT(ISNUMBER(tblProduction[[#This Row],[Scrap rate]])),"",IF(tblProduction[[#This Row],[Scrap rate]]&lt;=TargetRate,"On target",IF(tblProduction[[#This Row],[Scrap rate]]&lt;=TargetRate*(1+0.05),"Near target","Above target")))</f>
        <v>On target</v>
      </c>
      <c r="K73" s="45">
        <f>IF(tblProduction[[#This Row],[Date]]="","",IF(N(tblProduction[[#This Row],[Production value]])&gt;0,tblProduction[[#This Row],[Net scrap cost]]/tblProduction[[#This Row],[Production value]],""))</f>
        <v>0.0122455932804921</v>
      </c>
      <c r="L73" s="47">
        <f>IF(tblProduction[[#This Row],[Date]]="","",IF(tblProduction[[#This Row],[Produced]]-tblProduction[[#This Row],[Scrapped]]&gt;0,tblProduction[[#This Row],[Net scrap cost]]/(tblProduction[[#This Row],[Produced]]-tblProduction[[#This Row],[Scrapped]]),""))</f>
        <v>0.0665244215938303</v>
      </c>
      <c r="M73" s="41">
        <f>IF(tblProduction[[#This Row],[Date]]="","",IF(AND(tblProduction[[#This Row],[Date]]&gt;=FFrom,tblProduction[[#This Row],[Date]]&lt;=FTo,OR(DashPart="",tblProduction[[#This Row],[Part]]=DashPart)),tblProduction[[#This Row],[Date]],""))</f>
        <v>46280</v>
      </c>
      <c r="N73"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73" s="43" t="s">
        <v>139</v>
      </c>
    </row>
    <row r="74" spans="2:15">
      <c r="B74" s="36">
        <v>46280</v>
      </c>
      <c r="C74" s="28" t="s">
        <v>93</v>
      </c>
      <c r="D74" s="37">
        <v>545</v>
      </c>
      <c r="E74" s="38">
        <f>IF(tblProduction[[#This Row],[Date]]="","",IFERROR(INDEX(tblParts[Standard cost],MATCH(tblProduction[[#This Row],[Part]],tblParts[Part],0)),""))</f>
        <v>11.35</v>
      </c>
      <c r="F74" s="44">
        <f>IF(tblProduction[[#This Row],[Date]]="","",IF(tblProduction[[#This Row],[Standard cost]]="","",tblProduction[[#This Row],[Produced]]*tblProduction[[#This Row],[Standard cost]]))</f>
        <v>6185.75</v>
      </c>
      <c r="G74" s="44">
        <f>IF(tblProduction[[#This Row],[Date]]="","",SUMIFS(tblScrap[Scrapped],tblScrap[Date],tblProduction[[#This Row],[Date]],tblScrap[Part],tblProduction[[#This Row],[Part]]))</f>
        <v>11</v>
      </c>
      <c r="H74" s="38">
        <f>IF(tblProduction[[#This Row],[Date]]="","",SUMIFS(tblScrap[Net scrap cost],tblScrap[Date],tblProduction[[#This Row],[Date]],tblScrap[Part],tblProduction[[#This Row],[Part]]))</f>
        <v>71.615</v>
      </c>
      <c r="I74" s="45">
        <f>IF(tblProduction[[#This Row],[Date]]="","",IF(tblProduction[[#This Row],[Produced]]&gt;0,tblProduction[[#This Row],[Scrapped]]/tblProduction[[#This Row],[Produced]],""))</f>
        <v>0.0201834862385321</v>
      </c>
      <c r="J74" s="46" t="str">
        <f>IF(NOT(ISNUMBER(tblProduction[[#This Row],[Scrap rate]])),"",IF(tblProduction[[#This Row],[Scrap rate]]&lt;=TargetRate,"On target",IF(tblProduction[[#This Row],[Scrap rate]]&lt;=TargetRate*(1+0.05),"Near target","Above target")))</f>
        <v>Near target</v>
      </c>
      <c r="K74" s="45">
        <f>IF(tblProduction[[#This Row],[Date]]="","",IF(N(tblProduction[[#This Row],[Production value]])&gt;0,tblProduction[[#This Row],[Net scrap cost]]/tblProduction[[#This Row],[Production value]],""))</f>
        <v>0.0115774158347816</v>
      </c>
      <c r="L74" s="47">
        <f>IF(tblProduction[[#This Row],[Date]]="","",IF(tblProduction[[#This Row],[Produced]]-tblProduction[[#This Row],[Scrapped]]&gt;0,tblProduction[[#This Row],[Net scrap cost]]/(tblProduction[[#This Row],[Produced]]-tblProduction[[#This Row],[Scrapped]]),""))</f>
        <v>0.134110486891386</v>
      </c>
      <c r="M74" s="41">
        <f>IF(tblProduction[[#This Row],[Date]]="","",IF(AND(tblProduction[[#This Row],[Date]]&gt;=FFrom,tblProduction[[#This Row],[Date]]&lt;=FTo,OR(DashPart="",tblProduction[[#This Row],[Part]]=DashPart)),tblProduction[[#This Row],[Date]],""))</f>
        <v>46280</v>
      </c>
      <c r="N74"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74" s="43" t="s">
        <v>139</v>
      </c>
    </row>
    <row r="75" spans="2:15">
      <c r="B75" s="36">
        <v>46281</v>
      </c>
      <c r="C75" s="28" t="s">
        <v>87</v>
      </c>
      <c r="D75" s="37">
        <v>305</v>
      </c>
      <c r="E75" s="38">
        <f>IF(tblProduction[[#This Row],[Date]]="","",IFERROR(INDEX(tblParts[Standard cost],MATCH(tblProduction[[#This Row],[Part]],tblParts[Part],0)),""))</f>
        <v>19</v>
      </c>
      <c r="F75" s="44">
        <f>IF(tblProduction[[#This Row],[Date]]="","",IF(tblProduction[[#This Row],[Standard cost]]="","",tblProduction[[#This Row],[Produced]]*tblProduction[[#This Row],[Standard cost]]))</f>
        <v>5795</v>
      </c>
      <c r="G75" s="44">
        <f>IF(tblProduction[[#This Row],[Date]]="","",SUMIFS(tblScrap[Scrapped],tblScrap[Date],tblProduction[[#This Row],[Date]],tblScrap[Part],tblProduction[[#This Row],[Part]]))</f>
        <v>4</v>
      </c>
      <c r="H75" s="38">
        <f>IF(tblProduction[[#This Row],[Date]]="","",SUMIFS(tblScrap[Net scrap cost],tblScrap[Date],tblProduction[[#This Row],[Date]],tblScrap[Part],tblProduction[[#This Row],[Part]]))</f>
        <v>61.61</v>
      </c>
      <c r="I75" s="45">
        <f>IF(tblProduction[[#This Row],[Date]]="","",IF(tblProduction[[#This Row],[Produced]]&gt;0,tblProduction[[#This Row],[Scrapped]]/tblProduction[[#This Row],[Produced]],""))</f>
        <v>0.0131147540983607</v>
      </c>
      <c r="J75" s="46" t="str">
        <f>IF(NOT(ISNUMBER(tblProduction[[#This Row],[Scrap rate]])),"",IF(tblProduction[[#This Row],[Scrap rate]]&lt;=TargetRate,"On target",IF(tblProduction[[#This Row],[Scrap rate]]&lt;=TargetRate*(1+0.05),"Near target","Above target")))</f>
        <v>On target</v>
      </c>
      <c r="K75" s="45">
        <f>IF(tblProduction[[#This Row],[Date]]="","",IF(N(tblProduction[[#This Row],[Production value]])&gt;0,tblProduction[[#This Row],[Net scrap cost]]/tblProduction[[#This Row],[Production value]],""))</f>
        <v>0.0106315789473684</v>
      </c>
      <c r="L75" s="47">
        <f>IF(tblProduction[[#This Row],[Date]]="","",IF(tblProduction[[#This Row],[Produced]]-tblProduction[[#This Row],[Scrapped]]&gt;0,tblProduction[[#This Row],[Net scrap cost]]/(tblProduction[[#This Row],[Produced]]-tblProduction[[#This Row],[Scrapped]]),""))</f>
        <v>0.20468438538206</v>
      </c>
      <c r="M75" s="41">
        <f>IF(tblProduction[[#This Row],[Date]]="","",IF(AND(tblProduction[[#This Row],[Date]]&gt;=FFrom,tblProduction[[#This Row],[Date]]&lt;=FTo,OR(DashPart="",tblProduction[[#This Row],[Part]]=DashPart)),tblProduction[[#This Row],[Date]],""))</f>
        <v>46281</v>
      </c>
      <c r="N75"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75" s="43" t="s">
        <v>139</v>
      </c>
    </row>
    <row r="76" spans="2:15">
      <c r="B76" s="36">
        <v>46281</v>
      </c>
      <c r="C76" s="28" t="s">
        <v>89</v>
      </c>
      <c r="D76" s="37">
        <v>285</v>
      </c>
      <c r="E76" s="38">
        <f>IF(tblProduction[[#This Row],[Date]]="","",IFERROR(INDEX(tblParts[Standard cost],MATCH(tblProduction[[#This Row],[Part]],tblParts[Part],0)),""))</f>
        <v>26</v>
      </c>
      <c r="F76" s="44">
        <f>IF(tblProduction[[#This Row],[Date]]="","",IF(tblProduction[[#This Row],[Standard cost]]="","",tblProduction[[#This Row],[Produced]]*tblProduction[[#This Row],[Standard cost]]))</f>
        <v>7410</v>
      </c>
      <c r="G76" s="44">
        <f>IF(tblProduction[[#This Row],[Date]]="","",SUMIFS(tblScrap[Scrapped],tblScrap[Date],tblProduction[[#This Row],[Date]],tblScrap[Part],tblProduction[[#This Row],[Part]]))</f>
        <v>0</v>
      </c>
      <c r="H76" s="38">
        <f>IF(tblProduction[[#This Row],[Date]]="","",SUMIFS(tblScrap[Net scrap cost],tblScrap[Date],tblProduction[[#This Row],[Date]],tblScrap[Part],tblProduction[[#This Row],[Part]]))</f>
        <v>0</v>
      </c>
      <c r="I76" s="45">
        <f>IF(tblProduction[[#This Row],[Date]]="","",IF(tblProduction[[#This Row],[Produced]]&gt;0,tblProduction[[#This Row],[Scrapped]]/tblProduction[[#This Row],[Produced]],""))</f>
        <v>0</v>
      </c>
      <c r="J76" s="46" t="str">
        <f>IF(NOT(ISNUMBER(tblProduction[[#This Row],[Scrap rate]])),"",IF(tblProduction[[#This Row],[Scrap rate]]&lt;=TargetRate,"On target",IF(tblProduction[[#This Row],[Scrap rate]]&lt;=TargetRate*(1+0.05),"Near target","Above target")))</f>
        <v>On target</v>
      </c>
      <c r="K76" s="45">
        <f>IF(tblProduction[[#This Row],[Date]]="","",IF(N(tblProduction[[#This Row],[Production value]])&gt;0,tblProduction[[#This Row],[Net scrap cost]]/tblProduction[[#This Row],[Production value]],""))</f>
        <v>0</v>
      </c>
      <c r="L76" s="47">
        <f>IF(tblProduction[[#This Row],[Date]]="","",IF(tblProduction[[#This Row],[Produced]]-tblProduction[[#This Row],[Scrapped]]&gt;0,tblProduction[[#This Row],[Net scrap cost]]/(tblProduction[[#This Row],[Produced]]-tblProduction[[#This Row],[Scrapped]]),""))</f>
        <v>0</v>
      </c>
      <c r="M76" s="41">
        <f>IF(tblProduction[[#This Row],[Date]]="","",IF(AND(tblProduction[[#This Row],[Date]]&gt;=FFrom,tblProduction[[#This Row],[Date]]&lt;=FTo,OR(DashPart="",tblProduction[[#This Row],[Part]]=DashPart)),tblProduction[[#This Row],[Date]],""))</f>
        <v>46281</v>
      </c>
      <c r="N76"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76" s="43" t="s">
        <v>139</v>
      </c>
    </row>
    <row r="77" spans="2:15">
      <c r="B77" s="36">
        <v>46281</v>
      </c>
      <c r="C77" s="28" t="s">
        <v>91</v>
      </c>
      <c r="D77" s="37">
        <v>915</v>
      </c>
      <c r="E77" s="38">
        <f>IF(tblProduction[[#This Row],[Date]]="","",IFERROR(INDEX(tblParts[Standard cost],MATCH(tblProduction[[#This Row],[Part]],tblParts[Part],0)),""))</f>
        <v>5.35</v>
      </c>
      <c r="F77" s="44">
        <f>IF(tblProduction[[#This Row],[Date]]="","",IF(tblProduction[[#This Row],[Standard cost]]="","",tblProduction[[#This Row],[Produced]]*tblProduction[[#This Row],[Standard cost]]))</f>
        <v>4895.25</v>
      </c>
      <c r="G77" s="44">
        <f>IF(tblProduction[[#This Row],[Date]]="","",SUMIFS(tblScrap[Scrapped],tblScrap[Date],tblProduction[[#This Row],[Date]],tblScrap[Part],tblProduction[[#This Row],[Part]]))</f>
        <v>22</v>
      </c>
      <c r="H77" s="38">
        <f>IF(tblProduction[[#This Row],[Date]]="","",SUMIFS(tblScrap[Net scrap cost],tblScrap[Date],tblProduction[[#This Row],[Date]],tblScrap[Part],tblProduction[[#This Row],[Part]]))</f>
        <v>66.086</v>
      </c>
      <c r="I77" s="45">
        <f>IF(tblProduction[[#This Row],[Date]]="","",IF(tblProduction[[#This Row],[Produced]]&gt;0,tblProduction[[#This Row],[Scrapped]]/tblProduction[[#This Row],[Produced]],""))</f>
        <v>0.0240437158469945</v>
      </c>
      <c r="J77" s="46" t="str">
        <f>IF(NOT(ISNUMBER(tblProduction[[#This Row],[Scrap rate]])),"",IF(tblProduction[[#This Row],[Scrap rate]]&lt;=TargetRate,"On target",IF(tblProduction[[#This Row],[Scrap rate]]&lt;=TargetRate*(1+0.05),"Near target","Above target")))</f>
        <v>Above target</v>
      </c>
      <c r="K77" s="45">
        <f>IF(tblProduction[[#This Row],[Date]]="","",IF(N(tblProduction[[#This Row],[Production value]])&gt;0,tblProduction[[#This Row],[Net scrap cost]]/tblProduction[[#This Row],[Production value]],""))</f>
        <v>0.0135000255349574</v>
      </c>
      <c r="L77" s="47">
        <f>IF(tblProduction[[#This Row],[Date]]="","",IF(tblProduction[[#This Row],[Produced]]-tblProduction[[#This Row],[Scrapped]]&gt;0,tblProduction[[#This Row],[Net scrap cost]]/(tblProduction[[#This Row],[Produced]]-tblProduction[[#This Row],[Scrapped]]),""))</f>
        <v>0.0740044792833147</v>
      </c>
      <c r="M77" s="41">
        <f>IF(tblProduction[[#This Row],[Date]]="","",IF(AND(tblProduction[[#This Row],[Date]]&gt;=FFrom,tblProduction[[#This Row],[Date]]&lt;=FTo,OR(DashPart="",tblProduction[[#This Row],[Part]]=DashPart)),tblProduction[[#This Row],[Date]],""))</f>
        <v>46281</v>
      </c>
      <c r="N77"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77" s="43" t="s">
        <v>139</v>
      </c>
    </row>
    <row r="78" spans="2:15">
      <c r="B78" s="36">
        <v>46281</v>
      </c>
      <c r="C78" s="28" t="s">
        <v>93</v>
      </c>
      <c r="D78" s="37">
        <v>565</v>
      </c>
      <c r="E78" s="38">
        <f>IF(tblProduction[[#This Row],[Date]]="","",IFERROR(INDEX(tblParts[Standard cost],MATCH(tblProduction[[#This Row],[Part]],tblParts[Part],0)),""))</f>
        <v>11.35</v>
      </c>
      <c r="F78" s="44">
        <f>IF(tblProduction[[#This Row],[Date]]="","",IF(tblProduction[[#This Row],[Standard cost]]="","",tblProduction[[#This Row],[Produced]]*tblProduction[[#This Row],[Standard cost]]))</f>
        <v>6412.75</v>
      </c>
      <c r="G78" s="44">
        <f>IF(tblProduction[[#This Row],[Date]]="","",SUMIFS(tblScrap[Scrapped],tblScrap[Date],tblProduction[[#This Row],[Date]],tblScrap[Part],tblProduction[[#This Row],[Part]]))</f>
        <v>12</v>
      </c>
      <c r="H78" s="38">
        <f>IF(tblProduction[[#This Row],[Date]]="","",SUMIFS(tblScrap[Net scrap cost],tblScrap[Date],tblProduction[[#This Row],[Date]],tblScrap[Part],tblProduction[[#This Row],[Part]]))</f>
        <v>57.18</v>
      </c>
      <c r="I78" s="45">
        <f>IF(tblProduction[[#This Row],[Date]]="","",IF(tblProduction[[#This Row],[Produced]]&gt;0,tblProduction[[#This Row],[Scrapped]]/tblProduction[[#This Row],[Produced]],""))</f>
        <v>0.0212389380530973</v>
      </c>
      <c r="J78" s="46" t="str">
        <f>IF(NOT(ISNUMBER(tblProduction[[#This Row],[Scrap rate]])),"",IF(tblProduction[[#This Row],[Scrap rate]]&lt;=TargetRate,"On target",IF(tblProduction[[#This Row],[Scrap rate]]&lt;=TargetRate*(1+0.05),"Near target","Above target")))</f>
        <v>Above target</v>
      </c>
      <c r="K78" s="45">
        <f>IF(tblProduction[[#This Row],[Date]]="","",IF(N(tblProduction[[#This Row],[Production value]])&gt;0,tblProduction[[#This Row],[Net scrap cost]]/tblProduction[[#This Row],[Production value]],""))</f>
        <v>0.00891661143815056</v>
      </c>
      <c r="L78" s="47">
        <f>IF(tblProduction[[#This Row],[Date]]="","",IF(tblProduction[[#This Row],[Produced]]-tblProduction[[#This Row],[Scrapped]]&gt;0,tblProduction[[#This Row],[Net scrap cost]]/(tblProduction[[#This Row],[Produced]]-tblProduction[[#This Row],[Scrapped]]),""))</f>
        <v>0.103399638336347</v>
      </c>
      <c r="M78" s="41">
        <f>IF(tblProduction[[#This Row],[Date]]="","",IF(AND(tblProduction[[#This Row],[Date]]&gt;=FFrom,tblProduction[[#This Row],[Date]]&lt;=FTo,OR(DashPart="",tblProduction[[#This Row],[Part]]=DashPart)),tblProduction[[#This Row],[Date]],""))</f>
        <v>46281</v>
      </c>
      <c r="N78"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78" s="43" t="s">
        <v>139</v>
      </c>
    </row>
    <row r="79" spans="2:15">
      <c r="B79" s="36">
        <v>46282</v>
      </c>
      <c r="C79" s="28" t="s">
        <v>87</v>
      </c>
      <c r="D79" s="37">
        <v>310</v>
      </c>
      <c r="E79" s="38">
        <f>IF(tblProduction[[#This Row],[Date]]="","",IFERROR(INDEX(tblParts[Standard cost],MATCH(tblProduction[[#This Row],[Part]],tblParts[Part],0)),""))</f>
        <v>19</v>
      </c>
      <c r="F79" s="44">
        <f>IF(tblProduction[[#This Row],[Date]]="","",IF(tblProduction[[#This Row],[Standard cost]]="","",tblProduction[[#This Row],[Produced]]*tblProduction[[#This Row],[Standard cost]]))</f>
        <v>5890</v>
      </c>
      <c r="G79" s="44">
        <f>IF(tblProduction[[#This Row],[Date]]="","",SUMIFS(tblScrap[Scrapped],tblScrap[Date],tblProduction[[#This Row],[Date]],tblScrap[Part],tblProduction[[#This Row],[Part]]))</f>
        <v>0</v>
      </c>
      <c r="H79" s="38">
        <f>IF(tblProduction[[#This Row],[Date]]="","",SUMIFS(tblScrap[Net scrap cost],tblScrap[Date],tblProduction[[#This Row],[Date]],tblScrap[Part],tblProduction[[#This Row],[Part]]))</f>
        <v>0</v>
      </c>
      <c r="I79" s="45">
        <f>IF(tblProduction[[#This Row],[Date]]="","",IF(tblProduction[[#This Row],[Produced]]&gt;0,tblProduction[[#This Row],[Scrapped]]/tblProduction[[#This Row],[Produced]],""))</f>
        <v>0</v>
      </c>
      <c r="J79" s="46" t="str">
        <f>IF(NOT(ISNUMBER(tblProduction[[#This Row],[Scrap rate]])),"",IF(tblProduction[[#This Row],[Scrap rate]]&lt;=TargetRate,"On target",IF(tblProduction[[#This Row],[Scrap rate]]&lt;=TargetRate*(1+0.05),"Near target","Above target")))</f>
        <v>On target</v>
      </c>
      <c r="K79" s="45">
        <f>IF(tblProduction[[#This Row],[Date]]="","",IF(N(tblProduction[[#This Row],[Production value]])&gt;0,tblProduction[[#This Row],[Net scrap cost]]/tblProduction[[#This Row],[Production value]],""))</f>
        <v>0</v>
      </c>
      <c r="L79" s="47">
        <f>IF(tblProduction[[#This Row],[Date]]="","",IF(tblProduction[[#This Row],[Produced]]-tblProduction[[#This Row],[Scrapped]]&gt;0,tblProduction[[#This Row],[Net scrap cost]]/(tblProduction[[#This Row],[Produced]]-tblProduction[[#This Row],[Scrapped]]),""))</f>
        <v>0</v>
      </c>
      <c r="M79" s="41">
        <f>IF(tblProduction[[#This Row],[Date]]="","",IF(AND(tblProduction[[#This Row],[Date]]&gt;=FFrom,tblProduction[[#This Row],[Date]]&lt;=FTo,OR(DashPart="",tblProduction[[#This Row],[Part]]=DashPart)),tblProduction[[#This Row],[Date]],""))</f>
        <v>46282</v>
      </c>
      <c r="N79"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79" s="43" t="s">
        <v>139</v>
      </c>
    </row>
    <row r="80" spans="2:15">
      <c r="B80" s="36">
        <v>46282</v>
      </c>
      <c r="C80" s="28" t="s">
        <v>89</v>
      </c>
      <c r="D80" s="37">
        <v>275</v>
      </c>
      <c r="E80" s="38">
        <f>IF(tblProduction[[#This Row],[Date]]="","",IFERROR(INDEX(tblParts[Standard cost],MATCH(tblProduction[[#This Row],[Part]],tblParts[Part],0)),""))</f>
        <v>26</v>
      </c>
      <c r="F80" s="44">
        <f>IF(tblProduction[[#This Row],[Date]]="","",IF(tblProduction[[#This Row],[Standard cost]]="","",tblProduction[[#This Row],[Produced]]*tblProduction[[#This Row],[Standard cost]]))</f>
        <v>7150</v>
      </c>
      <c r="G80" s="44">
        <f>IF(tblProduction[[#This Row],[Date]]="","",SUMIFS(tblScrap[Scrapped],tblScrap[Date],tblProduction[[#This Row],[Date]],tblScrap[Part],tblProduction[[#This Row],[Part]]))</f>
        <v>6</v>
      </c>
      <c r="H80" s="38">
        <f>IF(tblProduction[[#This Row],[Date]]="","",SUMIFS(tblScrap[Net scrap cost],tblScrap[Date],tblProduction[[#This Row],[Date]],tblScrap[Part],tblProduction[[#This Row],[Part]]))</f>
        <v>62.94</v>
      </c>
      <c r="I80" s="45">
        <f>IF(tblProduction[[#This Row],[Date]]="","",IF(tblProduction[[#This Row],[Produced]]&gt;0,tblProduction[[#This Row],[Scrapped]]/tblProduction[[#This Row],[Produced]],""))</f>
        <v>0.0218181818181818</v>
      </c>
      <c r="J80" s="46" t="str">
        <f>IF(NOT(ISNUMBER(tblProduction[[#This Row],[Scrap rate]])),"",IF(tblProduction[[#This Row],[Scrap rate]]&lt;=TargetRate,"On target",IF(tblProduction[[#This Row],[Scrap rate]]&lt;=TargetRate*(1+0.05),"Near target","Above target")))</f>
        <v>Above target</v>
      </c>
      <c r="K80" s="45">
        <f>IF(tblProduction[[#This Row],[Date]]="","",IF(N(tblProduction[[#This Row],[Production value]])&gt;0,tblProduction[[#This Row],[Net scrap cost]]/tblProduction[[#This Row],[Production value]],""))</f>
        <v>0.0088027972027972</v>
      </c>
      <c r="L80" s="47">
        <f>IF(tblProduction[[#This Row],[Date]]="","",IF(tblProduction[[#This Row],[Produced]]-tblProduction[[#This Row],[Scrapped]]&gt;0,tblProduction[[#This Row],[Net scrap cost]]/(tblProduction[[#This Row],[Produced]]-tblProduction[[#This Row],[Scrapped]]),""))</f>
        <v>0.233977695167286</v>
      </c>
      <c r="M80" s="41">
        <f>IF(tblProduction[[#This Row],[Date]]="","",IF(AND(tblProduction[[#This Row],[Date]]&gt;=FFrom,tblProduction[[#This Row],[Date]]&lt;=FTo,OR(DashPart="",tblProduction[[#This Row],[Part]]=DashPart)),tblProduction[[#This Row],[Date]],""))</f>
        <v>46282</v>
      </c>
      <c r="N80"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80" s="43" t="s">
        <v>139</v>
      </c>
    </row>
    <row r="81" spans="2:15">
      <c r="B81" s="36">
        <v>46282</v>
      </c>
      <c r="C81" s="28" t="s">
        <v>91</v>
      </c>
      <c r="D81" s="37">
        <v>850</v>
      </c>
      <c r="E81" s="38">
        <f>IF(tblProduction[[#This Row],[Date]]="","",IFERROR(INDEX(tblParts[Standard cost],MATCH(tblProduction[[#This Row],[Part]],tblParts[Part],0)),""))</f>
        <v>5.35</v>
      </c>
      <c r="F81" s="44">
        <f>IF(tblProduction[[#This Row],[Date]]="","",IF(tblProduction[[#This Row],[Standard cost]]="","",tblProduction[[#This Row],[Produced]]*tblProduction[[#This Row],[Standard cost]]))</f>
        <v>4547.5</v>
      </c>
      <c r="G81" s="44">
        <f>IF(tblProduction[[#This Row],[Date]]="","",SUMIFS(tblScrap[Scrapped],tblScrap[Date],tblProduction[[#This Row],[Date]],tblScrap[Part],tblProduction[[#This Row],[Part]]))</f>
        <v>7</v>
      </c>
      <c r="H81" s="38">
        <f>IF(tblProduction[[#This Row],[Date]]="","",SUMIFS(tblScrap[Net scrap cost],tblScrap[Date],tblProduction[[#This Row],[Date]],tblScrap[Part],tblProduction[[#This Row],[Part]]))</f>
        <v>30.191</v>
      </c>
      <c r="I81" s="45">
        <f>IF(tblProduction[[#This Row],[Date]]="","",IF(tblProduction[[#This Row],[Produced]]&gt;0,tblProduction[[#This Row],[Scrapped]]/tblProduction[[#This Row],[Produced]],""))</f>
        <v>0.00823529411764706</v>
      </c>
      <c r="J81" s="46" t="str">
        <f>IF(NOT(ISNUMBER(tblProduction[[#This Row],[Scrap rate]])),"",IF(tblProduction[[#This Row],[Scrap rate]]&lt;=TargetRate,"On target",IF(tblProduction[[#This Row],[Scrap rate]]&lt;=TargetRate*(1+0.05),"Near target","Above target")))</f>
        <v>On target</v>
      </c>
      <c r="K81" s="45">
        <f>IF(tblProduction[[#This Row],[Date]]="","",IF(N(tblProduction[[#This Row],[Production value]])&gt;0,tblProduction[[#This Row],[Net scrap cost]]/tblProduction[[#This Row],[Production value]],""))</f>
        <v>0.00663903243540407</v>
      </c>
      <c r="L81" s="47">
        <f>IF(tblProduction[[#This Row],[Date]]="","",IF(tblProduction[[#This Row],[Produced]]-tblProduction[[#This Row],[Scrapped]]&gt;0,tblProduction[[#This Row],[Net scrap cost]]/(tblProduction[[#This Row],[Produced]]-tblProduction[[#This Row],[Scrapped]]),""))</f>
        <v>0.0358137603795967</v>
      </c>
      <c r="M81" s="41">
        <f>IF(tblProduction[[#This Row],[Date]]="","",IF(AND(tblProduction[[#This Row],[Date]]&gt;=FFrom,tblProduction[[#This Row],[Date]]&lt;=FTo,OR(DashPart="",tblProduction[[#This Row],[Part]]=DashPart)),tblProduction[[#This Row],[Date]],""))</f>
        <v>46282</v>
      </c>
      <c r="N81"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81" s="43" t="s">
        <v>139</v>
      </c>
    </row>
    <row r="82" spans="2:15">
      <c r="B82" s="36">
        <v>46282</v>
      </c>
      <c r="C82" s="28" t="s">
        <v>93</v>
      </c>
      <c r="D82" s="37">
        <v>510</v>
      </c>
      <c r="E82" s="38">
        <f>IF(tblProduction[[#This Row],[Date]]="","",IFERROR(INDEX(tblParts[Standard cost],MATCH(tblProduction[[#This Row],[Part]],tblParts[Part],0)),""))</f>
        <v>11.35</v>
      </c>
      <c r="F82" s="44">
        <f>IF(tblProduction[[#This Row],[Date]]="","",IF(tblProduction[[#This Row],[Standard cost]]="","",tblProduction[[#This Row],[Produced]]*tblProduction[[#This Row],[Standard cost]]))</f>
        <v>5788.5</v>
      </c>
      <c r="G82" s="44">
        <f>IF(tblProduction[[#This Row],[Date]]="","",SUMIFS(tblScrap[Scrapped],tblScrap[Date],tblProduction[[#This Row],[Date]],tblScrap[Part],tblProduction[[#This Row],[Part]]))</f>
        <v>0</v>
      </c>
      <c r="H82" s="38">
        <f>IF(tblProduction[[#This Row],[Date]]="","",SUMIFS(tblScrap[Net scrap cost],tblScrap[Date],tblProduction[[#This Row],[Date]],tblScrap[Part],tblProduction[[#This Row],[Part]]))</f>
        <v>0</v>
      </c>
      <c r="I82" s="45">
        <f>IF(tblProduction[[#This Row],[Date]]="","",IF(tblProduction[[#This Row],[Produced]]&gt;0,tblProduction[[#This Row],[Scrapped]]/tblProduction[[#This Row],[Produced]],""))</f>
        <v>0</v>
      </c>
      <c r="J82" s="46" t="str">
        <f>IF(NOT(ISNUMBER(tblProduction[[#This Row],[Scrap rate]])),"",IF(tblProduction[[#This Row],[Scrap rate]]&lt;=TargetRate,"On target",IF(tblProduction[[#This Row],[Scrap rate]]&lt;=TargetRate*(1+0.05),"Near target","Above target")))</f>
        <v>On target</v>
      </c>
      <c r="K82" s="45">
        <f>IF(tblProduction[[#This Row],[Date]]="","",IF(N(tblProduction[[#This Row],[Production value]])&gt;0,tblProduction[[#This Row],[Net scrap cost]]/tblProduction[[#This Row],[Production value]],""))</f>
        <v>0</v>
      </c>
      <c r="L82" s="47">
        <f>IF(tblProduction[[#This Row],[Date]]="","",IF(tblProduction[[#This Row],[Produced]]-tblProduction[[#This Row],[Scrapped]]&gt;0,tblProduction[[#This Row],[Net scrap cost]]/(tblProduction[[#This Row],[Produced]]-tblProduction[[#This Row],[Scrapped]]),""))</f>
        <v>0</v>
      </c>
      <c r="M82" s="41">
        <f>IF(tblProduction[[#This Row],[Date]]="","",IF(AND(tblProduction[[#This Row],[Date]]&gt;=FFrom,tblProduction[[#This Row],[Date]]&lt;=FTo,OR(DashPart="",tblProduction[[#This Row],[Part]]=DashPart)),tblProduction[[#This Row],[Date]],""))</f>
        <v>46282</v>
      </c>
      <c r="N82"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82" s="43" t="s">
        <v>139</v>
      </c>
    </row>
    <row r="83" spans="2:15">
      <c r="B83" s="36">
        <v>46283</v>
      </c>
      <c r="C83" s="28" t="s">
        <v>87</v>
      </c>
      <c r="D83" s="37">
        <v>310</v>
      </c>
      <c r="E83" s="38">
        <f>IF(tblProduction[[#This Row],[Date]]="","",IFERROR(INDEX(tblParts[Standard cost],MATCH(tblProduction[[#This Row],[Part]],tblParts[Part],0)),""))</f>
        <v>19</v>
      </c>
      <c r="F83" s="44">
        <f>IF(tblProduction[[#This Row],[Date]]="","",IF(tblProduction[[#This Row],[Standard cost]]="","",tblProduction[[#This Row],[Produced]]*tblProduction[[#This Row],[Standard cost]]))</f>
        <v>5890</v>
      </c>
      <c r="G83" s="44">
        <f>IF(tblProduction[[#This Row],[Date]]="","",SUMIFS(tblScrap[Scrapped],tblScrap[Date],tblProduction[[#This Row],[Date]],tblScrap[Part],tblProduction[[#This Row],[Part]]))</f>
        <v>3</v>
      </c>
      <c r="H83" s="38">
        <f>IF(tblProduction[[#This Row],[Date]]="","",SUMIFS(tblScrap[Net scrap cost],tblScrap[Date],tblProduction[[#This Row],[Date]],tblScrap[Part],tblProduction[[#This Row],[Part]]))</f>
        <v>23.4075</v>
      </c>
      <c r="I83" s="45">
        <f>IF(tblProduction[[#This Row],[Date]]="","",IF(tblProduction[[#This Row],[Produced]]&gt;0,tblProduction[[#This Row],[Scrapped]]/tblProduction[[#This Row],[Produced]],""))</f>
        <v>0.00967741935483871</v>
      </c>
      <c r="J83" s="46" t="str">
        <f>IF(NOT(ISNUMBER(tblProduction[[#This Row],[Scrap rate]])),"",IF(tblProduction[[#This Row],[Scrap rate]]&lt;=TargetRate,"On target",IF(tblProduction[[#This Row],[Scrap rate]]&lt;=TargetRate*(1+0.05),"Near target","Above target")))</f>
        <v>On target</v>
      </c>
      <c r="K83" s="45">
        <f>IF(tblProduction[[#This Row],[Date]]="","",IF(N(tblProduction[[#This Row],[Production value]])&gt;0,tblProduction[[#This Row],[Net scrap cost]]/tblProduction[[#This Row],[Production value]],""))</f>
        <v>0.00397410865874363</v>
      </c>
      <c r="L83" s="47">
        <f>IF(tblProduction[[#This Row],[Date]]="","",IF(tblProduction[[#This Row],[Produced]]-tblProduction[[#This Row],[Scrapped]]&gt;0,tblProduction[[#This Row],[Net scrap cost]]/(tblProduction[[#This Row],[Produced]]-tblProduction[[#This Row],[Scrapped]]),""))</f>
        <v>0.0762459283387622</v>
      </c>
      <c r="M83" s="41">
        <f>IF(tblProduction[[#This Row],[Date]]="","",IF(AND(tblProduction[[#This Row],[Date]]&gt;=FFrom,tblProduction[[#This Row],[Date]]&lt;=FTo,OR(DashPart="",tblProduction[[#This Row],[Part]]=DashPart)),tblProduction[[#This Row],[Date]],""))</f>
        <v>46283</v>
      </c>
      <c r="N83"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83" s="43" t="s">
        <v>139</v>
      </c>
    </row>
    <row r="84" spans="2:15">
      <c r="B84" s="36">
        <v>46283</v>
      </c>
      <c r="C84" s="28" t="s">
        <v>89</v>
      </c>
      <c r="D84" s="37">
        <v>265</v>
      </c>
      <c r="E84" s="38">
        <f>IF(tblProduction[[#This Row],[Date]]="","",IFERROR(INDEX(tblParts[Standard cost],MATCH(tblProduction[[#This Row],[Part]],tblParts[Part],0)),""))</f>
        <v>26</v>
      </c>
      <c r="F84" s="44">
        <f>IF(tblProduction[[#This Row],[Date]]="","",IF(tblProduction[[#This Row],[Standard cost]]="","",tblProduction[[#This Row],[Produced]]*tblProduction[[#This Row],[Standard cost]]))</f>
        <v>6890</v>
      </c>
      <c r="G84" s="44">
        <f>IF(tblProduction[[#This Row],[Date]]="","",SUMIFS(tblScrap[Scrapped],tblScrap[Date],tblProduction[[#This Row],[Date]],tblScrap[Part],tblProduction[[#This Row],[Part]]))</f>
        <v>1</v>
      </c>
      <c r="H84" s="38">
        <f>IF(tblProduction[[#This Row],[Date]]="","",SUMIFS(tblScrap[Net scrap cost],tblScrap[Date],tblProduction[[#This Row],[Date]],tblScrap[Part],tblProduction[[#This Row],[Part]]))</f>
        <v>21.99</v>
      </c>
      <c r="I84" s="45">
        <f>IF(tblProduction[[#This Row],[Date]]="","",IF(tblProduction[[#This Row],[Produced]]&gt;0,tblProduction[[#This Row],[Scrapped]]/tblProduction[[#This Row],[Produced]],""))</f>
        <v>0.00377358490566038</v>
      </c>
      <c r="J84" s="46" t="str">
        <f>IF(NOT(ISNUMBER(tblProduction[[#This Row],[Scrap rate]])),"",IF(tblProduction[[#This Row],[Scrap rate]]&lt;=TargetRate,"On target",IF(tblProduction[[#This Row],[Scrap rate]]&lt;=TargetRate*(1+0.05),"Near target","Above target")))</f>
        <v>On target</v>
      </c>
      <c r="K84" s="45">
        <f>IF(tblProduction[[#This Row],[Date]]="","",IF(N(tblProduction[[#This Row],[Production value]])&gt;0,tblProduction[[#This Row],[Net scrap cost]]/tblProduction[[#This Row],[Production value]],""))</f>
        <v>0.00319158200290276</v>
      </c>
      <c r="L84" s="47">
        <f>IF(tblProduction[[#This Row],[Date]]="","",IF(tblProduction[[#This Row],[Produced]]-tblProduction[[#This Row],[Scrapped]]&gt;0,tblProduction[[#This Row],[Net scrap cost]]/(tblProduction[[#This Row],[Produced]]-tblProduction[[#This Row],[Scrapped]]),""))</f>
        <v>0.0832954545454545</v>
      </c>
      <c r="M84" s="41">
        <f>IF(tblProduction[[#This Row],[Date]]="","",IF(AND(tblProduction[[#This Row],[Date]]&gt;=FFrom,tblProduction[[#This Row],[Date]]&lt;=FTo,OR(DashPart="",tblProduction[[#This Row],[Part]]=DashPart)),tblProduction[[#This Row],[Date]],""))</f>
        <v>46283</v>
      </c>
      <c r="N84"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84" s="43" t="s">
        <v>139</v>
      </c>
    </row>
    <row r="85" spans="2:15">
      <c r="B85" s="36">
        <v>46283</v>
      </c>
      <c r="C85" s="28" t="s">
        <v>91</v>
      </c>
      <c r="D85" s="37">
        <v>925</v>
      </c>
      <c r="E85" s="38">
        <f>IF(tblProduction[[#This Row],[Date]]="","",IFERROR(INDEX(tblParts[Standard cost],MATCH(tblProduction[[#This Row],[Part]],tblParts[Part],0)),""))</f>
        <v>5.35</v>
      </c>
      <c r="F85" s="44">
        <f>IF(tblProduction[[#This Row],[Date]]="","",IF(tblProduction[[#This Row],[Standard cost]]="","",tblProduction[[#This Row],[Produced]]*tblProduction[[#This Row],[Standard cost]]))</f>
        <v>4948.75</v>
      </c>
      <c r="G85" s="44">
        <f>IF(tblProduction[[#This Row],[Date]]="","",SUMIFS(tblScrap[Scrapped],tblScrap[Date],tblProduction[[#This Row],[Date]],tblScrap[Part],tblProduction[[#This Row],[Part]]))</f>
        <v>24</v>
      </c>
      <c r="H85" s="38">
        <f>IF(tblProduction[[#This Row],[Date]]="","",SUMIFS(tblScrap[Net scrap cost],tblScrap[Date],tblProduction[[#This Row],[Date]],tblScrap[Part],tblProduction[[#This Row],[Part]]))</f>
        <v>83.712</v>
      </c>
      <c r="I85" s="45">
        <f>IF(tblProduction[[#This Row],[Date]]="","",IF(tblProduction[[#This Row],[Produced]]&gt;0,tblProduction[[#This Row],[Scrapped]]/tblProduction[[#This Row],[Produced]],""))</f>
        <v>0.0259459459459459</v>
      </c>
      <c r="J85" s="46" t="str">
        <f>IF(NOT(ISNUMBER(tblProduction[[#This Row],[Scrap rate]])),"",IF(tblProduction[[#This Row],[Scrap rate]]&lt;=TargetRate,"On target",IF(tblProduction[[#This Row],[Scrap rate]]&lt;=TargetRate*(1+0.05),"Near target","Above target")))</f>
        <v>Above target</v>
      </c>
      <c r="K85" s="45">
        <f>IF(tblProduction[[#This Row],[Date]]="","",IF(N(tblProduction[[#This Row],[Production value]])&gt;0,tblProduction[[#This Row],[Net scrap cost]]/tblProduction[[#This Row],[Production value]],""))</f>
        <v>0.0169157868148522</v>
      </c>
      <c r="L85" s="47">
        <f>IF(tblProduction[[#This Row],[Date]]="","",IF(tblProduction[[#This Row],[Produced]]-tblProduction[[#This Row],[Scrapped]]&gt;0,tblProduction[[#This Row],[Net scrap cost]]/(tblProduction[[#This Row],[Produced]]-tblProduction[[#This Row],[Scrapped]]),""))</f>
        <v>0.0929100998890122</v>
      </c>
      <c r="M85" s="41">
        <f>IF(tblProduction[[#This Row],[Date]]="","",IF(AND(tblProduction[[#This Row],[Date]]&gt;=FFrom,tblProduction[[#This Row],[Date]]&lt;=FTo,OR(DashPart="",tblProduction[[#This Row],[Part]]=DashPart)),tblProduction[[#This Row],[Date]],""))</f>
        <v>46283</v>
      </c>
      <c r="N85"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85" s="43" t="s">
        <v>139</v>
      </c>
    </row>
    <row r="86" spans="2:15">
      <c r="B86" s="36">
        <v>46283</v>
      </c>
      <c r="C86" s="28" t="s">
        <v>93</v>
      </c>
      <c r="D86" s="37">
        <v>570</v>
      </c>
      <c r="E86" s="38">
        <f>IF(tblProduction[[#This Row],[Date]]="","",IFERROR(INDEX(tblParts[Standard cost],MATCH(tblProduction[[#This Row],[Part]],tblParts[Part],0)),""))</f>
        <v>11.35</v>
      </c>
      <c r="F86" s="44">
        <f>IF(tblProduction[[#This Row],[Date]]="","",IF(tblProduction[[#This Row],[Standard cost]]="","",tblProduction[[#This Row],[Produced]]*tblProduction[[#This Row],[Standard cost]]))</f>
        <v>6469.5</v>
      </c>
      <c r="G86" s="44">
        <f>IF(tblProduction[[#This Row],[Date]]="","",SUMIFS(tblScrap[Scrapped],tblScrap[Date],tblProduction[[#This Row],[Date]],tblScrap[Part],tblProduction[[#This Row],[Part]]))</f>
        <v>17</v>
      </c>
      <c r="H86" s="38">
        <f>IF(tblProduction[[#This Row],[Date]]="","",SUMIFS(tblScrap[Net scrap cost],tblScrap[Date],tblProduction[[#This Row],[Date]],tblScrap[Part],tblProduction[[#This Row],[Part]]))</f>
        <v>95.405</v>
      </c>
      <c r="I86" s="45">
        <f>IF(tblProduction[[#This Row],[Date]]="","",IF(tblProduction[[#This Row],[Produced]]&gt;0,tblProduction[[#This Row],[Scrapped]]/tblProduction[[#This Row],[Produced]],""))</f>
        <v>0.0298245614035088</v>
      </c>
      <c r="J86" s="46" t="str">
        <f>IF(NOT(ISNUMBER(tblProduction[[#This Row],[Scrap rate]])),"",IF(tblProduction[[#This Row],[Scrap rate]]&lt;=TargetRate,"On target",IF(tblProduction[[#This Row],[Scrap rate]]&lt;=TargetRate*(1+0.05),"Near target","Above target")))</f>
        <v>Above target</v>
      </c>
      <c r="K86" s="45">
        <f>IF(tblProduction[[#This Row],[Date]]="","",IF(N(tblProduction[[#This Row],[Production value]])&gt;0,tblProduction[[#This Row],[Net scrap cost]]/tblProduction[[#This Row],[Production value]],""))</f>
        <v>0.0147468892495556</v>
      </c>
      <c r="L86" s="47">
        <f>IF(tblProduction[[#This Row],[Date]]="","",IF(tblProduction[[#This Row],[Produced]]-tblProduction[[#This Row],[Scrapped]]&gt;0,tblProduction[[#This Row],[Net scrap cost]]/(tblProduction[[#This Row],[Produced]]-tblProduction[[#This Row],[Scrapped]]),""))</f>
        <v>0.1725226039783</v>
      </c>
      <c r="M86" s="41">
        <f>IF(tblProduction[[#This Row],[Date]]="","",IF(AND(tblProduction[[#This Row],[Date]]&gt;=FFrom,tblProduction[[#This Row],[Date]]&lt;=FTo,OR(DashPart="",tblProduction[[#This Row],[Part]]=DashPart)),tblProduction[[#This Row],[Date]],""))</f>
        <v>46283</v>
      </c>
      <c r="N86"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86" s="43" t="s">
        <v>139</v>
      </c>
    </row>
    <row r="87" spans="2:15">
      <c r="B87" s="36">
        <v>46286</v>
      </c>
      <c r="C87" s="28" t="s">
        <v>87</v>
      </c>
      <c r="D87" s="37">
        <v>330</v>
      </c>
      <c r="E87" s="38">
        <f>IF(tblProduction[[#This Row],[Date]]="","",IFERROR(INDEX(tblParts[Standard cost],MATCH(tblProduction[[#This Row],[Part]],tblParts[Part],0)),""))</f>
        <v>19</v>
      </c>
      <c r="F87" s="44">
        <f>IF(tblProduction[[#This Row],[Date]]="","",IF(tblProduction[[#This Row],[Standard cost]]="","",tblProduction[[#This Row],[Produced]]*tblProduction[[#This Row],[Standard cost]]))</f>
        <v>6270</v>
      </c>
      <c r="G87" s="44">
        <f>IF(tblProduction[[#This Row],[Date]]="","",SUMIFS(tblScrap[Scrapped],tblScrap[Date],tblProduction[[#This Row],[Date]],tblScrap[Part],tblProduction[[#This Row],[Part]]))</f>
        <v>8</v>
      </c>
      <c r="H87" s="38">
        <f>IF(tblProduction[[#This Row],[Date]]="","",SUMIFS(tblScrap[Net scrap cost],tblScrap[Date],tblProduction[[#This Row],[Date]],tblScrap[Part],tblProduction[[#This Row],[Part]]))</f>
        <v>62.42</v>
      </c>
      <c r="I87" s="45">
        <f>IF(tblProduction[[#This Row],[Date]]="","",IF(tblProduction[[#This Row],[Produced]]&gt;0,tblProduction[[#This Row],[Scrapped]]/tblProduction[[#This Row],[Produced]],""))</f>
        <v>0.0242424242424242</v>
      </c>
      <c r="J87" s="46" t="str">
        <f>IF(NOT(ISNUMBER(tblProduction[[#This Row],[Scrap rate]])),"",IF(tblProduction[[#This Row],[Scrap rate]]&lt;=TargetRate,"On target",IF(tblProduction[[#This Row],[Scrap rate]]&lt;=TargetRate*(1+0.05),"Near target","Above target")))</f>
        <v>Above target</v>
      </c>
      <c r="K87" s="45">
        <f>IF(tblProduction[[#This Row],[Date]]="","",IF(N(tblProduction[[#This Row],[Production value]])&gt;0,tblProduction[[#This Row],[Net scrap cost]]/tblProduction[[#This Row],[Production value]],""))</f>
        <v>0.00995534290271133</v>
      </c>
      <c r="L87" s="47">
        <f>IF(tblProduction[[#This Row],[Date]]="","",IF(tblProduction[[#This Row],[Produced]]-tblProduction[[#This Row],[Scrapped]]&gt;0,tblProduction[[#This Row],[Net scrap cost]]/(tblProduction[[#This Row],[Produced]]-tblProduction[[#This Row],[Scrapped]]),""))</f>
        <v>0.193850931677019</v>
      </c>
      <c r="M87" s="41">
        <f>IF(tblProduction[[#This Row],[Date]]="","",IF(AND(tblProduction[[#This Row],[Date]]&gt;=FFrom,tblProduction[[#This Row],[Date]]&lt;=FTo,OR(DashPart="",tblProduction[[#This Row],[Part]]=DashPart)),tblProduction[[#This Row],[Date]],""))</f>
        <v>46286</v>
      </c>
      <c r="N87"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87" s="43" t="s">
        <v>139</v>
      </c>
    </row>
    <row r="88" spans="2:15">
      <c r="B88" s="36">
        <v>46286</v>
      </c>
      <c r="C88" s="28" t="s">
        <v>89</v>
      </c>
      <c r="D88" s="37">
        <v>270</v>
      </c>
      <c r="E88" s="38">
        <f>IF(tblProduction[[#This Row],[Date]]="","",IFERROR(INDEX(tblParts[Standard cost],MATCH(tblProduction[[#This Row],[Part]],tblParts[Part],0)),""))</f>
        <v>26</v>
      </c>
      <c r="F88" s="44">
        <f>IF(tblProduction[[#This Row],[Date]]="","",IF(tblProduction[[#This Row],[Standard cost]]="","",tblProduction[[#This Row],[Produced]]*tblProduction[[#This Row],[Standard cost]]))</f>
        <v>7020</v>
      </c>
      <c r="G88" s="44">
        <f>IF(tblProduction[[#This Row],[Date]]="","",SUMIFS(tblScrap[Scrapped],tblScrap[Date],tblProduction[[#This Row],[Date]],tblScrap[Part],tblProduction[[#This Row],[Part]]))</f>
        <v>4</v>
      </c>
      <c r="H88" s="38">
        <f>IF(tblProduction[[#This Row],[Date]]="","",SUMIFS(tblScrap[Net scrap cost],tblScrap[Date],tblProduction[[#This Row],[Date]],tblScrap[Part],tblProduction[[#This Row],[Part]]))</f>
        <v>83.56</v>
      </c>
      <c r="I88" s="45">
        <f>IF(tblProduction[[#This Row],[Date]]="","",IF(tblProduction[[#This Row],[Produced]]&gt;0,tblProduction[[#This Row],[Scrapped]]/tblProduction[[#This Row],[Produced]],""))</f>
        <v>0.0148148148148148</v>
      </c>
      <c r="J88" s="46" t="str">
        <f>IF(NOT(ISNUMBER(tblProduction[[#This Row],[Scrap rate]])),"",IF(tblProduction[[#This Row],[Scrap rate]]&lt;=TargetRate,"On target",IF(tblProduction[[#This Row],[Scrap rate]]&lt;=TargetRate*(1+0.05),"Near target","Above target")))</f>
        <v>On target</v>
      </c>
      <c r="K88" s="45">
        <f>IF(tblProduction[[#This Row],[Date]]="","",IF(N(tblProduction[[#This Row],[Production value]])&gt;0,tblProduction[[#This Row],[Net scrap cost]]/tblProduction[[#This Row],[Production value]],""))</f>
        <v>0.0119031339031339</v>
      </c>
      <c r="L88" s="47">
        <f>IF(tblProduction[[#This Row],[Date]]="","",IF(tblProduction[[#This Row],[Produced]]-tblProduction[[#This Row],[Scrapped]]&gt;0,tblProduction[[#This Row],[Net scrap cost]]/(tblProduction[[#This Row],[Produced]]-tblProduction[[#This Row],[Scrapped]]),""))</f>
        <v>0.314135338345865</v>
      </c>
      <c r="M88" s="41">
        <f>IF(tblProduction[[#This Row],[Date]]="","",IF(AND(tblProduction[[#This Row],[Date]]&gt;=FFrom,tblProduction[[#This Row],[Date]]&lt;=FTo,OR(DashPart="",tblProduction[[#This Row],[Part]]=DashPart)),tblProduction[[#This Row],[Date]],""))</f>
        <v>46286</v>
      </c>
      <c r="N88"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88" s="43" t="s">
        <v>139</v>
      </c>
    </row>
    <row r="89" spans="2:15">
      <c r="B89" s="36">
        <v>46286</v>
      </c>
      <c r="C89" s="28" t="s">
        <v>91</v>
      </c>
      <c r="D89" s="37">
        <v>890</v>
      </c>
      <c r="E89" s="38">
        <f>IF(tblProduction[[#This Row],[Date]]="","",IFERROR(INDEX(tblParts[Standard cost],MATCH(tblProduction[[#This Row],[Part]],tblParts[Part],0)),""))</f>
        <v>5.35</v>
      </c>
      <c r="F89" s="44">
        <f>IF(tblProduction[[#This Row],[Date]]="","",IF(tblProduction[[#This Row],[Standard cost]]="","",tblProduction[[#This Row],[Produced]]*tblProduction[[#This Row],[Standard cost]]))</f>
        <v>4761.5</v>
      </c>
      <c r="G89" s="44">
        <f>IF(tblProduction[[#This Row],[Date]]="","",SUMIFS(tblScrap[Scrapped],tblScrap[Date],tblProduction[[#This Row],[Date]],tblScrap[Part],tblProduction[[#This Row],[Part]]))</f>
        <v>6</v>
      </c>
      <c r="H89" s="38">
        <f>IF(tblProduction[[#This Row],[Date]]="","",SUMIFS(tblScrap[Net scrap cost],tblScrap[Date],tblProduction[[#This Row],[Date]],tblScrap[Part],tblProduction[[#This Row],[Part]]))</f>
        <v>25.878</v>
      </c>
      <c r="I89" s="45">
        <f>IF(tblProduction[[#This Row],[Date]]="","",IF(tblProduction[[#This Row],[Produced]]&gt;0,tblProduction[[#This Row],[Scrapped]]/tblProduction[[#This Row],[Produced]],""))</f>
        <v>0.00674157303370787</v>
      </c>
      <c r="J89" s="46" t="str">
        <f>IF(NOT(ISNUMBER(tblProduction[[#This Row],[Scrap rate]])),"",IF(tblProduction[[#This Row],[Scrap rate]]&lt;=TargetRate,"On target",IF(tblProduction[[#This Row],[Scrap rate]]&lt;=TargetRate*(1+0.05),"Near target","Above target")))</f>
        <v>On target</v>
      </c>
      <c r="K89" s="45">
        <f>IF(tblProduction[[#This Row],[Date]]="","",IF(N(tblProduction[[#This Row],[Production value]])&gt;0,tblProduction[[#This Row],[Net scrap cost]]/tblProduction[[#This Row],[Production value]],""))</f>
        <v>0.00543484196156673</v>
      </c>
      <c r="L89" s="47">
        <f>IF(tblProduction[[#This Row],[Date]]="","",IF(tblProduction[[#This Row],[Produced]]-tblProduction[[#This Row],[Scrapped]]&gt;0,tblProduction[[#This Row],[Net scrap cost]]/(tblProduction[[#This Row],[Produced]]-tblProduction[[#This Row],[Scrapped]]),""))</f>
        <v>0.0292737556561086</v>
      </c>
      <c r="M89" s="41">
        <f>IF(tblProduction[[#This Row],[Date]]="","",IF(AND(tblProduction[[#This Row],[Date]]&gt;=FFrom,tblProduction[[#This Row],[Date]]&lt;=FTo,OR(DashPart="",tblProduction[[#This Row],[Part]]=DashPart)),tblProduction[[#This Row],[Date]],""))</f>
        <v>46286</v>
      </c>
      <c r="N89"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89" s="43" t="s">
        <v>139</v>
      </c>
    </row>
    <row r="90" spans="2:15">
      <c r="B90" s="36">
        <v>46286</v>
      </c>
      <c r="C90" s="28" t="s">
        <v>93</v>
      </c>
      <c r="D90" s="37">
        <v>515</v>
      </c>
      <c r="E90" s="38">
        <f>IF(tblProduction[[#This Row],[Date]]="","",IFERROR(INDEX(tblParts[Standard cost],MATCH(tblProduction[[#This Row],[Part]],tblParts[Part],0)),""))</f>
        <v>11.35</v>
      </c>
      <c r="F90" s="44">
        <f>IF(tblProduction[[#This Row],[Date]]="","",IF(tblProduction[[#This Row],[Standard cost]]="","",tblProduction[[#This Row],[Produced]]*tblProduction[[#This Row],[Standard cost]]))</f>
        <v>5845.25</v>
      </c>
      <c r="G90" s="44">
        <f>IF(tblProduction[[#This Row],[Date]]="","",SUMIFS(tblScrap[Scrapped],tblScrap[Date],tblProduction[[#This Row],[Date]],tblScrap[Part],tblProduction[[#This Row],[Part]]))</f>
        <v>7</v>
      </c>
      <c r="H90" s="38">
        <f>IF(tblProduction[[#This Row],[Date]]="","",SUMIFS(tblScrap[Net scrap cost],tblScrap[Date],tblProduction[[#This Row],[Date]],tblScrap[Part],tblProduction[[#This Row],[Part]]))</f>
        <v>33.355</v>
      </c>
      <c r="I90" s="45">
        <f>IF(tblProduction[[#This Row],[Date]]="","",IF(tblProduction[[#This Row],[Produced]]&gt;0,tblProduction[[#This Row],[Scrapped]]/tblProduction[[#This Row],[Produced]],""))</f>
        <v>0.0135922330097087</v>
      </c>
      <c r="J90" s="46" t="str">
        <f>IF(NOT(ISNUMBER(tblProduction[[#This Row],[Scrap rate]])),"",IF(tblProduction[[#This Row],[Scrap rate]]&lt;=TargetRate,"On target",IF(tblProduction[[#This Row],[Scrap rate]]&lt;=TargetRate*(1+0.05),"Near target","Above target")))</f>
        <v>On target</v>
      </c>
      <c r="K90" s="45">
        <f>IF(tblProduction[[#This Row],[Date]]="","",IF(N(tblProduction[[#This Row],[Production value]])&gt;0,tblProduction[[#This Row],[Net scrap cost]]/tblProduction[[#This Row],[Production value]],""))</f>
        <v>0.00570634275693939</v>
      </c>
      <c r="L90" s="47">
        <f>IF(tblProduction[[#This Row],[Date]]="","",IF(tblProduction[[#This Row],[Produced]]-tblProduction[[#This Row],[Scrapped]]&gt;0,tblProduction[[#This Row],[Net scrap cost]]/(tblProduction[[#This Row],[Produced]]-tblProduction[[#This Row],[Scrapped]]),""))</f>
        <v>0.0656594488188976</v>
      </c>
      <c r="M90" s="41">
        <f>IF(tblProduction[[#This Row],[Date]]="","",IF(AND(tblProduction[[#This Row],[Date]]&gt;=FFrom,tblProduction[[#This Row],[Date]]&lt;=FTo,OR(DashPart="",tblProduction[[#This Row],[Part]]=DashPart)),tblProduction[[#This Row],[Date]],""))</f>
        <v>46286</v>
      </c>
      <c r="N90"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90" s="43" t="s">
        <v>139</v>
      </c>
    </row>
    <row r="91" spans="2:15">
      <c r="B91" s="36">
        <v>46287</v>
      </c>
      <c r="C91" s="28" t="s">
        <v>87</v>
      </c>
      <c r="D91" s="37">
        <v>315</v>
      </c>
      <c r="E91" s="38">
        <f>IF(tblProduction[[#This Row],[Date]]="","",IFERROR(INDEX(tblParts[Standard cost],MATCH(tblProduction[[#This Row],[Part]],tblParts[Part],0)),""))</f>
        <v>19</v>
      </c>
      <c r="F91" s="44">
        <f>IF(tblProduction[[#This Row],[Date]]="","",IF(tblProduction[[#This Row],[Standard cost]]="","",tblProduction[[#This Row],[Produced]]*tblProduction[[#This Row],[Standard cost]]))</f>
        <v>5985</v>
      </c>
      <c r="G91" s="44">
        <f>IF(tblProduction[[#This Row],[Date]]="","",SUMIFS(tblScrap[Scrapped],tblScrap[Date],tblProduction[[#This Row],[Date]],tblScrap[Part],tblProduction[[#This Row],[Part]]))</f>
        <v>0</v>
      </c>
      <c r="H91" s="38">
        <f>IF(tblProduction[[#This Row],[Date]]="","",SUMIFS(tblScrap[Net scrap cost],tblScrap[Date],tblProduction[[#This Row],[Date]],tblScrap[Part],tblProduction[[#This Row],[Part]]))</f>
        <v>0</v>
      </c>
      <c r="I91" s="45">
        <f>IF(tblProduction[[#This Row],[Date]]="","",IF(tblProduction[[#This Row],[Produced]]&gt;0,tblProduction[[#This Row],[Scrapped]]/tblProduction[[#This Row],[Produced]],""))</f>
        <v>0</v>
      </c>
      <c r="J91" s="46" t="str">
        <f>IF(NOT(ISNUMBER(tblProduction[[#This Row],[Scrap rate]])),"",IF(tblProduction[[#This Row],[Scrap rate]]&lt;=TargetRate,"On target",IF(tblProduction[[#This Row],[Scrap rate]]&lt;=TargetRate*(1+0.05),"Near target","Above target")))</f>
        <v>On target</v>
      </c>
      <c r="K91" s="45">
        <f>IF(tblProduction[[#This Row],[Date]]="","",IF(N(tblProduction[[#This Row],[Production value]])&gt;0,tblProduction[[#This Row],[Net scrap cost]]/tblProduction[[#This Row],[Production value]],""))</f>
        <v>0</v>
      </c>
      <c r="L91" s="47">
        <f>IF(tblProduction[[#This Row],[Date]]="","",IF(tblProduction[[#This Row],[Produced]]-tblProduction[[#This Row],[Scrapped]]&gt;0,tblProduction[[#This Row],[Net scrap cost]]/(tblProduction[[#This Row],[Produced]]-tblProduction[[#This Row],[Scrapped]]),""))</f>
        <v>0</v>
      </c>
      <c r="M91" s="41">
        <f>IF(tblProduction[[#This Row],[Date]]="","",IF(AND(tblProduction[[#This Row],[Date]]&gt;=FFrom,tblProduction[[#This Row],[Date]]&lt;=FTo,OR(DashPart="",tblProduction[[#This Row],[Part]]=DashPart)),tblProduction[[#This Row],[Date]],""))</f>
        <v>46287</v>
      </c>
      <c r="N91"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91" s="43" t="s">
        <v>139</v>
      </c>
    </row>
    <row r="92" spans="2:15">
      <c r="B92" s="36">
        <v>46287</v>
      </c>
      <c r="C92" s="28" t="s">
        <v>89</v>
      </c>
      <c r="D92" s="37">
        <v>260</v>
      </c>
      <c r="E92" s="38">
        <f>IF(tblProduction[[#This Row],[Date]]="","",IFERROR(INDEX(tblParts[Standard cost],MATCH(tblProduction[[#This Row],[Part]],tblParts[Part],0)),""))</f>
        <v>26</v>
      </c>
      <c r="F92" s="44">
        <f>IF(tblProduction[[#This Row],[Date]]="","",IF(tblProduction[[#This Row],[Standard cost]]="","",tblProduction[[#This Row],[Produced]]*tblProduction[[#This Row],[Standard cost]]))</f>
        <v>6760</v>
      </c>
      <c r="G92" s="44">
        <f>IF(tblProduction[[#This Row],[Date]]="","",SUMIFS(tblScrap[Scrapped],tblScrap[Date],tblProduction[[#This Row],[Date]],tblScrap[Part],tblProduction[[#This Row],[Part]]))</f>
        <v>8</v>
      </c>
      <c r="H92" s="38">
        <f>IF(tblProduction[[#This Row],[Date]]="","",SUMIFS(tblScrap[Net scrap cost],tblScrap[Date],tblProduction[[#This Row],[Date]],tblScrap[Part],tblProduction[[#This Row],[Part]]))</f>
        <v>83.92</v>
      </c>
      <c r="I92" s="45">
        <f>IF(tblProduction[[#This Row],[Date]]="","",IF(tblProduction[[#This Row],[Produced]]&gt;0,tblProduction[[#This Row],[Scrapped]]/tblProduction[[#This Row],[Produced]],""))</f>
        <v>0.0307692307692308</v>
      </c>
      <c r="J92" s="46" t="str">
        <f>IF(NOT(ISNUMBER(tblProduction[[#This Row],[Scrap rate]])),"",IF(tblProduction[[#This Row],[Scrap rate]]&lt;=TargetRate,"On target",IF(tblProduction[[#This Row],[Scrap rate]]&lt;=TargetRate*(1+0.05),"Near target","Above target")))</f>
        <v>Above target</v>
      </c>
      <c r="K92" s="45">
        <f>IF(tblProduction[[#This Row],[Date]]="","",IF(N(tblProduction[[#This Row],[Production value]])&gt;0,tblProduction[[#This Row],[Net scrap cost]]/tblProduction[[#This Row],[Production value]],""))</f>
        <v>0.012414201183432</v>
      </c>
      <c r="L92" s="47">
        <f>IF(tblProduction[[#This Row],[Date]]="","",IF(tblProduction[[#This Row],[Produced]]-tblProduction[[#This Row],[Scrapped]]&gt;0,tblProduction[[#This Row],[Net scrap cost]]/(tblProduction[[#This Row],[Produced]]-tblProduction[[#This Row],[Scrapped]]),""))</f>
        <v>0.333015873015873</v>
      </c>
      <c r="M92" s="41">
        <f>IF(tblProduction[[#This Row],[Date]]="","",IF(AND(tblProduction[[#This Row],[Date]]&gt;=FFrom,tblProduction[[#This Row],[Date]]&lt;=FTo,OR(DashPart="",tblProduction[[#This Row],[Part]]=DashPart)),tblProduction[[#This Row],[Date]],""))</f>
        <v>46287</v>
      </c>
      <c r="N92"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92" s="43" t="s">
        <v>139</v>
      </c>
    </row>
    <row r="93" spans="2:15">
      <c r="B93" s="36">
        <v>46287</v>
      </c>
      <c r="C93" s="28" t="s">
        <v>91</v>
      </c>
      <c r="D93" s="37">
        <v>775</v>
      </c>
      <c r="E93" s="38">
        <f>IF(tblProduction[[#This Row],[Date]]="","",IFERROR(INDEX(tblParts[Standard cost],MATCH(tblProduction[[#This Row],[Part]],tblParts[Part],0)),""))</f>
        <v>5.35</v>
      </c>
      <c r="F93" s="44">
        <f>IF(tblProduction[[#This Row],[Date]]="","",IF(tblProduction[[#This Row],[Standard cost]]="","",tblProduction[[#This Row],[Produced]]*tblProduction[[#This Row],[Standard cost]]))</f>
        <v>4146.25</v>
      </c>
      <c r="G93" s="44">
        <f>IF(tblProduction[[#This Row],[Date]]="","",SUMIFS(tblScrap[Scrapped],tblScrap[Date],tblProduction[[#This Row],[Date]],tblScrap[Part],tblProduction[[#This Row],[Part]]))</f>
        <v>7</v>
      </c>
      <c r="H93" s="38">
        <f>IF(tblProduction[[#This Row],[Date]]="","",SUMIFS(tblScrap[Net scrap cost],tblScrap[Date],tblProduction[[#This Row],[Date]],tblScrap[Part],tblProduction[[#This Row],[Part]]))</f>
        <v>30.191</v>
      </c>
      <c r="I93" s="45">
        <f>IF(tblProduction[[#This Row],[Date]]="","",IF(tblProduction[[#This Row],[Produced]]&gt;0,tblProduction[[#This Row],[Scrapped]]/tblProduction[[#This Row],[Produced]],""))</f>
        <v>0.00903225806451613</v>
      </c>
      <c r="J93" s="46" t="str">
        <f>IF(NOT(ISNUMBER(tblProduction[[#This Row],[Scrap rate]])),"",IF(tblProduction[[#This Row],[Scrap rate]]&lt;=TargetRate,"On target",IF(tblProduction[[#This Row],[Scrap rate]]&lt;=TargetRate*(1+0.05),"Near target","Above target")))</f>
        <v>On target</v>
      </c>
      <c r="K93" s="45">
        <f>IF(tblProduction[[#This Row],[Date]]="","",IF(N(tblProduction[[#This Row],[Production value]])&gt;0,tblProduction[[#This Row],[Net scrap cost]]/tblProduction[[#This Row],[Production value]],""))</f>
        <v>0.00728151944528188</v>
      </c>
      <c r="L93" s="47">
        <f>IF(tblProduction[[#This Row],[Date]]="","",IF(tblProduction[[#This Row],[Produced]]-tblProduction[[#This Row],[Scrapped]]&gt;0,tblProduction[[#This Row],[Net scrap cost]]/(tblProduction[[#This Row],[Produced]]-tblProduction[[#This Row],[Scrapped]]),""))</f>
        <v>0.0393111979166667</v>
      </c>
      <c r="M93" s="41">
        <f>IF(tblProduction[[#This Row],[Date]]="","",IF(AND(tblProduction[[#This Row],[Date]]&gt;=FFrom,tblProduction[[#This Row],[Date]]&lt;=FTo,OR(DashPart="",tblProduction[[#This Row],[Part]]=DashPart)),tblProduction[[#This Row],[Date]],""))</f>
        <v>46287</v>
      </c>
      <c r="N93"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93" s="43" t="s">
        <v>139</v>
      </c>
    </row>
    <row r="94" spans="2:15">
      <c r="B94" s="36">
        <v>46287</v>
      </c>
      <c r="C94" s="28" t="s">
        <v>93</v>
      </c>
      <c r="D94" s="37">
        <v>510</v>
      </c>
      <c r="E94" s="38">
        <f>IF(tblProduction[[#This Row],[Date]]="","",IFERROR(INDEX(tblParts[Standard cost],MATCH(tblProduction[[#This Row],[Part]],tblParts[Part],0)),""))</f>
        <v>11.35</v>
      </c>
      <c r="F94" s="44">
        <f>IF(tblProduction[[#This Row],[Date]]="","",IF(tblProduction[[#This Row],[Standard cost]]="","",tblProduction[[#This Row],[Produced]]*tblProduction[[#This Row],[Standard cost]]))</f>
        <v>5788.5</v>
      </c>
      <c r="G94" s="44">
        <f>IF(tblProduction[[#This Row],[Date]]="","",SUMIFS(tblScrap[Scrapped],tblScrap[Date],tblProduction[[#This Row],[Date]],tblScrap[Part],tblProduction[[#This Row],[Part]]))</f>
        <v>11</v>
      </c>
      <c r="H94" s="38">
        <f>IF(tblProduction[[#This Row],[Date]]="","",SUMIFS(tblScrap[Net scrap cost],tblScrap[Date],tblProduction[[#This Row],[Date]],tblScrap[Part],tblProduction[[#This Row],[Part]]))</f>
        <v>52.415</v>
      </c>
      <c r="I94" s="45">
        <f>IF(tblProduction[[#This Row],[Date]]="","",IF(tblProduction[[#This Row],[Produced]]&gt;0,tblProduction[[#This Row],[Scrapped]]/tblProduction[[#This Row],[Produced]],""))</f>
        <v>0.0215686274509804</v>
      </c>
      <c r="J94" s="46" t="str">
        <f>IF(NOT(ISNUMBER(tblProduction[[#This Row],[Scrap rate]])),"",IF(tblProduction[[#This Row],[Scrap rate]]&lt;=TargetRate,"On target",IF(tblProduction[[#This Row],[Scrap rate]]&lt;=TargetRate*(1+0.05),"Near target","Above target")))</f>
        <v>Above target</v>
      </c>
      <c r="K94" s="45">
        <f>IF(tblProduction[[#This Row],[Date]]="","",IF(N(tblProduction[[#This Row],[Production value]])&gt;0,tblProduction[[#This Row],[Net scrap cost]]/tblProduction[[#This Row],[Production value]],""))</f>
        <v>0.00905502289021336</v>
      </c>
      <c r="L94" s="47">
        <f>IF(tblProduction[[#This Row],[Date]]="","",IF(tblProduction[[#This Row],[Produced]]-tblProduction[[#This Row],[Scrapped]]&gt;0,tblProduction[[#This Row],[Net scrap cost]]/(tblProduction[[#This Row],[Produced]]-tblProduction[[#This Row],[Scrapped]]),""))</f>
        <v>0.105040080160321</v>
      </c>
      <c r="M94" s="41">
        <f>IF(tblProduction[[#This Row],[Date]]="","",IF(AND(tblProduction[[#This Row],[Date]]&gt;=FFrom,tblProduction[[#This Row],[Date]]&lt;=FTo,OR(DashPart="",tblProduction[[#This Row],[Part]]=DashPart)),tblProduction[[#This Row],[Date]],""))</f>
        <v>46287</v>
      </c>
      <c r="N94"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94" s="43" t="s">
        <v>139</v>
      </c>
    </row>
    <row r="95" spans="2:15">
      <c r="B95" s="36">
        <v>46288</v>
      </c>
      <c r="C95" s="28" t="s">
        <v>87</v>
      </c>
      <c r="D95" s="37">
        <v>325</v>
      </c>
      <c r="E95" s="38">
        <f>IF(tblProduction[[#This Row],[Date]]="","",IFERROR(INDEX(tblParts[Standard cost],MATCH(tblProduction[[#This Row],[Part]],tblParts[Part],0)),""))</f>
        <v>19</v>
      </c>
      <c r="F95" s="44">
        <f>IF(tblProduction[[#This Row],[Date]]="","",IF(tblProduction[[#This Row],[Standard cost]]="","",tblProduction[[#This Row],[Produced]]*tblProduction[[#This Row],[Standard cost]]))</f>
        <v>6175</v>
      </c>
      <c r="G95" s="44">
        <f>IF(tblProduction[[#This Row],[Date]]="","",SUMIFS(tblScrap[Scrapped],tblScrap[Date],tblProduction[[#This Row],[Date]],tblScrap[Part],tblProduction[[#This Row],[Part]]))</f>
        <v>0</v>
      </c>
      <c r="H95" s="38">
        <f>IF(tblProduction[[#This Row],[Date]]="","",SUMIFS(tblScrap[Net scrap cost],tblScrap[Date],tblProduction[[#This Row],[Date]],tblScrap[Part],tblProduction[[#This Row],[Part]]))</f>
        <v>0</v>
      </c>
      <c r="I95" s="45">
        <f>IF(tblProduction[[#This Row],[Date]]="","",IF(tblProduction[[#This Row],[Produced]]&gt;0,tblProduction[[#This Row],[Scrapped]]/tblProduction[[#This Row],[Produced]],""))</f>
        <v>0</v>
      </c>
      <c r="J95" s="46" t="str">
        <f>IF(NOT(ISNUMBER(tblProduction[[#This Row],[Scrap rate]])),"",IF(tblProduction[[#This Row],[Scrap rate]]&lt;=TargetRate,"On target",IF(tblProduction[[#This Row],[Scrap rate]]&lt;=TargetRate*(1+0.05),"Near target","Above target")))</f>
        <v>On target</v>
      </c>
      <c r="K95" s="45">
        <f>IF(tblProduction[[#This Row],[Date]]="","",IF(N(tblProduction[[#This Row],[Production value]])&gt;0,tblProduction[[#This Row],[Net scrap cost]]/tblProduction[[#This Row],[Production value]],""))</f>
        <v>0</v>
      </c>
      <c r="L95" s="47">
        <f>IF(tblProduction[[#This Row],[Date]]="","",IF(tblProduction[[#This Row],[Produced]]-tblProduction[[#This Row],[Scrapped]]&gt;0,tblProduction[[#This Row],[Net scrap cost]]/(tblProduction[[#This Row],[Produced]]-tblProduction[[#This Row],[Scrapped]]),""))</f>
        <v>0</v>
      </c>
      <c r="M95" s="41">
        <f>IF(tblProduction[[#This Row],[Date]]="","",IF(AND(tblProduction[[#This Row],[Date]]&gt;=FFrom,tblProduction[[#This Row],[Date]]&lt;=FTo,OR(DashPart="",tblProduction[[#This Row],[Part]]=DashPart)),tblProduction[[#This Row],[Date]],""))</f>
        <v>46288</v>
      </c>
      <c r="N95"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95" s="43" t="s">
        <v>139</v>
      </c>
    </row>
    <row r="96" spans="2:15">
      <c r="B96" s="36">
        <v>46288</v>
      </c>
      <c r="C96" s="28" t="s">
        <v>89</v>
      </c>
      <c r="D96" s="37">
        <v>275</v>
      </c>
      <c r="E96" s="38">
        <f>IF(tblProduction[[#This Row],[Date]]="","",IFERROR(INDEX(tblParts[Standard cost],MATCH(tblProduction[[#This Row],[Part]],tblParts[Part],0)),""))</f>
        <v>26</v>
      </c>
      <c r="F96" s="44">
        <f>IF(tblProduction[[#This Row],[Date]]="","",IF(tblProduction[[#This Row],[Standard cost]]="","",tblProduction[[#This Row],[Produced]]*tblProduction[[#This Row],[Standard cost]]))</f>
        <v>7150</v>
      </c>
      <c r="G96" s="44">
        <f>IF(tblProduction[[#This Row],[Date]]="","",SUMIFS(tblScrap[Scrapped],tblScrap[Date],tblProduction[[#This Row],[Date]],tblScrap[Part],tblProduction[[#This Row],[Part]]))</f>
        <v>2</v>
      </c>
      <c r="H96" s="38">
        <f>IF(tblProduction[[#This Row],[Date]]="","",SUMIFS(tblScrap[Net scrap cost],tblScrap[Date],tblProduction[[#This Row],[Date]],tblScrap[Part],tblProduction[[#This Row],[Part]]))</f>
        <v>43.98</v>
      </c>
      <c r="I96" s="45">
        <f>IF(tblProduction[[#This Row],[Date]]="","",IF(tblProduction[[#This Row],[Produced]]&gt;0,tblProduction[[#This Row],[Scrapped]]/tblProduction[[#This Row],[Produced]],""))</f>
        <v>0.00727272727272727</v>
      </c>
      <c r="J96" s="46" t="str">
        <f>IF(NOT(ISNUMBER(tblProduction[[#This Row],[Scrap rate]])),"",IF(tblProduction[[#This Row],[Scrap rate]]&lt;=TargetRate,"On target",IF(tblProduction[[#This Row],[Scrap rate]]&lt;=TargetRate*(1+0.05),"Near target","Above target")))</f>
        <v>On target</v>
      </c>
      <c r="K96" s="45">
        <f>IF(tblProduction[[#This Row],[Date]]="","",IF(N(tblProduction[[#This Row],[Production value]])&gt;0,tblProduction[[#This Row],[Net scrap cost]]/tblProduction[[#This Row],[Production value]],""))</f>
        <v>0.00615104895104895</v>
      </c>
      <c r="L96" s="47">
        <f>IF(tblProduction[[#This Row],[Date]]="","",IF(tblProduction[[#This Row],[Produced]]-tblProduction[[#This Row],[Scrapped]]&gt;0,tblProduction[[#This Row],[Net scrap cost]]/(tblProduction[[#This Row],[Produced]]-tblProduction[[#This Row],[Scrapped]]),""))</f>
        <v>0.161098901098901</v>
      </c>
      <c r="M96" s="41">
        <f>IF(tblProduction[[#This Row],[Date]]="","",IF(AND(tblProduction[[#This Row],[Date]]&gt;=FFrom,tblProduction[[#This Row],[Date]]&lt;=FTo,OR(DashPart="",tblProduction[[#This Row],[Part]]=DashPart)),tblProduction[[#This Row],[Date]],""))</f>
        <v>46288</v>
      </c>
      <c r="N96"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96" s="43" t="s">
        <v>139</v>
      </c>
    </row>
    <row r="97" spans="2:15">
      <c r="B97" s="36">
        <v>46288</v>
      </c>
      <c r="C97" s="28" t="s">
        <v>91</v>
      </c>
      <c r="D97" s="37">
        <v>930</v>
      </c>
      <c r="E97" s="38">
        <f>IF(tblProduction[[#This Row],[Date]]="","",IFERROR(INDEX(tblParts[Standard cost],MATCH(tblProduction[[#This Row],[Part]],tblParts[Part],0)),""))</f>
        <v>5.35</v>
      </c>
      <c r="F97" s="44">
        <f>IF(tblProduction[[#This Row],[Date]]="","",IF(tblProduction[[#This Row],[Standard cost]]="","",tblProduction[[#This Row],[Produced]]*tblProduction[[#This Row],[Standard cost]]))</f>
        <v>4975.5</v>
      </c>
      <c r="G97" s="44">
        <f>IF(tblProduction[[#This Row],[Date]]="","",SUMIFS(tblScrap[Scrapped],tblScrap[Date],tblProduction[[#This Row],[Date]],tblScrap[Part],tblProduction[[#This Row],[Part]]))</f>
        <v>24</v>
      </c>
      <c r="H97" s="38">
        <f>IF(tblProduction[[#This Row],[Date]]="","",SUMIFS(tblScrap[Net scrap cost],tblScrap[Date],tblProduction[[#This Row],[Date]],tblScrap[Part],tblProduction[[#This Row],[Part]]))</f>
        <v>78.312</v>
      </c>
      <c r="I97" s="45">
        <f>IF(tblProduction[[#This Row],[Date]]="","",IF(tblProduction[[#This Row],[Produced]]&gt;0,tblProduction[[#This Row],[Scrapped]]/tblProduction[[#This Row],[Produced]],""))</f>
        <v>0.0258064516129032</v>
      </c>
      <c r="J97" s="46" t="str">
        <f>IF(NOT(ISNUMBER(tblProduction[[#This Row],[Scrap rate]])),"",IF(tblProduction[[#This Row],[Scrap rate]]&lt;=TargetRate,"On target",IF(tblProduction[[#This Row],[Scrap rate]]&lt;=TargetRate*(1+0.05),"Near target","Above target")))</f>
        <v>Above target</v>
      </c>
      <c r="K97" s="45">
        <f>IF(tblProduction[[#This Row],[Date]]="","",IF(N(tblProduction[[#This Row],[Production value]])&gt;0,tblProduction[[#This Row],[Net scrap cost]]/tblProduction[[#This Row],[Production value]],""))</f>
        <v>0.0157395236659632</v>
      </c>
      <c r="L97" s="47">
        <f>IF(tblProduction[[#This Row],[Date]]="","",IF(tblProduction[[#This Row],[Produced]]-tblProduction[[#This Row],[Scrapped]]&gt;0,tblProduction[[#This Row],[Net scrap cost]]/(tblProduction[[#This Row],[Produced]]-tblProduction[[#This Row],[Scrapped]]),""))</f>
        <v>0.0864370860927152</v>
      </c>
      <c r="M97" s="41">
        <f>IF(tblProduction[[#This Row],[Date]]="","",IF(AND(tblProduction[[#This Row],[Date]]&gt;=FFrom,tblProduction[[#This Row],[Date]]&lt;=FTo,OR(DashPart="",tblProduction[[#This Row],[Part]]=DashPart)),tblProduction[[#This Row],[Date]],""))</f>
        <v>46288</v>
      </c>
      <c r="N97"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97" s="43" t="s">
        <v>139</v>
      </c>
    </row>
    <row r="98" spans="2:15">
      <c r="B98" s="36">
        <v>46288</v>
      </c>
      <c r="C98" s="28" t="s">
        <v>93</v>
      </c>
      <c r="D98" s="37">
        <v>525</v>
      </c>
      <c r="E98" s="38">
        <f>IF(tblProduction[[#This Row],[Date]]="","",IFERROR(INDEX(tblParts[Standard cost],MATCH(tblProduction[[#This Row],[Part]],tblParts[Part],0)),""))</f>
        <v>11.35</v>
      </c>
      <c r="F98" s="44">
        <f>IF(tblProduction[[#This Row],[Date]]="","",IF(tblProduction[[#This Row],[Standard cost]]="","",tblProduction[[#This Row],[Produced]]*tblProduction[[#This Row],[Standard cost]]))</f>
        <v>5958.75</v>
      </c>
      <c r="G98" s="44">
        <f>IF(tblProduction[[#This Row],[Date]]="","",SUMIFS(tblScrap[Scrapped],tblScrap[Date],tblProduction[[#This Row],[Date]],tblScrap[Part],tblProduction[[#This Row],[Part]]))</f>
        <v>3</v>
      </c>
      <c r="H98" s="38">
        <f>IF(tblProduction[[#This Row],[Date]]="","",SUMIFS(tblScrap[Net scrap cost],tblScrap[Date],tblProduction[[#This Row],[Date]],tblScrap[Part],tblProduction[[#This Row],[Part]]))</f>
        <v>29.595</v>
      </c>
      <c r="I98" s="45">
        <f>IF(tblProduction[[#This Row],[Date]]="","",IF(tblProduction[[#This Row],[Produced]]&gt;0,tblProduction[[#This Row],[Scrapped]]/tblProduction[[#This Row],[Produced]],""))</f>
        <v>0.00571428571428571</v>
      </c>
      <c r="J98" s="46" t="str">
        <f>IF(NOT(ISNUMBER(tblProduction[[#This Row],[Scrap rate]])),"",IF(tblProduction[[#This Row],[Scrap rate]]&lt;=TargetRate,"On target",IF(tblProduction[[#This Row],[Scrap rate]]&lt;=TargetRate*(1+0.05),"Near target","Above target")))</f>
        <v>On target</v>
      </c>
      <c r="K98" s="45">
        <f>IF(tblProduction[[#This Row],[Date]]="","",IF(N(tblProduction[[#This Row],[Production value]])&gt;0,tblProduction[[#This Row],[Net scrap cost]]/tblProduction[[#This Row],[Production value]],""))</f>
        <v>0.00496664568911265</v>
      </c>
      <c r="L98" s="47">
        <f>IF(tblProduction[[#This Row],[Date]]="","",IF(tblProduction[[#This Row],[Produced]]-tblProduction[[#This Row],[Scrapped]]&gt;0,tblProduction[[#This Row],[Net scrap cost]]/(tblProduction[[#This Row],[Produced]]-tblProduction[[#This Row],[Scrapped]]),""))</f>
        <v>0.0566954022988506</v>
      </c>
      <c r="M98" s="41">
        <f>IF(tblProduction[[#This Row],[Date]]="","",IF(AND(tblProduction[[#This Row],[Date]]&gt;=FFrom,tblProduction[[#This Row],[Date]]&lt;=FTo,OR(DashPart="",tblProduction[[#This Row],[Part]]=DashPart)),tblProduction[[#This Row],[Date]],""))</f>
        <v>46288</v>
      </c>
      <c r="N98"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98" s="43" t="s">
        <v>139</v>
      </c>
    </row>
    <row r="99" spans="2:15">
      <c r="B99" s="36">
        <v>46289</v>
      </c>
      <c r="C99" s="28" t="s">
        <v>87</v>
      </c>
      <c r="D99" s="37">
        <v>330</v>
      </c>
      <c r="E99" s="38">
        <f>IF(tblProduction[[#This Row],[Date]]="","",IFERROR(INDEX(tblParts[Standard cost],MATCH(tblProduction[[#This Row],[Part]],tblParts[Part],0)),""))</f>
        <v>19</v>
      </c>
      <c r="F99" s="44">
        <f>IF(tblProduction[[#This Row],[Date]]="","",IF(tblProduction[[#This Row],[Standard cost]]="","",tblProduction[[#This Row],[Produced]]*tblProduction[[#This Row],[Standard cost]]))</f>
        <v>6270</v>
      </c>
      <c r="G99" s="44">
        <f>IF(tblProduction[[#This Row],[Date]]="","",SUMIFS(tblScrap[Scrapped],tblScrap[Date],tblProduction[[#This Row],[Date]],tblScrap[Part],tblProduction[[#This Row],[Part]]))</f>
        <v>10</v>
      </c>
      <c r="H99" s="38">
        <f>IF(tblProduction[[#This Row],[Date]]="","",SUMIFS(tblScrap[Net scrap cost],tblScrap[Date],tblProduction[[#This Row],[Date]],tblScrap[Part],tblProduction[[#This Row],[Part]]))</f>
        <v>94.425</v>
      </c>
      <c r="I99" s="45">
        <f>IF(tblProduction[[#This Row],[Date]]="","",IF(tblProduction[[#This Row],[Produced]]&gt;0,tblProduction[[#This Row],[Scrapped]]/tblProduction[[#This Row],[Produced]],""))</f>
        <v>0.0303030303030303</v>
      </c>
      <c r="J99" s="46" t="str">
        <f>IF(NOT(ISNUMBER(tblProduction[[#This Row],[Scrap rate]])),"",IF(tblProduction[[#This Row],[Scrap rate]]&lt;=TargetRate,"On target",IF(tblProduction[[#This Row],[Scrap rate]]&lt;=TargetRate*(1+0.05),"Near target","Above target")))</f>
        <v>Above target</v>
      </c>
      <c r="K99" s="45">
        <f>IF(tblProduction[[#This Row],[Date]]="","",IF(N(tblProduction[[#This Row],[Production value]])&gt;0,tblProduction[[#This Row],[Net scrap cost]]/tblProduction[[#This Row],[Production value]],""))</f>
        <v>0.0150598086124402</v>
      </c>
      <c r="L99" s="47">
        <f>IF(tblProduction[[#This Row],[Date]]="","",IF(tblProduction[[#This Row],[Produced]]-tblProduction[[#This Row],[Scrapped]]&gt;0,tblProduction[[#This Row],[Net scrap cost]]/(tblProduction[[#This Row],[Produced]]-tblProduction[[#This Row],[Scrapped]]),""))</f>
        <v>0.295078125</v>
      </c>
      <c r="M99" s="41">
        <f>IF(tblProduction[[#This Row],[Date]]="","",IF(AND(tblProduction[[#This Row],[Date]]&gt;=FFrom,tblProduction[[#This Row],[Date]]&lt;=FTo,OR(DashPart="",tblProduction[[#This Row],[Part]]=DashPart)),tblProduction[[#This Row],[Date]],""))</f>
        <v>46289</v>
      </c>
      <c r="N99"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99" s="43" t="s">
        <v>139</v>
      </c>
    </row>
    <row r="100" spans="2:15">
      <c r="B100" s="36">
        <v>46289</v>
      </c>
      <c r="C100" s="28" t="s">
        <v>89</v>
      </c>
      <c r="D100" s="37">
        <v>280</v>
      </c>
      <c r="E100" s="38">
        <f>IF(tblProduction[[#This Row],[Date]]="","",IFERROR(INDEX(tblParts[Standard cost],MATCH(tblProduction[[#This Row],[Part]],tblParts[Part],0)),""))</f>
        <v>26</v>
      </c>
      <c r="F100" s="44">
        <f>IF(tblProduction[[#This Row],[Date]]="","",IF(tblProduction[[#This Row],[Standard cost]]="","",tblProduction[[#This Row],[Produced]]*tblProduction[[#This Row],[Standard cost]]))</f>
        <v>7280</v>
      </c>
      <c r="G100" s="44">
        <f>IF(tblProduction[[#This Row],[Date]]="","",SUMIFS(tblScrap[Scrapped],tblScrap[Date],tblProduction[[#This Row],[Date]],tblScrap[Part],tblProduction[[#This Row],[Part]]))</f>
        <v>3</v>
      </c>
      <c r="H100" s="38">
        <f>IF(tblProduction[[#This Row],[Date]]="","",SUMIFS(tblScrap[Net scrap cost],tblScrap[Date],tblProduction[[#This Row],[Date]],tblScrap[Part],tblProduction[[#This Row],[Part]]))</f>
        <v>65.97</v>
      </c>
      <c r="I100" s="45">
        <f>IF(tblProduction[[#This Row],[Date]]="","",IF(tblProduction[[#This Row],[Produced]]&gt;0,tblProduction[[#This Row],[Scrapped]]/tblProduction[[#This Row],[Produced]],""))</f>
        <v>0.0107142857142857</v>
      </c>
      <c r="J100" s="46" t="str">
        <f>IF(NOT(ISNUMBER(tblProduction[[#This Row],[Scrap rate]])),"",IF(tblProduction[[#This Row],[Scrap rate]]&lt;=TargetRate,"On target",IF(tblProduction[[#This Row],[Scrap rate]]&lt;=TargetRate*(1+0.05),"Near target","Above target")))</f>
        <v>On target</v>
      </c>
      <c r="K100" s="45">
        <f>IF(tblProduction[[#This Row],[Date]]="","",IF(N(tblProduction[[#This Row],[Production value]])&gt;0,tblProduction[[#This Row],[Net scrap cost]]/tblProduction[[#This Row],[Production value]],""))</f>
        <v>0.00906181318681319</v>
      </c>
      <c r="L100" s="47">
        <f>IF(tblProduction[[#This Row],[Date]]="","",IF(tblProduction[[#This Row],[Produced]]-tblProduction[[#This Row],[Scrapped]]&gt;0,tblProduction[[#This Row],[Net scrap cost]]/(tblProduction[[#This Row],[Produced]]-tblProduction[[#This Row],[Scrapped]]),""))</f>
        <v>0.238158844765343</v>
      </c>
      <c r="M100" s="41">
        <f>IF(tblProduction[[#This Row],[Date]]="","",IF(AND(tblProduction[[#This Row],[Date]]&gt;=FFrom,tblProduction[[#This Row],[Date]]&lt;=FTo,OR(DashPart="",tblProduction[[#This Row],[Part]]=DashPart)),tblProduction[[#This Row],[Date]],""))</f>
        <v>46289</v>
      </c>
      <c r="N100"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00" s="43" t="s">
        <v>139</v>
      </c>
    </row>
    <row r="101" spans="2:15">
      <c r="B101" s="36">
        <v>46289</v>
      </c>
      <c r="C101" s="28" t="s">
        <v>91</v>
      </c>
      <c r="D101" s="37">
        <v>870</v>
      </c>
      <c r="E101" s="38">
        <f>IF(tblProduction[[#This Row],[Date]]="","",IFERROR(INDEX(tblParts[Standard cost],MATCH(tblProduction[[#This Row],[Part]],tblParts[Part],0)),""))</f>
        <v>5.35</v>
      </c>
      <c r="F101" s="44">
        <f>IF(tblProduction[[#This Row],[Date]]="","",IF(tblProduction[[#This Row],[Standard cost]]="","",tblProduction[[#This Row],[Produced]]*tblProduction[[#This Row],[Standard cost]]))</f>
        <v>4654.5</v>
      </c>
      <c r="G101" s="44">
        <f>IF(tblProduction[[#This Row],[Date]]="","",SUMIFS(tblScrap[Scrapped],tblScrap[Date],tblProduction[[#This Row],[Date]],tblScrap[Part],tblProduction[[#This Row],[Part]]))</f>
        <v>14</v>
      </c>
      <c r="H101" s="38">
        <f>IF(tblProduction[[#This Row],[Date]]="","",SUMIFS(tblScrap[Net scrap cost],tblScrap[Date],tblProduction[[#This Row],[Date]],tblScrap[Part],tblProduction[[#This Row],[Part]]))</f>
        <v>61.182</v>
      </c>
      <c r="I101" s="45">
        <f>IF(tblProduction[[#This Row],[Date]]="","",IF(tblProduction[[#This Row],[Produced]]&gt;0,tblProduction[[#This Row],[Scrapped]]/tblProduction[[#This Row],[Produced]],""))</f>
        <v>0.0160919540229885</v>
      </c>
      <c r="J101" s="46" t="str">
        <f>IF(NOT(ISNUMBER(tblProduction[[#This Row],[Scrap rate]])),"",IF(tblProduction[[#This Row],[Scrap rate]]&lt;=TargetRate,"On target",IF(tblProduction[[#This Row],[Scrap rate]]&lt;=TargetRate*(1+0.05),"Near target","Above target")))</f>
        <v>On target</v>
      </c>
      <c r="K101" s="45">
        <f>IF(tblProduction[[#This Row],[Date]]="","",IF(N(tblProduction[[#This Row],[Production value]])&gt;0,tblProduction[[#This Row],[Net scrap cost]]/tblProduction[[#This Row],[Production value]],""))</f>
        <v>0.013144698678698</v>
      </c>
      <c r="L101" s="47">
        <f>IF(tblProduction[[#This Row],[Date]]="","",IF(tblProduction[[#This Row],[Produced]]-tblProduction[[#This Row],[Scrapped]]&gt;0,tblProduction[[#This Row],[Net scrap cost]]/(tblProduction[[#This Row],[Produced]]-tblProduction[[#This Row],[Scrapped]]),""))</f>
        <v>0.0714742990654206</v>
      </c>
      <c r="M101" s="41">
        <f>IF(tblProduction[[#This Row],[Date]]="","",IF(AND(tblProduction[[#This Row],[Date]]&gt;=FFrom,tblProduction[[#This Row],[Date]]&lt;=FTo,OR(DashPart="",tblProduction[[#This Row],[Part]]=DashPart)),tblProduction[[#This Row],[Date]],""))</f>
        <v>46289</v>
      </c>
      <c r="N101"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01" s="43" t="s">
        <v>139</v>
      </c>
    </row>
    <row r="102" spans="2:15">
      <c r="B102" s="36">
        <v>46289</v>
      </c>
      <c r="C102" s="28" t="s">
        <v>93</v>
      </c>
      <c r="D102" s="37">
        <v>570</v>
      </c>
      <c r="E102" s="38">
        <f>IF(tblProduction[[#This Row],[Date]]="","",IFERROR(INDEX(tblParts[Standard cost],MATCH(tblProduction[[#This Row],[Part]],tblParts[Part],0)),""))</f>
        <v>11.35</v>
      </c>
      <c r="F102" s="44">
        <f>IF(tblProduction[[#This Row],[Date]]="","",IF(tblProduction[[#This Row],[Standard cost]]="","",tblProduction[[#This Row],[Produced]]*tblProduction[[#This Row],[Standard cost]]))</f>
        <v>6469.5</v>
      </c>
      <c r="G102" s="44">
        <f>IF(tblProduction[[#This Row],[Date]]="","",SUMIFS(tblScrap[Scrapped],tblScrap[Date],tblProduction[[#This Row],[Date]],tblScrap[Part],tblProduction[[#This Row],[Part]]))</f>
        <v>0</v>
      </c>
      <c r="H102" s="38">
        <f>IF(tblProduction[[#This Row],[Date]]="","",SUMIFS(tblScrap[Net scrap cost],tblScrap[Date],tblProduction[[#This Row],[Date]],tblScrap[Part],tblProduction[[#This Row],[Part]]))</f>
        <v>0</v>
      </c>
      <c r="I102" s="45">
        <f>IF(tblProduction[[#This Row],[Date]]="","",IF(tblProduction[[#This Row],[Produced]]&gt;0,tblProduction[[#This Row],[Scrapped]]/tblProduction[[#This Row],[Produced]],""))</f>
        <v>0</v>
      </c>
      <c r="J102" s="46" t="str">
        <f>IF(NOT(ISNUMBER(tblProduction[[#This Row],[Scrap rate]])),"",IF(tblProduction[[#This Row],[Scrap rate]]&lt;=TargetRate,"On target",IF(tblProduction[[#This Row],[Scrap rate]]&lt;=TargetRate*(1+0.05),"Near target","Above target")))</f>
        <v>On target</v>
      </c>
      <c r="K102" s="45">
        <f>IF(tblProduction[[#This Row],[Date]]="","",IF(N(tblProduction[[#This Row],[Production value]])&gt;0,tblProduction[[#This Row],[Net scrap cost]]/tblProduction[[#This Row],[Production value]],""))</f>
        <v>0</v>
      </c>
      <c r="L102" s="47">
        <f>IF(tblProduction[[#This Row],[Date]]="","",IF(tblProduction[[#This Row],[Produced]]-tblProduction[[#This Row],[Scrapped]]&gt;0,tblProduction[[#This Row],[Net scrap cost]]/(tblProduction[[#This Row],[Produced]]-tblProduction[[#This Row],[Scrapped]]),""))</f>
        <v>0</v>
      </c>
      <c r="M102" s="41">
        <f>IF(tblProduction[[#This Row],[Date]]="","",IF(AND(tblProduction[[#This Row],[Date]]&gt;=FFrom,tblProduction[[#This Row],[Date]]&lt;=FTo,OR(DashPart="",tblProduction[[#This Row],[Part]]=DashPart)),tblProduction[[#This Row],[Date]],""))</f>
        <v>46289</v>
      </c>
      <c r="N102"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02" s="43" t="s">
        <v>139</v>
      </c>
    </row>
    <row r="103" spans="2:15">
      <c r="B103" s="36">
        <v>46290</v>
      </c>
      <c r="C103" s="28" t="s">
        <v>87</v>
      </c>
      <c r="D103" s="37">
        <v>310</v>
      </c>
      <c r="E103" s="38">
        <f>IF(tblProduction[[#This Row],[Date]]="","",IFERROR(INDEX(tblParts[Standard cost],MATCH(tblProduction[[#This Row],[Part]],tblParts[Part],0)),""))</f>
        <v>19</v>
      </c>
      <c r="F103" s="44">
        <f>IF(tblProduction[[#This Row],[Date]]="","",IF(tblProduction[[#This Row],[Standard cost]]="","",tblProduction[[#This Row],[Produced]]*tblProduction[[#This Row],[Standard cost]]))</f>
        <v>5890</v>
      </c>
      <c r="G103" s="44">
        <f>IF(tblProduction[[#This Row],[Date]]="","",SUMIFS(tblScrap[Scrapped],tblScrap[Date],tblProduction[[#This Row],[Date]],tblScrap[Part],tblProduction[[#This Row],[Part]]))</f>
        <v>9</v>
      </c>
      <c r="H103" s="38">
        <f>IF(tblProduction[[#This Row],[Date]]="","",SUMIFS(tblScrap[Net scrap cost],tblScrap[Date],tblProduction[[#This Row],[Date]],tblScrap[Part],tblProduction[[#This Row],[Part]]))</f>
        <v>70.2225</v>
      </c>
      <c r="I103" s="45">
        <f>IF(tblProduction[[#This Row],[Date]]="","",IF(tblProduction[[#This Row],[Produced]]&gt;0,tblProduction[[#This Row],[Scrapped]]/tblProduction[[#This Row],[Produced]],""))</f>
        <v>0.0290322580645161</v>
      </c>
      <c r="J103" s="46" t="str">
        <f>IF(NOT(ISNUMBER(tblProduction[[#This Row],[Scrap rate]])),"",IF(tblProduction[[#This Row],[Scrap rate]]&lt;=TargetRate,"On target",IF(tblProduction[[#This Row],[Scrap rate]]&lt;=TargetRate*(1+0.05),"Near target","Above target")))</f>
        <v>Above target</v>
      </c>
      <c r="K103" s="45">
        <f>IF(tblProduction[[#This Row],[Date]]="","",IF(N(tblProduction[[#This Row],[Production value]])&gt;0,tblProduction[[#This Row],[Net scrap cost]]/tblProduction[[#This Row],[Production value]],""))</f>
        <v>0.0119223259762309</v>
      </c>
      <c r="L103" s="47">
        <f>IF(tblProduction[[#This Row],[Date]]="","",IF(tblProduction[[#This Row],[Produced]]-tblProduction[[#This Row],[Scrapped]]&gt;0,tblProduction[[#This Row],[Net scrap cost]]/(tblProduction[[#This Row],[Produced]]-tblProduction[[#This Row],[Scrapped]]),""))</f>
        <v>0.233297342192691</v>
      </c>
      <c r="M103" s="41">
        <f>IF(tblProduction[[#This Row],[Date]]="","",IF(AND(tblProduction[[#This Row],[Date]]&gt;=FFrom,tblProduction[[#This Row],[Date]]&lt;=FTo,OR(DashPart="",tblProduction[[#This Row],[Part]]=DashPart)),tblProduction[[#This Row],[Date]],""))</f>
        <v>46290</v>
      </c>
      <c r="N103"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03" s="43" t="s">
        <v>139</v>
      </c>
    </row>
    <row r="104" spans="2:15">
      <c r="B104" s="36">
        <v>46290</v>
      </c>
      <c r="C104" s="28" t="s">
        <v>89</v>
      </c>
      <c r="D104" s="37">
        <v>260</v>
      </c>
      <c r="E104" s="38">
        <f>IF(tblProduction[[#This Row],[Date]]="","",IFERROR(INDEX(tblParts[Standard cost],MATCH(tblProduction[[#This Row],[Part]],tblParts[Part],0)),""))</f>
        <v>26</v>
      </c>
      <c r="F104" s="44">
        <f>IF(tblProduction[[#This Row],[Date]]="","",IF(tblProduction[[#This Row],[Standard cost]]="","",tblProduction[[#This Row],[Produced]]*tblProduction[[#This Row],[Standard cost]]))</f>
        <v>6760</v>
      </c>
      <c r="G104" s="44">
        <f>IF(tblProduction[[#This Row],[Date]]="","",SUMIFS(tblScrap[Scrapped],tblScrap[Date],tblProduction[[#This Row],[Date]],tblScrap[Part],tblProduction[[#This Row],[Part]]))</f>
        <v>4</v>
      </c>
      <c r="H104" s="38">
        <f>IF(tblProduction[[#This Row],[Date]]="","",SUMIFS(tblScrap[Net scrap cost],tblScrap[Date],tblProduction[[#This Row],[Date]],tblScrap[Part],tblProduction[[#This Row],[Part]]))</f>
        <v>77.56</v>
      </c>
      <c r="I104" s="45">
        <f>IF(tblProduction[[#This Row],[Date]]="","",IF(tblProduction[[#This Row],[Produced]]&gt;0,tblProduction[[#This Row],[Scrapped]]/tblProduction[[#This Row],[Produced]],""))</f>
        <v>0.0153846153846154</v>
      </c>
      <c r="J104" s="46" t="str">
        <f>IF(NOT(ISNUMBER(tblProduction[[#This Row],[Scrap rate]])),"",IF(tblProduction[[#This Row],[Scrap rate]]&lt;=TargetRate,"On target",IF(tblProduction[[#This Row],[Scrap rate]]&lt;=TargetRate*(1+0.05),"Near target","Above target")))</f>
        <v>On target</v>
      </c>
      <c r="K104" s="45">
        <f>IF(tblProduction[[#This Row],[Date]]="","",IF(N(tblProduction[[#This Row],[Production value]])&gt;0,tblProduction[[#This Row],[Net scrap cost]]/tblProduction[[#This Row],[Production value]],""))</f>
        <v>0.0114733727810651</v>
      </c>
      <c r="L104" s="47">
        <f>IF(tblProduction[[#This Row],[Date]]="","",IF(tblProduction[[#This Row],[Produced]]-tblProduction[[#This Row],[Scrapped]]&gt;0,tblProduction[[#This Row],[Net scrap cost]]/(tblProduction[[#This Row],[Produced]]-tblProduction[[#This Row],[Scrapped]]),""))</f>
        <v>0.30296875</v>
      </c>
      <c r="M104" s="41">
        <f>IF(tblProduction[[#This Row],[Date]]="","",IF(AND(tblProduction[[#This Row],[Date]]&gt;=FFrom,tblProduction[[#This Row],[Date]]&lt;=FTo,OR(DashPart="",tblProduction[[#This Row],[Part]]=DashPart)),tblProduction[[#This Row],[Date]],""))</f>
        <v>46290</v>
      </c>
      <c r="N104"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04" s="43" t="s">
        <v>139</v>
      </c>
    </row>
    <row r="105" spans="2:15">
      <c r="B105" s="36">
        <v>46290</v>
      </c>
      <c r="C105" s="28" t="s">
        <v>91</v>
      </c>
      <c r="D105" s="37">
        <v>800</v>
      </c>
      <c r="E105" s="38">
        <f>IF(tblProduction[[#This Row],[Date]]="","",IFERROR(INDEX(tblParts[Standard cost],MATCH(tblProduction[[#This Row],[Part]],tblParts[Part],0)),""))</f>
        <v>5.35</v>
      </c>
      <c r="F105" s="44">
        <f>IF(tblProduction[[#This Row],[Date]]="","",IF(tblProduction[[#This Row],[Standard cost]]="","",tblProduction[[#This Row],[Produced]]*tblProduction[[#This Row],[Standard cost]]))</f>
        <v>4280</v>
      </c>
      <c r="G105" s="44">
        <f>IF(tblProduction[[#This Row],[Date]]="","",SUMIFS(tblScrap[Scrapped],tblScrap[Date],tblProduction[[#This Row],[Date]],tblScrap[Part],tblProduction[[#This Row],[Part]]))</f>
        <v>26</v>
      </c>
      <c r="H105" s="38">
        <f>IF(tblProduction[[#This Row],[Date]]="","",SUMIFS(tblScrap[Net scrap cost],tblScrap[Date],tblProduction[[#This Row],[Date]],tblScrap[Part],tblProduction[[#This Row],[Part]]))</f>
        <v>79.738</v>
      </c>
      <c r="I105" s="45">
        <f>IF(tblProduction[[#This Row],[Date]]="","",IF(tblProduction[[#This Row],[Produced]]&gt;0,tblProduction[[#This Row],[Scrapped]]/tblProduction[[#This Row],[Produced]],""))</f>
        <v>0.0325</v>
      </c>
      <c r="J105" s="46" t="str">
        <f>IF(NOT(ISNUMBER(tblProduction[[#This Row],[Scrap rate]])),"",IF(tblProduction[[#This Row],[Scrap rate]]&lt;=TargetRate,"On target",IF(tblProduction[[#This Row],[Scrap rate]]&lt;=TargetRate*(1+0.05),"Near target","Above target")))</f>
        <v>Above target</v>
      </c>
      <c r="K105" s="45">
        <f>IF(tblProduction[[#This Row],[Date]]="","",IF(N(tblProduction[[#This Row],[Production value]])&gt;0,tblProduction[[#This Row],[Net scrap cost]]/tblProduction[[#This Row],[Production value]],""))</f>
        <v>0.0186303738317757</v>
      </c>
      <c r="L105" s="47">
        <f>IF(tblProduction[[#This Row],[Date]]="","",IF(tblProduction[[#This Row],[Produced]]-tblProduction[[#This Row],[Scrapped]]&gt;0,tblProduction[[#This Row],[Net scrap cost]]/(tblProduction[[#This Row],[Produced]]-tblProduction[[#This Row],[Scrapped]]),""))</f>
        <v>0.103020671834625</v>
      </c>
      <c r="M105" s="41">
        <f>IF(tblProduction[[#This Row],[Date]]="","",IF(AND(tblProduction[[#This Row],[Date]]&gt;=FFrom,tblProduction[[#This Row],[Date]]&lt;=FTo,OR(DashPart="",tblProduction[[#This Row],[Part]]=DashPart)),tblProduction[[#This Row],[Date]],""))</f>
        <v>46290</v>
      </c>
      <c r="N105"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05" s="43" t="s">
        <v>139</v>
      </c>
    </row>
    <row r="106" spans="2:15">
      <c r="B106" s="36">
        <v>46290</v>
      </c>
      <c r="C106" s="28" t="s">
        <v>93</v>
      </c>
      <c r="D106" s="37">
        <v>490</v>
      </c>
      <c r="E106" s="38">
        <f>IF(tblProduction[[#This Row],[Date]]="","",IFERROR(INDEX(tblParts[Standard cost],MATCH(tblProduction[[#This Row],[Part]],tblParts[Part],0)),""))</f>
        <v>11.35</v>
      </c>
      <c r="F106" s="44">
        <f>IF(tblProduction[[#This Row],[Date]]="","",IF(tblProduction[[#This Row],[Standard cost]]="","",tblProduction[[#This Row],[Produced]]*tblProduction[[#This Row],[Standard cost]]))</f>
        <v>5561.5</v>
      </c>
      <c r="G106" s="44">
        <f>IF(tblProduction[[#This Row],[Date]]="","",SUMIFS(tblScrap[Scrapped],tblScrap[Date],tblProduction[[#This Row],[Date]],tblScrap[Part],tblProduction[[#This Row],[Part]]))</f>
        <v>0</v>
      </c>
      <c r="H106" s="38">
        <f>IF(tblProduction[[#This Row],[Date]]="","",SUMIFS(tblScrap[Net scrap cost],tblScrap[Date],tblProduction[[#This Row],[Date]],tblScrap[Part],tblProduction[[#This Row],[Part]]))</f>
        <v>0</v>
      </c>
      <c r="I106" s="45">
        <f>IF(tblProduction[[#This Row],[Date]]="","",IF(tblProduction[[#This Row],[Produced]]&gt;0,tblProduction[[#This Row],[Scrapped]]/tblProduction[[#This Row],[Produced]],""))</f>
        <v>0</v>
      </c>
      <c r="J106" s="46" t="str">
        <f>IF(NOT(ISNUMBER(tblProduction[[#This Row],[Scrap rate]])),"",IF(tblProduction[[#This Row],[Scrap rate]]&lt;=TargetRate,"On target",IF(tblProduction[[#This Row],[Scrap rate]]&lt;=TargetRate*(1+0.05),"Near target","Above target")))</f>
        <v>On target</v>
      </c>
      <c r="K106" s="45">
        <f>IF(tblProduction[[#This Row],[Date]]="","",IF(N(tblProduction[[#This Row],[Production value]])&gt;0,tblProduction[[#This Row],[Net scrap cost]]/tblProduction[[#This Row],[Production value]],""))</f>
        <v>0</v>
      </c>
      <c r="L106" s="47">
        <f>IF(tblProduction[[#This Row],[Date]]="","",IF(tblProduction[[#This Row],[Produced]]-tblProduction[[#This Row],[Scrapped]]&gt;0,tblProduction[[#This Row],[Net scrap cost]]/(tblProduction[[#This Row],[Produced]]-tblProduction[[#This Row],[Scrapped]]),""))</f>
        <v>0</v>
      </c>
      <c r="M106" s="41">
        <f>IF(tblProduction[[#This Row],[Date]]="","",IF(AND(tblProduction[[#This Row],[Date]]&gt;=FFrom,tblProduction[[#This Row],[Date]]&lt;=FTo,OR(DashPart="",tblProduction[[#This Row],[Part]]=DashPart)),tblProduction[[#This Row],[Date]],""))</f>
        <v>46290</v>
      </c>
      <c r="N106"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06" s="43" t="s">
        <v>139</v>
      </c>
    </row>
    <row r="107" spans="2:15">
      <c r="B107" s="36">
        <v>46293</v>
      </c>
      <c r="C107" s="28" t="s">
        <v>87</v>
      </c>
      <c r="D107" s="37">
        <v>300</v>
      </c>
      <c r="E107" s="38">
        <f>IF(tblProduction[[#This Row],[Date]]="","",IFERROR(INDEX(tblParts[Standard cost],MATCH(tblProduction[[#This Row],[Part]],tblParts[Part],0)),""))</f>
        <v>19</v>
      </c>
      <c r="F107" s="44">
        <f>IF(tblProduction[[#This Row],[Date]]="","",IF(tblProduction[[#This Row],[Standard cost]]="","",tblProduction[[#This Row],[Produced]]*tblProduction[[#This Row],[Standard cost]]))</f>
        <v>5700</v>
      </c>
      <c r="G107" s="44">
        <f>IF(tblProduction[[#This Row],[Date]]="","",SUMIFS(tblScrap[Scrapped],tblScrap[Date],tblProduction[[#This Row],[Date]],tblScrap[Part],tblProduction[[#This Row],[Part]]))</f>
        <v>4</v>
      </c>
      <c r="H107" s="38">
        <f>IF(tblProduction[[#This Row],[Date]]="","",SUMIFS(tblScrap[Net scrap cost],tblScrap[Date],tblProduction[[#This Row],[Date]],tblScrap[Part],tblProduction[[#This Row],[Part]]))</f>
        <v>64.01</v>
      </c>
      <c r="I107" s="45">
        <f>IF(tblProduction[[#This Row],[Date]]="","",IF(tblProduction[[#This Row],[Produced]]&gt;0,tblProduction[[#This Row],[Scrapped]]/tblProduction[[#This Row],[Produced]],""))</f>
        <v>0.0133333333333333</v>
      </c>
      <c r="J107" s="46" t="str">
        <f>IF(NOT(ISNUMBER(tblProduction[[#This Row],[Scrap rate]])),"",IF(tblProduction[[#This Row],[Scrap rate]]&lt;=TargetRate,"On target",IF(tblProduction[[#This Row],[Scrap rate]]&lt;=TargetRate*(1+0.05),"Near target","Above target")))</f>
        <v>On target</v>
      </c>
      <c r="K107" s="45">
        <f>IF(tblProduction[[#This Row],[Date]]="","",IF(N(tblProduction[[#This Row],[Production value]])&gt;0,tblProduction[[#This Row],[Net scrap cost]]/tblProduction[[#This Row],[Production value]],""))</f>
        <v>0.0112298245614035</v>
      </c>
      <c r="L107" s="47">
        <f>IF(tblProduction[[#This Row],[Date]]="","",IF(tblProduction[[#This Row],[Produced]]-tblProduction[[#This Row],[Scrapped]]&gt;0,tblProduction[[#This Row],[Net scrap cost]]/(tblProduction[[#This Row],[Produced]]-tblProduction[[#This Row],[Scrapped]]),""))</f>
        <v>0.21625</v>
      </c>
      <c r="M107" s="41">
        <f>IF(tblProduction[[#This Row],[Date]]="","",IF(AND(tblProduction[[#This Row],[Date]]&gt;=FFrom,tblProduction[[#This Row],[Date]]&lt;=FTo,OR(DashPart="",tblProduction[[#This Row],[Part]]=DashPart)),tblProduction[[#This Row],[Date]],""))</f>
        <v>46293</v>
      </c>
      <c r="N107"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07" s="43" t="s">
        <v>139</v>
      </c>
    </row>
    <row r="108" spans="2:15">
      <c r="B108" s="36">
        <v>46293</v>
      </c>
      <c r="C108" s="28" t="s">
        <v>89</v>
      </c>
      <c r="D108" s="37">
        <v>280</v>
      </c>
      <c r="E108" s="38">
        <f>IF(tblProduction[[#This Row],[Date]]="","",IFERROR(INDEX(tblParts[Standard cost],MATCH(tblProduction[[#This Row],[Part]],tblParts[Part],0)),""))</f>
        <v>26</v>
      </c>
      <c r="F108" s="44">
        <f>IF(tblProduction[[#This Row],[Date]]="","",IF(tblProduction[[#This Row],[Standard cost]]="","",tblProduction[[#This Row],[Produced]]*tblProduction[[#This Row],[Standard cost]]))</f>
        <v>7280</v>
      </c>
      <c r="G108" s="44">
        <f>IF(tblProduction[[#This Row],[Date]]="","",SUMIFS(tblScrap[Scrapped],tblScrap[Date],tblProduction[[#This Row],[Date]],tblScrap[Part],tblProduction[[#This Row],[Part]]))</f>
        <v>0</v>
      </c>
      <c r="H108" s="38">
        <f>IF(tblProduction[[#This Row],[Date]]="","",SUMIFS(tblScrap[Net scrap cost],tblScrap[Date],tblProduction[[#This Row],[Date]],tblScrap[Part],tblProduction[[#This Row],[Part]]))</f>
        <v>0</v>
      </c>
      <c r="I108" s="45">
        <f>IF(tblProduction[[#This Row],[Date]]="","",IF(tblProduction[[#This Row],[Produced]]&gt;0,tblProduction[[#This Row],[Scrapped]]/tblProduction[[#This Row],[Produced]],""))</f>
        <v>0</v>
      </c>
      <c r="J108" s="46" t="str">
        <f>IF(NOT(ISNUMBER(tblProduction[[#This Row],[Scrap rate]])),"",IF(tblProduction[[#This Row],[Scrap rate]]&lt;=TargetRate,"On target",IF(tblProduction[[#This Row],[Scrap rate]]&lt;=TargetRate*(1+0.05),"Near target","Above target")))</f>
        <v>On target</v>
      </c>
      <c r="K108" s="45">
        <f>IF(tblProduction[[#This Row],[Date]]="","",IF(N(tblProduction[[#This Row],[Production value]])&gt;0,tblProduction[[#This Row],[Net scrap cost]]/tblProduction[[#This Row],[Production value]],""))</f>
        <v>0</v>
      </c>
      <c r="L108" s="47">
        <f>IF(tblProduction[[#This Row],[Date]]="","",IF(tblProduction[[#This Row],[Produced]]-tblProduction[[#This Row],[Scrapped]]&gt;0,tblProduction[[#This Row],[Net scrap cost]]/(tblProduction[[#This Row],[Produced]]-tblProduction[[#This Row],[Scrapped]]),""))</f>
        <v>0</v>
      </c>
      <c r="M108" s="41">
        <f>IF(tblProduction[[#This Row],[Date]]="","",IF(AND(tblProduction[[#This Row],[Date]]&gt;=FFrom,tblProduction[[#This Row],[Date]]&lt;=FTo,OR(DashPart="",tblProduction[[#This Row],[Part]]=DashPart)),tblProduction[[#This Row],[Date]],""))</f>
        <v>46293</v>
      </c>
      <c r="N108"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08" s="43" t="s">
        <v>139</v>
      </c>
    </row>
    <row r="109" spans="2:15">
      <c r="B109" s="36">
        <v>46293</v>
      </c>
      <c r="C109" s="28" t="s">
        <v>91</v>
      </c>
      <c r="D109" s="37">
        <v>870</v>
      </c>
      <c r="E109" s="38">
        <f>IF(tblProduction[[#This Row],[Date]]="","",IFERROR(INDEX(tblParts[Standard cost],MATCH(tblProduction[[#This Row],[Part]],tblParts[Part],0)),""))</f>
        <v>5.35</v>
      </c>
      <c r="F109" s="44">
        <f>IF(tblProduction[[#This Row],[Date]]="","",IF(tblProduction[[#This Row],[Standard cost]]="","",tblProduction[[#This Row],[Produced]]*tblProduction[[#This Row],[Standard cost]]))</f>
        <v>4654.5</v>
      </c>
      <c r="G109" s="44">
        <f>IF(tblProduction[[#This Row],[Date]]="","",SUMIFS(tblScrap[Scrapped],tblScrap[Date],tblProduction[[#This Row],[Date]],tblScrap[Part],tblProduction[[#This Row],[Part]]))</f>
        <v>22</v>
      </c>
      <c r="H109" s="38">
        <f>IF(tblProduction[[#This Row],[Date]]="","",SUMIFS(tblScrap[Net scrap cost],tblScrap[Date],tblProduction[[#This Row],[Date]],tblScrap[Part],tblProduction[[#This Row],[Part]]))</f>
        <v>61.286</v>
      </c>
      <c r="I109" s="45">
        <f>IF(tblProduction[[#This Row],[Date]]="","",IF(tblProduction[[#This Row],[Produced]]&gt;0,tblProduction[[#This Row],[Scrapped]]/tblProduction[[#This Row],[Produced]],""))</f>
        <v>0.0252873563218391</v>
      </c>
      <c r="J109" s="46" t="str">
        <f>IF(NOT(ISNUMBER(tblProduction[[#This Row],[Scrap rate]])),"",IF(tblProduction[[#This Row],[Scrap rate]]&lt;=TargetRate,"On target",IF(tblProduction[[#This Row],[Scrap rate]]&lt;=TargetRate*(1+0.05),"Near target","Above target")))</f>
        <v>Above target</v>
      </c>
      <c r="K109" s="45">
        <f>IF(tblProduction[[#This Row],[Date]]="","",IF(N(tblProduction[[#This Row],[Production value]])&gt;0,tblProduction[[#This Row],[Net scrap cost]]/tblProduction[[#This Row],[Production value]],""))</f>
        <v>0.0131670426469008</v>
      </c>
      <c r="L109" s="47">
        <f>IF(tblProduction[[#This Row],[Date]]="","",IF(tblProduction[[#This Row],[Produced]]-tblProduction[[#This Row],[Scrapped]]&gt;0,tblProduction[[#This Row],[Net scrap cost]]/(tblProduction[[#This Row],[Produced]]-tblProduction[[#This Row],[Scrapped]]),""))</f>
        <v>0.0722712264150943</v>
      </c>
      <c r="M109" s="41">
        <f>IF(tblProduction[[#This Row],[Date]]="","",IF(AND(tblProduction[[#This Row],[Date]]&gt;=FFrom,tblProduction[[#This Row],[Date]]&lt;=FTo,OR(DashPart="",tblProduction[[#This Row],[Part]]=DashPart)),tblProduction[[#This Row],[Date]],""))</f>
        <v>46293</v>
      </c>
      <c r="N109"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09" s="43" t="s">
        <v>139</v>
      </c>
    </row>
    <row r="110" spans="2:15">
      <c r="B110" s="36">
        <v>46293</v>
      </c>
      <c r="C110" s="28" t="s">
        <v>93</v>
      </c>
      <c r="D110" s="37">
        <v>580</v>
      </c>
      <c r="E110" s="38">
        <f>IF(tblProduction[[#This Row],[Date]]="","",IFERROR(INDEX(tblParts[Standard cost],MATCH(tblProduction[[#This Row],[Part]],tblParts[Part],0)),""))</f>
        <v>11.35</v>
      </c>
      <c r="F110" s="44">
        <f>IF(tblProduction[[#This Row],[Date]]="","",IF(tblProduction[[#This Row],[Standard cost]]="","",tblProduction[[#This Row],[Produced]]*tblProduction[[#This Row],[Standard cost]]))</f>
        <v>6583</v>
      </c>
      <c r="G110" s="44">
        <f>IF(tblProduction[[#This Row],[Date]]="","",SUMIFS(tblScrap[Scrapped],tblScrap[Date],tblProduction[[#This Row],[Date]],tblScrap[Part],tblProduction[[#This Row],[Part]]))</f>
        <v>0</v>
      </c>
      <c r="H110" s="38">
        <f>IF(tblProduction[[#This Row],[Date]]="","",SUMIFS(tblScrap[Net scrap cost],tblScrap[Date],tblProduction[[#This Row],[Date]],tblScrap[Part],tblProduction[[#This Row],[Part]]))</f>
        <v>0</v>
      </c>
      <c r="I110" s="45">
        <f>IF(tblProduction[[#This Row],[Date]]="","",IF(tblProduction[[#This Row],[Produced]]&gt;0,tblProduction[[#This Row],[Scrapped]]/tblProduction[[#This Row],[Produced]],""))</f>
        <v>0</v>
      </c>
      <c r="J110" s="46" t="str">
        <f>IF(NOT(ISNUMBER(tblProduction[[#This Row],[Scrap rate]])),"",IF(tblProduction[[#This Row],[Scrap rate]]&lt;=TargetRate,"On target",IF(tblProduction[[#This Row],[Scrap rate]]&lt;=TargetRate*(1+0.05),"Near target","Above target")))</f>
        <v>On target</v>
      </c>
      <c r="K110" s="45">
        <f>IF(tblProduction[[#This Row],[Date]]="","",IF(N(tblProduction[[#This Row],[Production value]])&gt;0,tblProduction[[#This Row],[Net scrap cost]]/tblProduction[[#This Row],[Production value]],""))</f>
        <v>0</v>
      </c>
      <c r="L110" s="47">
        <f>IF(tblProduction[[#This Row],[Date]]="","",IF(tblProduction[[#This Row],[Produced]]-tblProduction[[#This Row],[Scrapped]]&gt;0,tblProduction[[#This Row],[Net scrap cost]]/(tblProduction[[#This Row],[Produced]]-tblProduction[[#This Row],[Scrapped]]),""))</f>
        <v>0</v>
      </c>
      <c r="M110" s="41">
        <f>IF(tblProduction[[#This Row],[Date]]="","",IF(AND(tblProduction[[#This Row],[Date]]&gt;=FFrom,tblProduction[[#This Row],[Date]]&lt;=FTo,OR(DashPart="",tblProduction[[#This Row],[Part]]=DashPart)),tblProduction[[#This Row],[Date]],""))</f>
        <v>46293</v>
      </c>
      <c r="N110"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10" s="43" t="s">
        <v>139</v>
      </c>
    </row>
    <row r="111" spans="2:15">
      <c r="B111" s="36">
        <v>46294</v>
      </c>
      <c r="C111" s="28" t="s">
        <v>87</v>
      </c>
      <c r="D111" s="37">
        <v>310</v>
      </c>
      <c r="E111" s="38">
        <f>IF(tblProduction[[#This Row],[Date]]="","",IFERROR(INDEX(tblParts[Standard cost],MATCH(tblProduction[[#This Row],[Part]],tblParts[Part],0)),""))</f>
        <v>19</v>
      </c>
      <c r="F111" s="44">
        <f>IF(tblProduction[[#This Row],[Date]]="","",IF(tblProduction[[#This Row],[Standard cost]]="","",tblProduction[[#This Row],[Produced]]*tblProduction[[#This Row],[Standard cost]]))</f>
        <v>5890</v>
      </c>
      <c r="G111" s="44">
        <f>IF(tblProduction[[#This Row],[Date]]="","",SUMIFS(tblScrap[Scrapped],tblScrap[Date],tblProduction[[#This Row],[Date]],tblScrap[Part],tblProduction[[#This Row],[Part]]))</f>
        <v>0</v>
      </c>
      <c r="H111" s="38">
        <f>IF(tblProduction[[#This Row],[Date]]="","",SUMIFS(tblScrap[Net scrap cost],tblScrap[Date],tblProduction[[#This Row],[Date]],tblScrap[Part],tblProduction[[#This Row],[Part]]))</f>
        <v>0</v>
      </c>
      <c r="I111" s="45">
        <f>IF(tblProduction[[#This Row],[Date]]="","",IF(tblProduction[[#This Row],[Produced]]&gt;0,tblProduction[[#This Row],[Scrapped]]/tblProduction[[#This Row],[Produced]],""))</f>
        <v>0</v>
      </c>
      <c r="J111" s="46" t="str">
        <f>IF(NOT(ISNUMBER(tblProduction[[#This Row],[Scrap rate]])),"",IF(tblProduction[[#This Row],[Scrap rate]]&lt;=TargetRate,"On target",IF(tblProduction[[#This Row],[Scrap rate]]&lt;=TargetRate*(1+0.05),"Near target","Above target")))</f>
        <v>On target</v>
      </c>
      <c r="K111" s="45">
        <f>IF(tblProduction[[#This Row],[Date]]="","",IF(N(tblProduction[[#This Row],[Production value]])&gt;0,tblProduction[[#This Row],[Net scrap cost]]/tblProduction[[#This Row],[Production value]],""))</f>
        <v>0</v>
      </c>
      <c r="L111" s="47">
        <f>IF(tblProduction[[#This Row],[Date]]="","",IF(tblProduction[[#This Row],[Produced]]-tblProduction[[#This Row],[Scrapped]]&gt;0,tblProduction[[#This Row],[Net scrap cost]]/(tblProduction[[#This Row],[Produced]]-tblProduction[[#This Row],[Scrapped]]),""))</f>
        <v>0</v>
      </c>
      <c r="M111" s="41">
        <f>IF(tblProduction[[#This Row],[Date]]="","",IF(AND(tblProduction[[#This Row],[Date]]&gt;=FFrom,tblProduction[[#This Row],[Date]]&lt;=FTo,OR(DashPart="",tblProduction[[#This Row],[Part]]=DashPart)),tblProduction[[#This Row],[Date]],""))</f>
        <v>46294</v>
      </c>
      <c r="N111"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11" s="43" t="s">
        <v>139</v>
      </c>
    </row>
    <row r="112" spans="2:15">
      <c r="B112" s="36">
        <v>46294</v>
      </c>
      <c r="C112" s="28" t="s">
        <v>89</v>
      </c>
      <c r="D112" s="37">
        <v>250</v>
      </c>
      <c r="E112" s="38">
        <f>IF(tblProduction[[#This Row],[Date]]="","",IFERROR(INDEX(tblParts[Standard cost],MATCH(tblProduction[[#This Row],[Part]],tblParts[Part],0)),""))</f>
        <v>26</v>
      </c>
      <c r="F112" s="44">
        <f>IF(tblProduction[[#This Row],[Date]]="","",IF(tblProduction[[#This Row],[Standard cost]]="","",tblProduction[[#This Row],[Produced]]*tblProduction[[#This Row],[Standard cost]]))</f>
        <v>6500</v>
      </c>
      <c r="G112" s="44">
        <f>IF(tblProduction[[#This Row],[Date]]="","",SUMIFS(tblScrap[Scrapped],tblScrap[Date],tblProduction[[#This Row],[Date]],tblScrap[Part],tblProduction[[#This Row],[Part]]))</f>
        <v>9</v>
      </c>
      <c r="H112" s="38">
        <f>IF(tblProduction[[#This Row],[Date]]="","",SUMIFS(tblScrap[Net scrap cost],tblScrap[Date],tblProduction[[#This Row],[Date]],tblScrap[Part],tblProduction[[#This Row],[Part]]))</f>
        <v>140.41</v>
      </c>
      <c r="I112" s="45">
        <f>IF(tblProduction[[#This Row],[Date]]="","",IF(tblProduction[[#This Row],[Produced]]&gt;0,tblProduction[[#This Row],[Scrapped]]/tblProduction[[#This Row],[Produced]],""))</f>
        <v>0.036</v>
      </c>
      <c r="J112" s="46" t="str">
        <f>IF(NOT(ISNUMBER(tblProduction[[#This Row],[Scrap rate]])),"",IF(tblProduction[[#This Row],[Scrap rate]]&lt;=TargetRate,"On target",IF(tblProduction[[#This Row],[Scrap rate]]&lt;=TargetRate*(1+0.05),"Near target","Above target")))</f>
        <v>Above target</v>
      </c>
      <c r="K112" s="45">
        <f>IF(tblProduction[[#This Row],[Date]]="","",IF(N(tblProduction[[#This Row],[Production value]])&gt;0,tblProduction[[#This Row],[Net scrap cost]]/tblProduction[[#This Row],[Production value]],""))</f>
        <v>0.0216015384615385</v>
      </c>
      <c r="L112" s="47">
        <f>IF(tblProduction[[#This Row],[Date]]="","",IF(tblProduction[[#This Row],[Produced]]-tblProduction[[#This Row],[Scrapped]]&gt;0,tblProduction[[#This Row],[Net scrap cost]]/(tblProduction[[#This Row],[Produced]]-tblProduction[[#This Row],[Scrapped]]),""))</f>
        <v>0.582614107883817</v>
      </c>
      <c r="M112" s="41">
        <f>IF(tblProduction[[#This Row],[Date]]="","",IF(AND(tblProduction[[#This Row],[Date]]&gt;=FFrom,tblProduction[[#This Row],[Date]]&lt;=FTo,OR(DashPart="",tblProduction[[#This Row],[Part]]=DashPart)),tblProduction[[#This Row],[Date]],""))</f>
        <v>46294</v>
      </c>
      <c r="N112"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12" s="43" t="s">
        <v>139</v>
      </c>
    </row>
    <row r="113" spans="2:15">
      <c r="B113" s="36">
        <v>46294</v>
      </c>
      <c r="C113" s="28" t="s">
        <v>91</v>
      </c>
      <c r="D113" s="37">
        <v>880</v>
      </c>
      <c r="E113" s="38">
        <f>IF(tblProduction[[#This Row],[Date]]="","",IFERROR(INDEX(tblParts[Standard cost],MATCH(tblProduction[[#This Row],[Part]],tblParts[Part],0)),""))</f>
        <v>5.35</v>
      </c>
      <c r="F113" s="44">
        <f>IF(tblProduction[[#This Row],[Date]]="","",IF(tblProduction[[#This Row],[Standard cost]]="","",tblProduction[[#This Row],[Produced]]*tblProduction[[#This Row],[Standard cost]]))</f>
        <v>4708</v>
      </c>
      <c r="G113" s="44">
        <f>IF(tblProduction[[#This Row],[Date]]="","",SUMIFS(tblScrap[Scrapped],tblScrap[Date],tblProduction[[#This Row],[Date]],tblScrap[Part],tblProduction[[#This Row],[Part]]))</f>
        <v>19</v>
      </c>
      <c r="H113" s="38">
        <f>IF(tblProduction[[#This Row],[Date]]="","",SUMIFS(tblScrap[Net scrap cost],tblScrap[Date],tblProduction[[#This Row],[Date]],tblScrap[Part],tblProduction[[#This Row],[Part]]))</f>
        <v>82.747</v>
      </c>
      <c r="I113" s="45">
        <f>IF(tblProduction[[#This Row],[Date]]="","",IF(tblProduction[[#This Row],[Produced]]&gt;0,tblProduction[[#This Row],[Scrapped]]/tblProduction[[#This Row],[Produced]],""))</f>
        <v>0.0215909090909091</v>
      </c>
      <c r="J113" s="46" t="str">
        <f>IF(NOT(ISNUMBER(tblProduction[[#This Row],[Scrap rate]])),"",IF(tblProduction[[#This Row],[Scrap rate]]&lt;=TargetRate,"On target",IF(tblProduction[[#This Row],[Scrap rate]]&lt;=TargetRate*(1+0.05),"Near target","Above target")))</f>
        <v>Above target</v>
      </c>
      <c r="K113" s="45">
        <f>IF(tblProduction[[#This Row],[Date]]="","",IF(N(tblProduction[[#This Row],[Production value]])&gt;0,tblProduction[[#This Row],[Net scrap cost]]/tblProduction[[#This Row],[Production value]],""))</f>
        <v>0.0175758283772302</v>
      </c>
      <c r="L113" s="47">
        <f>IF(tblProduction[[#This Row],[Date]]="","",IF(tblProduction[[#This Row],[Produced]]-tblProduction[[#This Row],[Scrapped]]&gt;0,tblProduction[[#This Row],[Net scrap cost]]/(tblProduction[[#This Row],[Produced]]-tblProduction[[#This Row],[Scrapped]]),""))</f>
        <v>0.0961056910569106</v>
      </c>
      <c r="M113" s="41">
        <f>IF(tblProduction[[#This Row],[Date]]="","",IF(AND(tblProduction[[#This Row],[Date]]&gt;=FFrom,tblProduction[[#This Row],[Date]]&lt;=FTo,OR(DashPart="",tblProduction[[#This Row],[Part]]=DashPart)),tblProduction[[#This Row],[Date]],""))</f>
        <v>46294</v>
      </c>
      <c r="N113"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13" s="43" t="s">
        <v>139</v>
      </c>
    </row>
    <row r="114" spans="2:15">
      <c r="B114" s="36">
        <v>46294</v>
      </c>
      <c r="C114" s="28" t="s">
        <v>93</v>
      </c>
      <c r="D114" s="37">
        <v>485</v>
      </c>
      <c r="E114" s="38">
        <f>IF(tblProduction[[#This Row],[Date]]="","",IFERROR(INDEX(tblParts[Standard cost],MATCH(tblProduction[[#This Row],[Part]],tblParts[Part],0)),""))</f>
        <v>11.35</v>
      </c>
      <c r="F114" s="44">
        <f>IF(tblProduction[[#This Row],[Date]]="","",IF(tblProduction[[#This Row],[Standard cost]]="","",tblProduction[[#This Row],[Produced]]*tblProduction[[#This Row],[Standard cost]]))</f>
        <v>5504.75</v>
      </c>
      <c r="G114" s="44">
        <f>IF(tblProduction[[#This Row],[Date]]="","",SUMIFS(tblScrap[Scrapped],tblScrap[Date],tblProduction[[#This Row],[Date]],tblScrap[Part],tblProduction[[#This Row],[Part]]))</f>
        <v>11</v>
      </c>
      <c r="H114" s="38">
        <f>IF(tblProduction[[#This Row],[Date]]="","",SUMIFS(tblScrap[Net scrap cost],tblScrap[Date],tblProduction[[#This Row],[Date]],tblScrap[Part],tblProduction[[#This Row],[Part]]))</f>
        <v>69.615</v>
      </c>
      <c r="I114" s="45">
        <f>IF(tblProduction[[#This Row],[Date]]="","",IF(tblProduction[[#This Row],[Produced]]&gt;0,tblProduction[[#This Row],[Scrapped]]/tblProduction[[#This Row],[Produced]],""))</f>
        <v>0.022680412371134</v>
      </c>
      <c r="J114" s="46" t="str">
        <f>IF(NOT(ISNUMBER(tblProduction[[#This Row],[Scrap rate]])),"",IF(tblProduction[[#This Row],[Scrap rate]]&lt;=TargetRate,"On target",IF(tblProduction[[#This Row],[Scrap rate]]&lt;=TargetRate*(1+0.05),"Near target","Above target")))</f>
        <v>Above target</v>
      </c>
      <c r="K114" s="45">
        <f>IF(tblProduction[[#This Row],[Date]]="","",IF(N(tblProduction[[#This Row],[Production value]])&gt;0,tblProduction[[#This Row],[Net scrap cost]]/tblProduction[[#This Row],[Production value]],""))</f>
        <v>0.0126463508787865</v>
      </c>
      <c r="L114" s="47">
        <f>IF(tblProduction[[#This Row],[Date]]="","",IF(tblProduction[[#This Row],[Produced]]-tblProduction[[#This Row],[Scrapped]]&gt;0,tblProduction[[#This Row],[Net scrap cost]]/(tblProduction[[#This Row],[Produced]]-tblProduction[[#This Row],[Scrapped]]),""))</f>
        <v>0.146867088607595</v>
      </c>
      <c r="M114" s="41">
        <f>IF(tblProduction[[#This Row],[Date]]="","",IF(AND(tblProduction[[#This Row],[Date]]&gt;=FFrom,tblProduction[[#This Row],[Date]]&lt;=FTo,OR(DashPart="",tblProduction[[#This Row],[Part]]=DashPart)),tblProduction[[#This Row],[Date]],""))</f>
        <v>46294</v>
      </c>
      <c r="N114"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14" s="43" t="s">
        <v>139</v>
      </c>
    </row>
    <row r="115" spans="2:15">
      <c r="B115" s="36">
        <v>46295</v>
      </c>
      <c r="C115" s="28" t="s">
        <v>87</v>
      </c>
      <c r="D115" s="37">
        <v>320</v>
      </c>
      <c r="E115" s="38">
        <f>IF(tblProduction[[#This Row],[Date]]="","",IFERROR(INDEX(tblParts[Standard cost],MATCH(tblProduction[[#This Row],[Part]],tblParts[Part],0)),""))</f>
        <v>19</v>
      </c>
      <c r="F115" s="44">
        <f>IF(tblProduction[[#This Row],[Date]]="","",IF(tblProduction[[#This Row],[Standard cost]]="","",tblProduction[[#This Row],[Produced]]*tblProduction[[#This Row],[Standard cost]]))</f>
        <v>6080</v>
      </c>
      <c r="G115" s="44">
        <f>IF(tblProduction[[#This Row],[Date]]="","",SUMIFS(tblScrap[Scrapped],tblScrap[Date],tblProduction[[#This Row],[Date]],tblScrap[Part],tblProduction[[#This Row],[Part]]))</f>
        <v>0</v>
      </c>
      <c r="H115" s="38">
        <f>IF(tblProduction[[#This Row],[Date]]="","",SUMIFS(tblScrap[Net scrap cost],tblScrap[Date],tblProduction[[#This Row],[Date]],tblScrap[Part],tblProduction[[#This Row],[Part]]))</f>
        <v>0</v>
      </c>
      <c r="I115" s="45">
        <f>IF(tblProduction[[#This Row],[Date]]="","",IF(tblProduction[[#This Row],[Produced]]&gt;0,tblProduction[[#This Row],[Scrapped]]/tblProduction[[#This Row],[Produced]],""))</f>
        <v>0</v>
      </c>
      <c r="J115" s="46" t="str">
        <f>IF(NOT(ISNUMBER(tblProduction[[#This Row],[Scrap rate]])),"",IF(tblProduction[[#This Row],[Scrap rate]]&lt;=TargetRate,"On target",IF(tblProduction[[#This Row],[Scrap rate]]&lt;=TargetRate*(1+0.05),"Near target","Above target")))</f>
        <v>On target</v>
      </c>
      <c r="K115" s="45">
        <f>IF(tblProduction[[#This Row],[Date]]="","",IF(N(tblProduction[[#This Row],[Production value]])&gt;0,tblProduction[[#This Row],[Net scrap cost]]/tblProduction[[#This Row],[Production value]],""))</f>
        <v>0</v>
      </c>
      <c r="L115" s="47">
        <f>IF(tblProduction[[#This Row],[Date]]="","",IF(tblProduction[[#This Row],[Produced]]-tblProduction[[#This Row],[Scrapped]]&gt;0,tblProduction[[#This Row],[Net scrap cost]]/(tblProduction[[#This Row],[Produced]]-tblProduction[[#This Row],[Scrapped]]),""))</f>
        <v>0</v>
      </c>
      <c r="M115" s="41">
        <f>IF(tblProduction[[#This Row],[Date]]="","",IF(AND(tblProduction[[#This Row],[Date]]&gt;=FFrom,tblProduction[[#This Row],[Date]]&lt;=FTo,OR(DashPart="",tblProduction[[#This Row],[Part]]=DashPart)),tblProduction[[#This Row],[Date]],""))</f>
        <v>46295</v>
      </c>
      <c r="N115"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15" s="43" t="s">
        <v>139</v>
      </c>
    </row>
    <row r="116" spans="2:15">
      <c r="B116" s="36">
        <v>46295</v>
      </c>
      <c r="C116" s="28" t="s">
        <v>89</v>
      </c>
      <c r="D116" s="37">
        <v>250</v>
      </c>
      <c r="E116" s="38">
        <f>IF(tblProduction[[#This Row],[Date]]="","",IFERROR(INDEX(tblParts[Standard cost],MATCH(tblProduction[[#This Row],[Part]],tblParts[Part],0)),""))</f>
        <v>26</v>
      </c>
      <c r="F116" s="44">
        <f>IF(tblProduction[[#This Row],[Date]]="","",IF(tblProduction[[#This Row],[Standard cost]]="","",tblProduction[[#This Row],[Produced]]*tblProduction[[#This Row],[Standard cost]]))</f>
        <v>6500</v>
      </c>
      <c r="G116" s="44">
        <f>IF(tblProduction[[#This Row],[Date]]="","",SUMIFS(tblScrap[Scrapped],tblScrap[Date],tblProduction[[#This Row],[Date]],tblScrap[Part],tblProduction[[#This Row],[Part]]))</f>
        <v>3</v>
      </c>
      <c r="H116" s="38">
        <f>IF(tblProduction[[#This Row],[Date]]="","",SUMIFS(tblScrap[Net scrap cost],tblScrap[Date],tblProduction[[#This Row],[Date]],tblScrap[Part],tblProduction[[#This Row],[Part]]))</f>
        <v>31.47</v>
      </c>
      <c r="I116" s="45">
        <f>IF(tblProduction[[#This Row],[Date]]="","",IF(tblProduction[[#This Row],[Produced]]&gt;0,tblProduction[[#This Row],[Scrapped]]/tblProduction[[#This Row],[Produced]],""))</f>
        <v>0.012</v>
      </c>
      <c r="J116" s="46" t="str">
        <f>IF(NOT(ISNUMBER(tblProduction[[#This Row],[Scrap rate]])),"",IF(tblProduction[[#This Row],[Scrap rate]]&lt;=TargetRate,"On target",IF(tblProduction[[#This Row],[Scrap rate]]&lt;=TargetRate*(1+0.05),"Near target","Above target")))</f>
        <v>On target</v>
      </c>
      <c r="K116" s="45">
        <f>IF(tblProduction[[#This Row],[Date]]="","",IF(N(tblProduction[[#This Row],[Production value]])&gt;0,tblProduction[[#This Row],[Net scrap cost]]/tblProduction[[#This Row],[Production value]],""))</f>
        <v>0.00484153846153846</v>
      </c>
      <c r="L116" s="47">
        <f>IF(tblProduction[[#This Row],[Date]]="","",IF(tblProduction[[#This Row],[Produced]]-tblProduction[[#This Row],[Scrapped]]&gt;0,tblProduction[[#This Row],[Net scrap cost]]/(tblProduction[[#This Row],[Produced]]-tblProduction[[#This Row],[Scrapped]]),""))</f>
        <v>0.127408906882591</v>
      </c>
      <c r="M116" s="41">
        <f>IF(tblProduction[[#This Row],[Date]]="","",IF(AND(tblProduction[[#This Row],[Date]]&gt;=FFrom,tblProduction[[#This Row],[Date]]&lt;=FTo,OR(DashPart="",tblProduction[[#This Row],[Part]]=DashPart)),tblProduction[[#This Row],[Date]],""))</f>
        <v>46295</v>
      </c>
      <c r="N116"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16" s="43" t="s">
        <v>139</v>
      </c>
    </row>
    <row r="117" spans="2:15">
      <c r="B117" s="36">
        <v>46295</v>
      </c>
      <c r="C117" s="28" t="s">
        <v>91</v>
      </c>
      <c r="D117" s="37">
        <v>865</v>
      </c>
      <c r="E117" s="38">
        <f>IF(tblProduction[[#This Row],[Date]]="","",IFERROR(INDEX(tblParts[Standard cost],MATCH(tblProduction[[#This Row],[Part]],tblParts[Part],0)),""))</f>
        <v>5.35</v>
      </c>
      <c r="F117" s="44">
        <f>IF(tblProduction[[#This Row],[Date]]="","",IF(tblProduction[[#This Row],[Standard cost]]="","",tblProduction[[#This Row],[Produced]]*tblProduction[[#This Row],[Standard cost]]))</f>
        <v>4627.75</v>
      </c>
      <c r="G117" s="44">
        <f>IF(tblProduction[[#This Row],[Date]]="","",SUMIFS(tblScrap[Scrapped],tblScrap[Date],tblProduction[[#This Row],[Date]],tblScrap[Part],tblProduction[[#This Row],[Part]]))</f>
        <v>5</v>
      </c>
      <c r="H117" s="38">
        <f>IF(tblProduction[[#This Row],[Date]]="","",SUMIFS(tblScrap[Net scrap cost],tblScrap[Date],tblProduction[[#This Row],[Date]],tblScrap[Part],tblProduction[[#This Row],[Part]]))</f>
        <v>21.565</v>
      </c>
      <c r="I117" s="45">
        <f>IF(tblProduction[[#This Row],[Date]]="","",IF(tblProduction[[#This Row],[Produced]]&gt;0,tblProduction[[#This Row],[Scrapped]]/tblProduction[[#This Row],[Produced]],""))</f>
        <v>0.00578034682080925</v>
      </c>
      <c r="J117" s="46" t="str">
        <f>IF(NOT(ISNUMBER(tblProduction[[#This Row],[Scrap rate]])),"",IF(tblProduction[[#This Row],[Scrap rate]]&lt;=TargetRate,"On target",IF(tblProduction[[#This Row],[Scrap rate]]&lt;=TargetRate*(1+0.05),"Near target","Above target")))</f>
        <v>On target</v>
      </c>
      <c r="K117" s="45">
        <f>IF(tblProduction[[#This Row],[Date]]="","",IF(N(tblProduction[[#This Row],[Production value]])&gt;0,tblProduction[[#This Row],[Net scrap cost]]/tblProduction[[#This Row],[Production value]],""))</f>
        <v>0.00465993193236454</v>
      </c>
      <c r="L117" s="47">
        <f>IF(tblProduction[[#This Row],[Date]]="","",IF(tblProduction[[#This Row],[Produced]]-tblProduction[[#This Row],[Scrapped]]&gt;0,tblProduction[[#This Row],[Net scrap cost]]/(tblProduction[[#This Row],[Produced]]-tblProduction[[#This Row],[Scrapped]]),""))</f>
        <v>0.0250755813953488</v>
      </c>
      <c r="M117" s="41">
        <f>IF(tblProduction[[#This Row],[Date]]="","",IF(AND(tblProduction[[#This Row],[Date]]&gt;=FFrom,tblProduction[[#This Row],[Date]]&lt;=FTo,OR(DashPart="",tblProduction[[#This Row],[Part]]=DashPart)),tblProduction[[#This Row],[Date]],""))</f>
        <v>46295</v>
      </c>
      <c r="N117"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17" s="43" t="s">
        <v>139</v>
      </c>
    </row>
    <row r="118" spans="2:15">
      <c r="B118" s="36">
        <v>46295</v>
      </c>
      <c r="C118" s="28" t="s">
        <v>93</v>
      </c>
      <c r="D118" s="37">
        <v>530</v>
      </c>
      <c r="E118" s="38">
        <f>IF(tblProduction[[#This Row],[Date]]="","",IFERROR(INDEX(tblParts[Standard cost],MATCH(tblProduction[[#This Row],[Part]],tblParts[Part],0)),""))</f>
        <v>11.35</v>
      </c>
      <c r="F118" s="44">
        <f>IF(tblProduction[[#This Row],[Date]]="","",IF(tblProduction[[#This Row],[Standard cost]]="","",tblProduction[[#This Row],[Produced]]*tblProduction[[#This Row],[Standard cost]]))</f>
        <v>6015.5</v>
      </c>
      <c r="G118" s="44">
        <f>IF(tblProduction[[#This Row],[Date]]="","",SUMIFS(tblScrap[Scrapped],tblScrap[Date],tblProduction[[#This Row],[Date]],tblScrap[Part],tblProduction[[#This Row],[Part]]))</f>
        <v>22</v>
      </c>
      <c r="H118" s="38">
        <f>IF(tblProduction[[#This Row],[Date]]="","",SUMIFS(tblScrap[Net scrap cost],tblScrap[Date],tblProduction[[#This Row],[Date]],tblScrap[Part],tblProduction[[#This Row],[Part]]))</f>
        <v>139.23</v>
      </c>
      <c r="I118" s="45">
        <f>IF(tblProduction[[#This Row],[Date]]="","",IF(tblProduction[[#This Row],[Produced]]&gt;0,tblProduction[[#This Row],[Scrapped]]/tblProduction[[#This Row],[Produced]],""))</f>
        <v>0.0415094339622642</v>
      </c>
      <c r="J118" s="46" t="str">
        <f>IF(NOT(ISNUMBER(tblProduction[[#This Row],[Scrap rate]])),"",IF(tblProduction[[#This Row],[Scrap rate]]&lt;=TargetRate,"On target",IF(tblProduction[[#This Row],[Scrap rate]]&lt;=TargetRate*(1+0.05),"Near target","Above target")))</f>
        <v>Above target</v>
      </c>
      <c r="K118" s="45">
        <f>IF(tblProduction[[#This Row],[Date]]="","",IF(N(tblProduction[[#This Row],[Production value]])&gt;0,tblProduction[[#This Row],[Net scrap cost]]/tblProduction[[#This Row],[Production value]],""))</f>
        <v>0.0231452082121187</v>
      </c>
      <c r="L118" s="47">
        <f>IF(tblProduction[[#This Row],[Date]]="","",IF(tblProduction[[#This Row],[Produced]]-tblProduction[[#This Row],[Scrapped]]&gt;0,tblProduction[[#This Row],[Net scrap cost]]/(tblProduction[[#This Row],[Produced]]-tblProduction[[#This Row],[Scrapped]]),""))</f>
        <v>0.274074803149606</v>
      </c>
      <c r="M118" s="41">
        <f>IF(tblProduction[[#This Row],[Date]]="","",IF(AND(tblProduction[[#This Row],[Date]]&gt;=FFrom,tblProduction[[#This Row],[Date]]&lt;=FTo,OR(DashPart="",tblProduction[[#This Row],[Part]]=DashPart)),tblProduction[[#This Row],[Date]],""))</f>
        <v>46295</v>
      </c>
      <c r="N118"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18" s="43" t="s">
        <v>139</v>
      </c>
    </row>
    <row r="119" spans="2:15">
      <c r="B119" s="36">
        <v>46296</v>
      </c>
      <c r="C119" s="28" t="s">
        <v>87</v>
      </c>
      <c r="D119" s="37">
        <v>340</v>
      </c>
      <c r="E119" s="38">
        <f>IF(tblProduction[[#This Row],[Date]]="","",IFERROR(INDEX(tblParts[Standard cost],MATCH(tblProduction[[#This Row],[Part]],tblParts[Part],0)),""))</f>
        <v>19</v>
      </c>
      <c r="F119" s="44">
        <f>IF(tblProduction[[#This Row],[Date]]="","",IF(tblProduction[[#This Row],[Standard cost]]="","",tblProduction[[#This Row],[Produced]]*tblProduction[[#This Row],[Standard cost]]))</f>
        <v>6460</v>
      </c>
      <c r="G119" s="44">
        <f>IF(tblProduction[[#This Row],[Date]]="","",SUMIFS(tblScrap[Scrapped],tblScrap[Date],tblProduction[[#This Row],[Date]],tblScrap[Part],tblProduction[[#This Row],[Part]]))</f>
        <v>3</v>
      </c>
      <c r="H119" s="38">
        <f>IF(tblProduction[[#This Row],[Date]]="","",SUMIFS(tblScrap[Net scrap cost],tblScrap[Date],tblProduction[[#This Row],[Date]],tblScrap[Part],tblProduction[[#This Row],[Part]]))</f>
        <v>45.6075</v>
      </c>
      <c r="I119" s="45">
        <f>IF(tblProduction[[#This Row],[Date]]="","",IF(tblProduction[[#This Row],[Produced]]&gt;0,tblProduction[[#This Row],[Scrapped]]/tblProduction[[#This Row],[Produced]],""))</f>
        <v>0.00882352941176471</v>
      </c>
      <c r="J119" s="46" t="str">
        <f>IF(NOT(ISNUMBER(tblProduction[[#This Row],[Scrap rate]])),"",IF(tblProduction[[#This Row],[Scrap rate]]&lt;=TargetRate,"On target",IF(tblProduction[[#This Row],[Scrap rate]]&lt;=TargetRate*(1+0.05),"Near target","Above target")))</f>
        <v>On target</v>
      </c>
      <c r="K119" s="45">
        <f>IF(tblProduction[[#This Row],[Date]]="","",IF(N(tblProduction[[#This Row],[Production value]])&gt;0,tblProduction[[#This Row],[Net scrap cost]]/tblProduction[[#This Row],[Production value]],""))</f>
        <v>0.00705998452012384</v>
      </c>
      <c r="L119" s="47">
        <f>IF(tblProduction[[#This Row],[Date]]="","",IF(tblProduction[[#This Row],[Produced]]-tblProduction[[#This Row],[Scrapped]]&gt;0,tblProduction[[#This Row],[Net scrap cost]]/(tblProduction[[#This Row],[Produced]]-tblProduction[[#This Row],[Scrapped]]),""))</f>
        <v>0.135333827893175</v>
      </c>
      <c r="M119" s="41">
        <f>IF(tblProduction[[#This Row],[Date]]="","",IF(AND(tblProduction[[#This Row],[Date]]&gt;=FFrom,tblProduction[[#This Row],[Date]]&lt;=FTo,OR(DashPart="",tblProduction[[#This Row],[Part]]=DashPart)),tblProduction[[#This Row],[Date]],""))</f>
        <v>46296</v>
      </c>
      <c r="N119"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19" s="43" t="s">
        <v>139</v>
      </c>
    </row>
    <row r="120" spans="2:15">
      <c r="B120" s="36">
        <v>46296</v>
      </c>
      <c r="C120" s="28" t="s">
        <v>89</v>
      </c>
      <c r="D120" s="37">
        <v>240</v>
      </c>
      <c r="E120" s="38">
        <f>IF(tblProduction[[#This Row],[Date]]="","",IFERROR(INDEX(tblParts[Standard cost],MATCH(tblProduction[[#This Row],[Part]],tblParts[Part],0)),""))</f>
        <v>26</v>
      </c>
      <c r="F120" s="44">
        <f>IF(tblProduction[[#This Row],[Date]]="","",IF(tblProduction[[#This Row],[Standard cost]]="","",tblProduction[[#This Row],[Produced]]*tblProduction[[#This Row],[Standard cost]]))</f>
        <v>6240</v>
      </c>
      <c r="G120" s="44">
        <f>IF(tblProduction[[#This Row],[Date]]="","",SUMIFS(tblScrap[Scrapped],tblScrap[Date],tblProduction[[#This Row],[Date]],tblScrap[Part],tblProduction[[#This Row],[Part]]))</f>
        <v>0</v>
      </c>
      <c r="H120" s="38">
        <f>IF(tblProduction[[#This Row],[Date]]="","",SUMIFS(tblScrap[Net scrap cost],tblScrap[Date],tblProduction[[#This Row],[Date]],tblScrap[Part],tblProduction[[#This Row],[Part]]))</f>
        <v>0</v>
      </c>
      <c r="I120" s="45">
        <f>IF(tblProduction[[#This Row],[Date]]="","",IF(tblProduction[[#This Row],[Produced]]&gt;0,tblProduction[[#This Row],[Scrapped]]/tblProduction[[#This Row],[Produced]],""))</f>
        <v>0</v>
      </c>
      <c r="J120" s="46" t="str">
        <f>IF(NOT(ISNUMBER(tblProduction[[#This Row],[Scrap rate]])),"",IF(tblProduction[[#This Row],[Scrap rate]]&lt;=TargetRate,"On target",IF(tblProduction[[#This Row],[Scrap rate]]&lt;=TargetRate*(1+0.05),"Near target","Above target")))</f>
        <v>On target</v>
      </c>
      <c r="K120" s="45">
        <f>IF(tblProduction[[#This Row],[Date]]="","",IF(N(tblProduction[[#This Row],[Production value]])&gt;0,tblProduction[[#This Row],[Net scrap cost]]/tblProduction[[#This Row],[Production value]],""))</f>
        <v>0</v>
      </c>
      <c r="L120" s="47">
        <f>IF(tblProduction[[#This Row],[Date]]="","",IF(tblProduction[[#This Row],[Produced]]-tblProduction[[#This Row],[Scrapped]]&gt;0,tblProduction[[#This Row],[Net scrap cost]]/(tblProduction[[#This Row],[Produced]]-tblProduction[[#This Row],[Scrapped]]),""))</f>
        <v>0</v>
      </c>
      <c r="M120" s="41">
        <f>IF(tblProduction[[#This Row],[Date]]="","",IF(AND(tblProduction[[#This Row],[Date]]&gt;=FFrom,tblProduction[[#This Row],[Date]]&lt;=FTo,OR(DashPart="",tblProduction[[#This Row],[Part]]=DashPart)),tblProduction[[#This Row],[Date]],""))</f>
        <v>46296</v>
      </c>
      <c r="N120"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20" s="43" t="s">
        <v>139</v>
      </c>
    </row>
    <row r="121" spans="2:15">
      <c r="B121" s="36">
        <v>46296</v>
      </c>
      <c r="C121" s="28" t="s">
        <v>91</v>
      </c>
      <c r="D121" s="37">
        <v>850</v>
      </c>
      <c r="E121" s="38">
        <f>IF(tblProduction[[#This Row],[Date]]="","",IFERROR(INDEX(tblParts[Standard cost],MATCH(tblProduction[[#This Row],[Part]],tblParts[Part],0)),""))</f>
        <v>5.35</v>
      </c>
      <c r="F121" s="44">
        <f>IF(tblProduction[[#This Row],[Date]]="","",IF(tblProduction[[#This Row],[Standard cost]]="","",tblProduction[[#This Row],[Produced]]*tblProduction[[#This Row],[Standard cost]]))</f>
        <v>4547.5</v>
      </c>
      <c r="G121" s="44">
        <f>IF(tblProduction[[#This Row],[Date]]="","",SUMIFS(tblScrap[Scrapped],tblScrap[Date],tblProduction[[#This Row],[Date]],tblScrap[Part],tblProduction[[#This Row],[Part]]))</f>
        <v>20</v>
      </c>
      <c r="H121" s="38">
        <f>IF(tblProduction[[#This Row],[Date]]="","",SUMIFS(tblScrap[Net scrap cost],tblScrap[Date],tblProduction[[#This Row],[Date]],tblScrap[Part],tblProduction[[#This Row],[Part]]))</f>
        <v>50.26</v>
      </c>
      <c r="I121" s="45">
        <f>IF(tblProduction[[#This Row],[Date]]="","",IF(tblProduction[[#This Row],[Produced]]&gt;0,tblProduction[[#This Row],[Scrapped]]/tblProduction[[#This Row],[Produced]],""))</f>
        <v>0.0235294117647059</v>
      </c>
      <c r="J121" s="46" t="str">
        <f>IF(NOT(ISNUMBER(tblProduction[[#This Row],[Scrap rate]])),"",IF(tblProduction[[#This Row],[Scrap rate]]&lt;=TargetRate,"On target",IF(tblProduction[[#This Row],[Scrap rate]]&lt;=TargetRate*(1+0.05),"Near target","Above target")))</f>
        <v>Above target</v>
      </c>
      <c r="K121" s="45">
        <f>IF(tblProduction[[#This Row],[Date]]="","",IF(N(tblProduction[[#This Row],[Production value]])&gt;0,tblProduction[[#This Row],[Net scrap cost]]/tblProduction[[#This Row],[Production value]],""))</f>
        <v>0.0110522264980759</v>
      </c>
      <c r="L121" s="47">
        <f>IF(tblProduction[[#This Row],[Date]]="","",IF(tblProduction[[#This Row],[Produced]]-tblProduction[[#This Row],[Scrapped]]&gt;0,tblProduction[[#This Row],[Net scrap cost]]/(tblProduction[[#This Row],[Produced]]-tblProduction[[#This Row],[Scrapped]]),""))</f>
        <v>0.0605542168674699</v>
      </c>
      <c r="M121" s="41">
        <f>IF(tblProduction[[#This Row],[Date]]="","",IF(AND(tblProduction[[#This Row],[Date]]&gt;=FFrom,tblProduction[[#This Row],[Date]]&lt;=FTo,OR(DashPart="",tblProduction[[#This Row],[Part]]=DashPart)),tblProduction[[#This Row],[Date]],""))</f>
        <v>46296</v>
      </c>
      <c r="N121"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21" s="43" t="s">
        <v>139</v>
      </c>
    </row>
    <row r="122" spans="2:15">
      <c r="B122" s="36">
        <v>46296</v>
      </c>
      <c r="C122" s="28" t="s">
        <v>93</v>
      </c>
      <c r="D122" s="37">
        <v>525</v>
      </c>
      <c r="E122" s="38">
        <f>IF(tblProduction[[#This Row],[Date]]="","",IFERROR(INDEX(tblParts[Standard cost],MATCH(tblProduction[[#This Row],[Part]],tblParts[Part],0)),""))</f>
        <v>11.35</v>
      </c>
      <c r="F122" s="44">
        <f>IF(tblProduction[[#This Row],[Date]]="","",IF(tblProduction[[#This Row],[Standard cost]]="","",tblProduction[[#This Row],[Produced]]*tblProduction[[#This Row],[Standard cost]]))</f>
        <v>5958.75</v>
      </c>
      <c r="G122" s="44">
        <f>IF(tblProduction[[#This Row],[Date]]="","",SUMIFS(tblScrap[Scrapped],tblScrap[Date],tblProduction[[#This Row],[Date]],tblScrap[Part],tblProduction[[#This Row],[Part]]))</f>
        <v>12</v>
      </c>
      <c r="H122" s="38">
        <f>IF(tblProduction[[#This Row],[Date]]="","",SUMIFS(tblScrap[Net scrap cost],tblScrap[Date],tblProduction[[#This Row],[Date]],tblScrap[Part],tblProduction[[#This Row],[Part]]))</f>
        <v>57.18</v>
      </c>
      <c r="I122" s="45">
        <f>IF(tblProduction[[#This Row],[Date]]="","",IF(tblProduction[[#This Row],[Produced]]&gt;0,tblProduction[[#This Row],[Scrapped]]/tblProduction[[#This Row],[Produced]],""))</f>
        <v>0.0228571428571429</v>
      </c>
      <c r="J122" s="46" t="str">
        <f>IF(NOT(ISNUMBER(tblProduction[[#This Row],[Scrap rate]])),"",IF(tblProduction[[#This Row],[Scrap rate]]&lt;=TargetRate,"On target",IF(tblProduction[[#This Row],[Scrap rate]]&lt;=TargetRate*(1+0.05),"Near target","Above target")))</f>
        <v>Above target</v>
      </c>
      <c r="K122" s="45">
        <f>IF(tblProduction[[#This Row],[Date]]="","",IF(N(tblProduction[[#This Row],[Production value]])&gt;0,tblProduction[[#This Row],[Net scrap cost]]/tblProduction[[#This Row],[Production value]],""))</f>
        <v>0.0095959723096287</v>
      </c>
      <c r="L122" s="47">
        <f>IF(tblProduction[[#This Row],[Date]]="","",IF(tblProduction[[#This Row],[Produced]]-tblProduction[[#This Row],[Scrapped]]&gt;0,tblProduction[[#This Row],[Net scrap cost]]/(tblProduction[[#This Row],[Produced]]-tblProduction[[#This Row],[Scrapped]]),""))</f>
        <v>0.111461988304094</v>
      </c>
      <c r="M122" s="41">
        <f>IF(tblProduction[[#This Row],[Date]]="","",IF(AND(tblProduction[[#This Row],[Date]]&gt;=FFrom,tblProduction[[#This Row],[Date]]&lt;=FTo,OR(DashPart="",tblProduction[[#This Row],[Part]]=DashPart)),tblProduction[[#This Row],[Date]],""))</f>
        <v>46296</v>
      </c>
      <c r="N122"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22" s="43" t="s">
        <v>139</v>
      </c>
    </row>
    <row r="123" spans="2:15">
      <c r="B123" s="36">
        <v>46297</v>
      </c>
      <c r="C123" s="28" t="s">
        <v>87</v>
      </c>
      <c r="D123" s="37">
        <v>325</v>
      </c>
      <c r="E123" s="38">
        <f>IF(tblProduction[[#This Row],[Date]]="","",IFERROR(INDEX(tblParts[Standard cost],MATCH(tblProduction[[#This Row],[Part]],tblParts[Part],0)),""))</f>
        <v>19</v>
      </c>
      <c r="F123" s="44">
        <f>IF(tblProduction[[#This Row],[Date]]="","",IF(tblProduction[[#This Row],[Standard cost]]="","",tblProduction[[#This Row],[Produced]]*tblProduction[[#This Row],[Standard cost]]))</f>
        <v>6175</v>
      </c>
      <c r="G123" s="44">
        <f>IF(tblProduction[[#This Row],[Date]]="","",SUMIFS(tblScrap[Scrapped],tblScrap[Date],tblProduction[[#This Row],[Date]],tblScrap[Part],tblProduction[[#This Row],[Part]]))</f>
        <v>1</v>
      </c>
      <c r="H123" s="38">
        <f>IF(tblProduction[[#This Row],[Date]]="","",SUMIFS(tblScrap[Net scrap cost],tblScrap[Date],tblProduction[[#This Row],[Date]],tblScrap[Part],tblProduction[[#This Row],[Part]]))</f>
        <v>16.0025</v>
      </c>
      <c r="I123" s="45">
        <f>IF(tblProduction[[#This Row],[Date]]="","",IF(tblProduction[[#This Row],[Produced]]&gt;0,tblProduction[[#This Row],[Scrapped]]/tblProduction[[#This Row],[Produced]],""))</f>
        <v>0.00307692307692308</v>
      </c>
      <c r="J123" s="46" t="str">
        <f>IF(NOT(ISNUMBER(tblProduction[[#This Row],[Scrap rate]])),"",IF(tblProduction[[#This Row],[Scrap rate]]&lt;=TargetRate,"On target",IF(tblProduction[[#This Row],[Scrap rate]]&lt;=TargetRate*(1+0.05),"Near target","Above target")))</f>
        <v>On target</v>
      </c>
      <c r="K123" s="45">
        <f>IF(tblProduction[[#This Row],[Date]]="","",IF(N(tblProduction[[#This Row],[Production value]])&gt;0,tblProduction[[#This Row],[Net scrap cost]]/tblProduction[[#This Row],[Production value]],""))</f>
        <v>0.0025914979757085</v>
      </c>
      <c r="L123" s="47">
        <f>IF(tblProduction[[#This Row],[Date]]="","",IF(tblProduction[[#This Row],[Produced]]-tblProduction[[#This Row],[Scrapped]]&gt;0,tblProduction[[#This Row],[Net scrap cost]]/(tblProduction[[#This Row],[Produced]]-tblProduction[[#This Row],[Scrapped]]),""))</f>
        <v>0.0493904320987654</v>
      </c>
      <c r="M123" s="41">
        <f>IF(tblProduction[[#This Row],[Date]]="","",IF(AND(tblProduction[[#This Row],[Date]]&gt;=FFrom,tblProduction[[#This Row],[Date]]&lt;=FTo,OR(DashPart="",tblProduction[[#This Row],[Part]]=DashPart)),tblProduction[[#This Row],[Date]],""))</f>
        <v>46297</v>
      </c>
      <c r="N123"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23" s="43" t="s">
        <v>139</v>
      </c>
    </row>
    <row r="124" spans="2:15">
      <c r="B124" s="36">
        <v>46297</v>
      </c>
      <c r="C124" s="28" t="s">
        <v>89</v>
      </c>
      <c r="D124" s="37">
        <v>285</v>
      </c>
      <c r="E124" s="38">
        <f>IF(tblProduction[[#This Row],[Date]]="","",IFERROR(INDEX(tblParts[Standard cost],MATCH(tblProduction[[#This Row],[Part]],tblParts[Part],0)),""))</f>
        <v>26</v>
      </c>
      <c r="F124" s="44">
        <f>IF(tblProduction[[#This Row],[Date]]="","",IF(tblProduction[[#This Row],[Standard cost]]="","",tblProduction[[#This Row],[Produced]]*tblProduction[[#This Row],[Standard cost]]))</f>
        <v>7410</v>
      </c>
      <c r="G124" s="44">
        <f>IF(tblProduction[[#This Row],[Date]]="","",SUMIFS(tblScrap[Scrapped],tblScrap[Date],tblProduction[[#This Row],[Date]],tblScrap[Part],tblProduction[[#This Row],[Part]]))</f>
        <v>3</v>
      </c>
      <c r="H124" s="38">
        <f>IF(tblProduction[[#This Row],[Date]]="","",SUMIFS(tblScrap[Net scrap cost],tblScrap[Date],tblProduction[[#This Row],[Date]],tblScrap[Part],tblProduction[[#This Row],[Part]]))</f>
        <v>65.97</v>
      </c>
      <c r="I124" s="45">
        <f>IF(tblProduction[[#This Row],[Date]]="","",IF(tblProduction[[#This Row],[Produced]]&gt;0,tblProduction[[#This Row],[Scrapped]]/tblProduction[[#This Row],[Produced]],""))</f>
        <v>0.0105263157894737</v>
      </c>
      <c r="J124" s="46" t="str">
        <f>IF(NOT(ISNUMBER(tblProduction[[#This Row],[Scrap rate]])),"",IF(tblProduction[[#This Row],[Scrap rate]]&lt;=TargetRate,"On target",IF(tblProduction[[#This Row],[Scrap rate]]&lt;=TargetRate*(1+0.05),"Near target","Above target")))</f>
        <v>On target</v>
      </c>
      <c r="K124" s="45">
        <f>IF(tblProduction[[#This Row],[Date]]="","",IF(N(tblProduction[[#This Row],[Production value]])&gt;0,tblProduction[[#This Row],[Net scrap cost]]/tblProduction[[#This Row],[Production value]],""))</f>
        <v>0.00890283400809717</v>
      </c>
      <c r="L124" s="47">
        <f>IF(tblProduction[[#This Row],[Date]]="","",IF(tblProduction[[#This Row],[Produced]]-tblProduction[[#This Row],[Scrapped]]&gt;0,tblProduction[[#This Row],[Net scrap cost]]/(tblProduction[[#This Row],[Produced]]-tblProduction[[#This Row],[Scrapped]]),""))</f>
        <v>0.233936170212766</v>
      </c>
      <c r="M124" s="41">
        <f>IF(tblProduction[[#This Row],[Date]]="","",IF(AND(tblProduction[[#This Row],[Date]]&gt;=FFrom,tblProduction[[#This Row],[Date]]&lt;=FTo,OR(DashPart="",tblProduction[[#This Row],[Part]]=DashPart)),tblProduction[[#This Row],[Date]],""))</f>
        <v>46297</v>
      </c>
      <c r="N124"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24" s="43" t="s">
        <v>139</v>
      </c>
    </row>
    <row r="125" spans="2:15">
      <c r="B125" s="36">
        <v>46297</v>
      </c>
      <c r="C125" s="28" t="s">
        <v>91</v>
      </c>
      <c r="D125" s="37">
        <v>880</v>
      </c>
      <c r="E125" s="38">
        <f>IF(tblProduction[[#This Row],[Date]]="","",IFERROR(INDEX(tblParts[Standard cost],MATCH(tblProduction[[#This Row],[Part]],tblParts[Part],0)),""))</f>
        <v>5.35</v>
      </c>
      <c r="F125" s="44">
        <f>IF(tblProduction[[#This Row],[Date]]="","",IF(tblProduction[[#This Row],[Standard cost]]="","",tblProduction[[#This Row],[Produced]]*tblProduction[[#This Row],[Standard cost]]))</f>
        <v>4708</v>
      </c>
      <c r="G125" s="44">
        <f>IF(tblProduction[[#This Row],[Date]]="","",SUMIFS(tblScrap[Scrapped],tblScrap[Date],tblProduction[[#This Row],[Date]],tblScrap[Part],tblProduction[[#This Row],[Part]]))</f>
        <v>19</v>
      </c>
      <c r="H125" s="38">
        <f>IF(tblProduction[[#This Row],[Date]]="","",SUMIFS(tblScrap[Net scrap cost],tblScrap[Date],tblProduction[[#This Row],[Date]],tblScrap[Part],tblProduction[[#This Row],[Part]]))</f>
        <v>47.747</v>
      </c>
      <c r="I125" s="45">
        <f>IF(tblProduction[[#This Row],[Date]]="","",IF(tblProduction[[#This Row],[Produced]]&gt;0,tblProduction[[#This Row],[Scrapped]]/tblProduction[[#This Row],[Produced]],""))</f>
        <v>0.0215909090909091</v>
      </c>
      <c r="J125" s="46" t="str">
        <f>IF(NOT(ISNUMBER(tblProduction[[#This Row],[Scrap rate]])),"",IF(tblProduction[[#This Row],[Scrap rate]]&lt;=TargetRate,"On target",IF(tblProduction[[#This Row],[Scrap rate]]&lt;=TargetRate*(1+0.05),"Near target","Above target")))</f>
        <v>Above target</v>
      </c>
      <c r="K125" s="45">
        <f>IF(tblProduction[[#This Row],[Date]]="","",IF(N(tblProduction[[#This Row],[Production value]])&gt;0,tblProduction[[#This Row],[Net scrap cost]]/tblProduction[[#This Row],[Production value]],""))</f>
        <v>0.0101416737468139</v>
      </c>
      <c r="L125" s="47">
        <f>IF(tblProduction[[#This Row],[Date]]="","",IF(tblProduction[[#This Row],[Produced]]-tblProduction[[#This Row],[Scrapped]]&gt;0,tblProduction[[#This Row],[Net scrap cost]]/(tblProduction[[#This Row],[Produced]]-tblProduction[[#This Row],[Scrapped]]),""))</f>
        <v>0.0554552845528455</v>
      </c>
      <c r="M125" s="41">
        <f>IF(tblProduction[[#This Row],[Date]]="","",IF(AND(tblProduction[[#This Row],[Date]]&gt;=FFrom,tblProduction[[#This Row],[Date]]&lt;=FTo,OR(DashPart="",tblProduction[[#This Row],[Part]]=DashPart)),tblProduction[[#This Row],[Date]],""))</f>
        <v>46297</v>
      </c>
      <c r="N125"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25" s="43" t="s">
        <v>139</v>
      </c>
    </row>
    <row r="126" spans="2:15">
      <c r="B126" s="36">
        <v>46297</v>
      </c>
      <c r="C126" s="28" t="s">
        <v>93</v>
      </c>
      <c r="D126" s="37">
        <v>585</v>
      </c>
      <c r="E126" s="38">
        <f>IF(tblProduction[[#This Row],[Date]]="","",IFERROR(INDEX(tblParts[Standard cost],MATCH(tblProduction[[#This Row],[Part]],tblParts[Part],0)),""))</f>
        <v>11.35</v>
      </c>
      <c r="F126" s="44">
        <f>IF(tblProduction[[#This Row],[Date]]="","",IF(tblProduction[[#This Row],[Standard cost]]="","",tblProduction[[#This Row],[Produced]]*tblProduction[[#This Row],[Standard cost]]))</f>
        <v>6639.75</v>
      </c>
      <c r="G126" s="44">
        <f>IF(tblProduction[[#This Row],[Date]]="","",SUMIFS(tblScrap[Scrapped],tblScrap[Date],tblProduction[[#This Row],[Date]],tblScrap[Part],tblProduction[[#This Row],[Part]]))</f>
        <v>0</v>
      </c>
      <c r="H126" s="38">
        <f>IF(tblProduction[[#This Row],[Date]]="","",SUMIFS(tblScrap[Net scrap cost],tblScrap[Date],tblProduction[[#This Row],[Date]],tblScrap[Part],tblProduction[[#This Row],[Part]]))</f>
        <v>0</v>
      </c>
      <c r="I126" s="45">
        <f>IF(tblProduction[[#This Row],[Date]]="","",IF(tblProduction[[#This Row],[Produced]]&gt;0,tblProduction[[#This Row],[Scrapped]]/tblProduction[[#This Row],[Produced]],""))</f>
        <v>0</v>
      </c>
      <c r="J126" s="46" t="str">
        <f>IF(NOT(ISNUMBER(tblProduction[[#This Row],[Scrap rate]])),"",IF(tblProduction[[#This Row],[Scrap rate]]&lt;=TargetRate,"On target",IF(tblProduction[[#This Row],[Scrap rate]]&lt;=TargetRate*(1+0.05),"Near target","Above target")))</f>
        <v>On target</v>
      </c>
      <c r="K126" s="45">
        <f>IF(tblProduction[[#This Row],[Date]]="","",IF(N(tblProduction[[#This Row],[Production value]])&gt;0,tblProduction[[#This Row],[Net scrap cost]]/tblProduction[[#This Row],[Production value]],""))</f>
        <v>0</v>
      </c>
      <c r="L126" s="47">
        <f>IF(tblProduction[[#This Row],[Date]]="","",IF(tblProduction[[#This Row],[Produced]]-tblProduction[[#This Row],[Scrapped]]&gt;0,tblProduction[[#This Row],[Net scrap cost]]/(tblProduction[[#This Row],[Produced]]-tblProduction[[#This Row],[Scrapped]]),""))</f>
        <v>0</v>
      </c>
      <c r="M126" s="41">
        <f>IF(tblProduction[[#This Row],[Date]]="","",IF(AND(tblProduction[[#This Row],[Date]]&gt;=FFrom,tblProduction[[#This Row],[Date]]&lt;=FTo,OR(DashPart="",tblProduction[[#This Row],[Part]]=DashPart)),tblProduction[[#This Row],[Date]],""))</f>
        <v>46297</v>
      </c>
      <c r="N126" s="42" t="str">
        <f>IF(tblProduction[[#This Row],[Date]]="","",IF(tblProduction[[#This Row],[Part]]="","Missing part",IF(tblProduction[[#This Row],[Produced]]="","Missing produced",IF(tblProduction[[#This Row],[Standard cost]]="","Part not on Setup list",IF(tblProduction[[#This Row],[Scrapped]]&gt;tblProduction[[#This Row],[Produced]],"Scrapped &gt; produced",IF(COUNTIFS(tblProduction[Date],tblProduction[[#This Row],[Date]],tblProduction[Part],tblProduction[[#This Row],[Part]])&gt;1,"Duplicate row for this date and part","OK"))))))</f>
        <v>OK</v>
      </c>
      <c r="O126" s="43" t="s">
        <v>139</v>
      </c>
    </row>
  </sheetData>
  <mergeCells count="3">
    <mergeCell ref="A1:O1"/>
    <mergeCell ref="B2:N2"/>
    <mergeCell ref="B4:O4"/>
  </mergeCells>
  <conditionalFormatting sqref="I7:I626">
    <cfRule type="expression" dxfId="3" priority="1" stopIfTrue="1">
      <formula>AND(ISNUMBER(I7),I7&lt;=(TargetRate))</formula>
    </cfRule>
    <cfRule type="expression" dxfId="4" priority="2" stopIfTrue="1">
      <formula>AND(ISNUMBER(I7),I7&lt;=(TargetRate)*(1+0.05))</formula>
    </cfRule>
    <cfRule type="expression" dxfId="5" priority="3">
      <formula>ISNUMBER(I7)</formula>
    </cfRule>
  </conditionalFormatting>
  <conditionalFormatting sqref="J7:J626">
    <cfRule type="cellIs" dxfId="0" priority="4" operator="equal">
      <formula>"On target"</formula>
    </cfRule>
    <cfRule type="cellIs" dxfId="0" priority="5" operator="equal">
      <formula>"PASS"</formula>
    </cfRule>
    <cfRule type="cellIs" dxfId="0" priority="6" operator="equal">
      <formula>"OK"</formula>
    </cfRule>
    <cfRule type="cellIs" dxfId="0" priority="7" operator="equal">
      <formula>"Within limits"</formula>
    </cfRule>
    <cfRule type="cellIs" dxfId="0" priority="8" operator="equal">
      <formula>"Under capacity"</formula>
    </cfRule>
    <cfRule type="cellIs" dxfId="0" priority="9" operator="equal">
      <formula>"Complete"</formula>
    </cfRule>
    <cfRule type="cellIs" dxfId="0" priority="10" operator="equal">
      <formula>"Yes"</formula>
    </cfRule>
    <cfRule type="cellIs" dxfId="1" priority="11" operator="equal">
      <formula>"Near target"</formula>
    </cfRule>
    <cfRule type="cellIs" dxfId="1" priority="12" operator="equal">
      <formula>"Check"</formula>
    </cfRule>
    <cfRule type="cellIs" dxfId="1" priority="13" operator="equal">
      <formula>"Due soon"</formula>
    </cfRule>
    <cfRule type="cellIs" dxfId="1" priority="14" operator="equal">
      <formula>"Near capacity"</formula>
    </cfRule>
    <cfRule type="cellIs" dxfId="1" priority="15" operator="equal">
      <formula>"In progress"</formula>
    </cfRule>
    <cfRule type="cellIs" dxfId="1" priority="16" operator="equal">
      <formula>"Partial"</formula>
    </cfRule>
    <cfRule type="cellIs" dxfId="2" priority="17" operator="equal">
      <formula>"Below target"</formula>
    </cfRule>
    <cfRule type="cellIs" dxfId="2" priority="18" operator="equal">
      <formula>"Above target"</formula>
    </cfRule>
    <cfRule type="cellIs" dxfId="2" priority="19" operator="equal">
      <formula>"FAIL"</formula>
    </cfRule>
    <cfRule type="cellIs" dxfId="2" priority="20" operator="equal">
      <formula>"Over capacity"</formula>
    </cfRule>
    <cfRule type="cellIs" dxfId="2" priority="21" operator="equal">
      <formula>"Overdue"</formula>
    </cfRule>
    <cfRule type="cellIs" dxfId="2" priority="22" operator="equal">
      <formula>"Out of limits"</formula>
    </cfRule>
    <cfRule type="cellIs" dxfId="2" priority="23" operator="equal">
      <formula>"No"</formula>
    </cfRule>
  </conditionalFormatting>
  <conditionalFormatting sqref="K7:K626">
    <cfRule type="expression" dxfId="3" priority="24" stopIfTrue="1">
      <formula>AND(ISNUMBER(K7),K7&lt;=(TargetShare))</formula>
    </cfRule>
    <cfRule type="expression" dxfId="4" priority="25" stopIfTrue="1">
      <formula>AND(ISNUMBER(K7),K7&lt;=(TargetShare)*(1+0.05))</formula>
    </cfRule>
    <cfRule type="expression" dxfId="5" priority="26">
      <formula>ISNUMBER(K7)</formula>
    </cfRule>
  </conditionalFormatting>
  <conditionalFormatting sqref="N7:N626">
    <cfRule type="expression" dxfId="3" priority="27">
      <formula>$N7="OK"</formula>
    </cfRule>
    <cfRule type="expression" dxfId="1" priority="28">
      <formula>AND($N7&lt;&gt;"",$N7&lt;&gt;"OK")</formula>
    </cfRule>
  </conditionalFormatting>
  <dataValidations count="4">
    <dataValidation type="date" allowBlank="1" showInputMessage="1" showErrorMessage="1" errorTitle="Check this entry" error="Enter a date between 01 Jan 2000 and 31 Dec 2100." promptTitle="Date" prompt="Enter a date between 01 Jan 2000 and 31 Dec 2100." sqref="B7:B626">
      <formula1>36526</formula1>
      <formula2>73415</formula2>
    </dataValidation>
    <dataValidation type="list" allowBlank="1" showInputMessage="1" showErrorMessage="1" errorTitle="Check this entry" error="Pick from the list (edit the list on Setup: Parts)." promptTitle="Part" prompt="Pick from the list (edit the list on Setup: Parts)." sqref="C7:C626">
      <formula1>Parts</formula1>
    </dataValidation>
    <dataValidation type="whole" allowBlank="1" showInputMessage="1" showErrorMessage="1" errorTitle="Check this entry" error="Enter a whole number from 0 to 100,000,000." promptTitle="Produced" prompt="Units made that day, good and scrapped: the units that entered the first operation. Enter a whole number from 0 to 100,000,000." sqref="D7:D626">
      <formula1>0</formula1>
      <formula2>100000000</formula2>
    </dataValidation>
    <dataValidation type="textLength" allowBlank="1" showInputMessage="1" showErrorMessage="1" errorTitle="Check this entry" error="Text up to 255 characters." promptTitle="Notes" prompt="Text up to 255 characters." sqref="O7:O626">
      <formula1>0</formula1>
      <formula2>255</formula2>
    </dataValidation>
  </dataValidations>
  <hyperlinks>
    <hyperlink ref="O2" r:id="rId1" tooltip="Free manufacturing calculators and templates"/>
  </hyperlinks>
  <pageMargins left="0.4" right="0.4" top="0.7" bottom="0.65" header="0.3" footer="0.3"/>
  <pageSetup fitToHeight="0" orientation="landscape"/>
  <headerFooter>
    <oddHeader>&amp;L&amp;8MFG Calcs - Scrap Cost Tracker&amp;R&amp;8&amp;A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BA37A"/>
    <pageSetUpPr fitToPage="1"/>
  </sheetPr>
  <dimension ref="A1:AQ92"/>
  <sheetViews>
    <sheetView showGridLines="0" zoomScale="90" zoomScaleNormal="90" workbookViewId="0"/>
  </sheetViews>
  <sheetFormatPr defaultRowHeight="15" x14ac:dyDescent="0.25"/>
  <cols>
    <col min="1" max="1" width="2.7109375" customWidth="1"/>
    <col min="2" max="2" width="20.7109375" customWidth="1"/>
    <col min="3" max="12" width="10.7109375" customWidth="1"/>
    <col min="41" max="43" width="12.7109375" hidden="1" customWidth="1"/>
  </cols>
  <sheetData>
    <row r="1" spans="1:12" ht="30" customHeight="1" x14ac:dyDescent="0.25">
      <c r="A1" s="1" t="s">
        <v>0</v>
      </c>
      <c r="B1" s="1"/>
      <c r="C1" s="1"/>
      <c r="D1" s="1"/>
      <c r="E1" s="1"/>
      <c r="F1" s="1"/>
      <c r="G1" s="1"/>
      <c r="H1" s="1"/>
      <c r="I1" s="1"/>
      <c r="J1" s="1"/>
      <c r="K1" s="1"/>
      <c r="L1" s="1"/>
    </row>
    <row r="2" spans="1:12" ht="21" customHeight="1" x14ac:dyDescent="0.25">
      <c r="B2" s="2" t="s">
        <v>26</v>
      </c>
      <c r="C2" s="2"/>
      <c r="D2" s="2"/>
      <c r="E2" s="2"/>
      <c r="F2" s="2"/>
      <c r="G2" s="2"/>
      <c r="H2" s="2"/>
      <c r="I2" s="2"/>
      <c r="J2" s="2"/>
      <c r="K2" s="3" t="s">
        <v>2</v>
      </c>
      <c r="L2" s="3"/>
    </row>
    <row r="3" spans="1:12" ht="6" customHeight="1" x14ac:dyDescent="0.25"/>
    <row r="4" spans="1:12" x14ac:dyDescent="0.25">
      <c r="B4" s="27" t="s">
        <v>64</v>
      </c>
      <c r="C4" s="28"/>
      <c r="D4" s="28"/>
      <c r="F4" s="27" t="s">
        <v>150</v>
      </c>
      <c r="G4" s="48"/>
      <c r="H4" s="48"/>
      <c r="J4" s="27" t="s">
        <v>151</v>
      </c>
      <c r="K4" s="48"/>
      <c r="L4" s="48"/>
    </row>
    <row r="5" spans="1:12" x14ac:dyDescent="0.25">
      <c r="B5" s="49" t="str">
        <f>"Showing "&amp;COUNTIFS(tblScrap[View date],"&gt;0")&amp;" scrap entries and "&amp;COUNTIFS(tblProduction[View date],"&gt;0")&amp;" production rows. Leave the filters blank to include everything; dates are inclusive."</f>
        <v>Showing 140 scrap entries and 120 production rows. Leave the filters blank to include everything; dates are inclusive.</v>
      </c>
      <c r="C5" s="49"/>
      <c r="D5" s="49"/>
      <c r="E5" s="49"/>
      <c r="F5" s="49"/>
      <c r="G5" s="49"/>
      <c r="H5" s="49"/>
      <c r="I5" s="49"/>
      <c r="J5" s="49"/>
      <c r="K5" s="49"/>
      <c r="L5" s="49"/>
    </row>
    <row r="7" spans="1:12" ht="18" customHeight="1" x14ac:dyDescent="0.25">
      <c r="B7" s="50" t="str">
        <f>"NET SCRAP COST ("&amp;Currency&amp;")"</f>
        <v>NET SCRAP COST (USD)</v>
      </c>
      <c r="C7" s="50"/>
      <c r="D7" s="50" t="s">
        <v>152</v>
      </c>
      <c r="E7" s="50"/>
      <c r="F7" s="50"/>
      <c r="G7" s="50" t="s">
        <v>153</v>
      </c>
      <c r="H7" s="50"/>
      <c r="I7" s="50"/>
      <c r="J7" s="50" t="s">
        <v>154</v>
      </c>
      <c r="K7" s="50"/>
      <c r="L7" s="50"/>
    </row>
    <row r="8" spans="1:12" ht="21" customHeight="1" x14ac:dyDescent="0.25">
      <c r="B8" s="51">
        <f>SUMIFS(tblScrap[Net scrap cost],tblScrap[View date],"&gt;0")</f>
        <v>7976.8295</v>
      </c>
      <c r="C8" s="51"/>
      <c r="D8" s="52">
        <f>IF((SUMIFS(tblProduction[Produced],tblProduction[View date],"&gt;0"))=0,"",(SUMIFS(tblScrap[Scrapped],tblScrap[View date],"&gt;0"))/(SUMIFS(tblProduction[Produced],tblProduction[View date],"&gt;0")))</f>
        <v>0.0162517930976289</v>
      </c>
      <c r="E8" s="52"/>
      <c r="F8" s="52"/>
      <c r="G8" s="52">
        <f>IF((SUMIFS(tblProduction[Production value],tblProduction[View date],"&gt;0"))=0,"",(SUMIFS(tblScrap[Net scrap cost],tblScrap[View date],"&gt;0"))/(SUMIFS(tblProduction[Production value],tblProduction[View date],"&gt;0")))</f>
        <v>0.0112260535293091</v>
      </c>
      <c r="H8" s="52"/>
      <c r="I8" s="52"/>
      <c r="J8" s="53" t="str">
        <f>IF(INDEX($E$81:$E$88,1)&gt;0,INDEX($C$81:$C$88,1),"None logged")</f>
        <v>Leak</v>
      </c>
      <c r="K8" s="53"/>
      <c r="L8" s="53"/>
    </row>
    <row r="9" spans="1:12" ht="21" customHeight="1" x14ac:dyDescent="0.25">
      <c r="B9" s="51"/>
      <c r="C9" s="51"/>
      <c r="D9" s="52"/>
      <c r="E9" s="52"/>
      <c r="F9" s="52"/>
      <c r="G9" s="52"/>
      <c r="H9" s="52"/>
      <c r="I9" s="52"/>
      <c r="J9" s="53"/>
      <c r="K9" s="53"/>
      <c r="L9" s="53"/>
    </row>
    <row r="10" spans="1:12" x14ac:dyDescent="0.25">
      <c r="B10" s="54" t="s">
        <v>155</v>
      </c>
      <c r="C10" s="54"/>
      <c r="D10" s="55">
        <f>TargetRate</f>
        <v>0.02</v>
      </c>
      <c r="E10" s="55"/>
      <c r="F10" s="55"/>
      <c r="G10" s="55">
        <f>TargetShare</f>
        <v>0.01</v>
      </c>
      <c r="H10" s="55"/>
      <c r="I10" s="55"/>
      <c r="J10" s="54" t="s">
        <v>156</v>
      </c>
      <c r="K10" s="54"/>
      <c r="L10" s="54"/>
    </row>
    <row r="11" spans="1:12" ht="18" customHeight="1" x14ac:dyDescent="0.25">
      <c r="B11" s="56"/>
      <c r="C11" s="56"/>
      <c r="D11" s="56" t="str">
        <f>IF(NOT(ISNUMBER(KpiRate)),"No data",IF(KpiRate&lt;=(TargetRate),"On target",IF(KpiRate&lt;=(TargetRate)*(1+0.05),"Near target","Above target")))</f>
        <v>On target</v>
      </c>
      <c r="E11" s="56"/>
      <c r="F11" s="56"/>
      <c r="G11" s="56" t="str">
        <f>IF(NOT(ISNUMBER(KpiShare)),"No data",IF(KpiShare&lt;=(TargetShare),"On target",IF(KpiShare&lt;=(TargetShare)*(1+0.05),"Near target","Above target")))</f>
        <v>Above target</v>
      </c>
      <c r="H11" s="56"/>
      <c r="I11" s="56"/>
      <c r="J11" s="56"/>
      <c r="K11" s="56"/>
      <c r="L11" s="56"/>
    </row>
    <row r="29" spans="2:12" ht="18" customHeight="1" x14ac:dyDescent="0.25">
      <c r="B29" s="50" t="s">
        <v>157</v>
      </c>
      <c r="C29" s="50"/>
      <c r="D29" s="50" t="s">
        <v>158</v>
      </c>
      <c r="E29" s="50"/>
      <c r="F29" s="50"/>
      <c r="G29" s="50" t="str">
        <f>"RECOVERY CREDIT ("&amp;Currency&amp;")"</f>
        <v>RECOVERY CREDIT (USD)</v>
      </c>
      <c r="H29" s="50"/>
      <c r="I29" s="50"/>
      <c r="J29" s="50" t="str">
        <f>"SCRAP COST PER GOOD UNIT ("&amp;Currency&amp;")"</f>
        <v>SCRAP COST PER GOOD UNIT (USD)</v>
      </c>
      <c r="K29" s="50"/>
      <c r="L29" s="50"/>
    </row>
    <row r="30" spans="2:12" ht="21" customHeight="1" x14ac:dyDescent="0.25">
      <c r="B30" s="51">
        <f>SUMIFS(tblScrap[Scrapped],tblScrap[View date],"&gt;0")</f>
        <v>963</v>
      </c>
      <c r="C30" s="51"/>
      <c r="D30" s="51">
        <f>SUMIFS(tblScrap[Scrap mass],tblScrap[View date],"&gt;0")</f>
        <v>1285.83</v>
      </c>
      <c r="E30" s="51"/>
      <c r="F30" s="51"/>
      <c r="G30" s="51">
        <f>SUMIFS(tblScrap[Recovery credit],tblScrap[View date],"&gt;0")</f>
        <v>1800.162</v>
      </c>
      <c r="H30" s="51"/>
      <c r="I30" s="51"/>
      <c r="J30" s="57">
        <f>IF((SUMIFS(tblProduction[Produced],tblProduction[View date],"&gt;0")-SUMIFS(tblScrap[Scrapped],tblScrap[View date],"&gt;0"))=0,"",(SUMIFS(tblScrap[Net scrap cost],tblScrap[View date],"&gt;0"))/(SUMIFS(tblProduction[Produced],tblProduction[View date],"&gt;0")-SUMIFS(tblScrap[Scrapped],tblScrap[View date],"&gt;0")))</f>
        <v>0.136842611336032</v>
      </c>
      <c r="K30" s="57"/>
      <c r="L30" s="57"/>
    </row>
    <row r="31" spans="2:12" ht="21" customHeight="1" x14ac:dyDescent="0.25">
      <c r="B31" s="51"/>
      <c r="C31" s="51"/>
      <c r="D31" s="51"/>
      <c r="E31" s="51"/>
      <c r="F31" s="51"/>
      <c r="G31" s="51"/>
      <c r="H31" s="51"/>
      <c r="I31" s="51"/>
      <c r="J31" s="57"/>
      <c r="K31" s="57"/>
      <c r="L31" s="57"/>
    </row>
    <row r="32" spans="2:12" x14ac:dyDescent="0.25">
      <c r="B32" s="54" t="s">
        <v>159</v>
      </c>
      <c r="C32" s="54"/>
      <c r="D32" s="54" t="s">
        <v>160</v>
      </c>
      <c r="E32" s="54"/>
      <c r="F32" s="54"/>
      <c r="G32" s="54" t="s">
        <v>161</v>
      </c>
      <c r="H32" s="54"/>
      <c r="I32" s="54"/>
      <c r="J32" s="54" t="s">
        <v>162</v>
      </c>
      <c r="K32" s="54"/>
      <c r="L32" s="54"/>
    </row>
    <row r="33" spans="2:12" ht="18" customHeight="1" x14ac:dyDescent="0.25">
      <c r="B33" s="56"/>
      <c r="C33" s="56"/>
      <c r="D33" s="56"/>
      <c r="E33" s="56"/>
      <c r="F33" s="56"/>
      <c r="G33" s="56"/>
      <c r="H33" s="56"/>
      <c r="I33" s="56"/>
      <c r="J33" s="56"/>
      <c r="K33" s="56"/>
      <c r="L33" s="56"/>
    </row>
    <row r="51" spans="2:11" x14ac:dyDescent="0.25">
      <c r="B51" s="31" t="s">
        <v>163</v>
      </c>
      <c r="C51" s="31"/>
      <c r="D51" s="31"/>
      <c r="E51" s="31"/>
      <c r="F51" s="31"/>
      <c r="G51" s="31"/>
      <c r="H51" s="31"/>
      <c r="I51" s="31"/>
      <c r="J51" s="31"/>
      <c r="K51" s="31"/>
    </row>
    <row r="52" spans="2:11" ht="32" customHeight="1" x14ac:dyDescent="0.25">
      <c r="B52" s="58" t="s">
        <v>164</v>
      </c>
      <c r="C52" s="33" t="s">
        <v>142</v>
      </c>
      <c r="D52" s="33" t="s">
        <v>126</v>
      </c>
      <c r="E52" s="33" t="s">
        <v>144</v>
      </c>
      <c r="F52" s="33" t="s">
        <v>128</v>
      </c>
      <c r="G52" s="33" t="s">
        <v>129</v>
      </c>
      <c r="H52" s="33" t="s">
        <v>132</v>
      </c>
      <c r="I52" s="33" t="s">
        <v>143</v>
      </c>
      <c r="J52" s="33" t="s">
        <v>146</v>
      </c>
      <c r="K52" s="33" t="s">
        <v>165</v>
      </c>
    </row>
    <row r="53" spans="2:11" ht="14" customHeight="1" x14ac:dyDescent="0.25">
      <c r="B53" s="32"/>
      <c r="C53" s="32" t="s">
        <v>137</v>
      </c>
      <c r="D53" s="32" t="s">
        <v>137</v>
      </c>
      <c r="E53" s="32" t="s">
        <v>166</v>
      </c>
      <c r="F53" s="32" t="str">
        <f>Currency</f>
        <v>USD</v>
      </c>
      <c r="G53" s="32" t="str">
        <f>Currency</f>
        <v>USD</v>
      </c>
      <c r="H53" s="32" t="str">
        <f>Currency</f>
        <v>USD</v>
      </c>
      <c r="I53" s="32" t="str">
        <f>Currency</f>
        <v>USD</v>
      </c>
      <c r="J53" s="32" t="s">
        <v>166</v>
      </c>
      <c r="K53" s="32" t="s">
        <v>166</v>
      </c>
    </row>
    <row r="54" spans="2:11" x14ac:dyDescent="0.25">
      <c r="B54" s="59">
        <f>IF($B$55="","",IF($B$55-1&lt;MIN(tblProduction[View date]),"",$B$55-7))</f>
        <v>46258</v>
      </c>
      <c r="C54" s="44">
        <f>IF($B$54="","",SUMIFS(tblProduction[Produced],tblProduction[View date],"&gt;="&amp;$B$54,tblProduction[View date],"&lt;"&amp;$B$54+7))</f>
        <v>9560</v>
      </c>
      <c r="D54" s="44">
        <f>IF($B$54="","",SUMIFS(tblScrap[Scrapped],tblScrap[View date],"&gt;="&amp;$B$54,tblScrap[View date],"&lt;"&amp;$B$54+7))</f>
        <v>190</v>
      </c>
      <c r="E54" s="45">
        <f>IF($B$54="","",IF((SUMIFS(tblProduction[Produced],tblProduction[View date],"&gt;="&amp;$B$54,tblProduction[View date],"&lt;"&amp;$B$54+7))=0,"",(SUMIFS(tblScrap[Scrapped],tblScrap[View date],"&gt;="&amp;$B$54,tblScrap[View date],"&lt;"&amp;$B$54+7))/(SUMIFS(tblProduction[Produced],tblProduction[View date],"&gt;="&amp;$B$54,tblProduction[View date],"&lt;"&amp;$B$54+7))))</f>
        <v>0.0198744769874477</v>
      </c>
      <c r="F54" s="44">
        <f>IF($B$54="","",SUMIFS(tblScrap[Material write-off],tblScrap[View date],"&gt;="&amp;$B$54,tblScrap[View date],"&lt;"&amp;$B$54+7))</f>
        <v>982.35</v>
      </c>
      <c r="G54" s="44">
        <f>IF($B$54="","",SUMIFS(tblScrap[Conversion write-off],tblScrap[View date],"&gt;="&amp;$B$54,tblScrap[View date],"&lt;"&amp;$B$54+7))</f>
        <v>1320.2</v>
      </c>
      <c r="H54" s="44">
        <f>IF($B$54="","",SUMIFS(tblScrap[Net scrap cost],tblScrap[View date],"&gt;="&amp;$B$54,tblScrap[View date],"&lt;"&amp;$B$54+7))</f>
        <v>1901.6135</v>
      </c>
      <c r="I54" s="44">
        <f>IF($B$54="","",SUMIFS(tblProduction[Production value],tblProduction[View date],"&gt;="&amp;$B$54,tblProduction[View date],"&lt;"&amp;$B$54+7))</f>
        <v>116700</v>
      </c>
      <c r="J54" s="45">
        <f>IF($B$54="","",IF((SUMIFS(tblProduction[Production value],tblProduction[View date],"&gt;="&amp;$B$54,tblProduction[View date],"&lt;"&amp;$B$54+7))=0,"",(SUMIFS(tblScrap[Net scrap cost],tblScrap[View date],"&gt;="&amp;$B$54,tblScrap[View date],"&lt;"&amp;$B$54+7))/(SUMIFS(tblProduction[Production value],tblProduction[View date],"&gt;="&amp;$B$54,tblProduction[View date],"&lt;"&amp;$B$54+7))))</f>
        <v>0.0162948886032562</v>
      </c>
      <c r="K54" s="60">
        <f>TargetShare</f>
        <v>0.01</v>
      </c>
    </row>
    <row r="55" spans="2:11" x14ac:dyDescent="0.25">
      <c r="B55" s="59">
        <f>IF($B$56="","",IF($B$56-1&lt;MIN(tblProduction[View date]),"",$B$56-7))</f>
        <v>46265</v>
      </c>
      <c r="C55" s="44">
        <f>IF($B$55="","",SUMIFS(tblProduction[Produced],tblProduction[View date],"&gt;="&amp;$B$55,tblProduction[View date],"&lt;"&amp;$B$55+7))</f>
        <v>9995</v>
      </c>
      <c r="D55" s="44">
        <f>IF($B$55="","",SUMIFS(tblScrap[Scrapped],tblScrap[View date],"&gt;="&amp;$B$55,tblScrap[View date],"&lt;"&amp;$B$55+7))</f>
        <v>143</v>
      </c>
      <c r="E55" s="45">
        <f>IF($B$55="","",IF((SUMIFS(tblProduction[Produced],tblProduction[View date],"&gt;="&amp;$B$55,tblProduction[View date],"&lt;"&amp;$B$55+7))=0,"",(SUMIFS(tblScrap[Scrapped],tblScrap[View date],"&gt;="&amp;$B$55,tblScrap[View date],"&lt;"&amp;$B$55+7))/(SUMIFS(tblProduction[Produced],tblProduction[View date],"&gt;="&amp;$B$55,tblProduction[View date],"&lt;"&amp;$B$55+7))))</f>
        <v>0.0143071535767884</v>
      </c>
      <c r="F55" s="44">
        <f>IF($B$55="","",SUMIFS(tblScrap[Material write-off],tblScrap[View date],"&gt;="&amp;$B$55,tblScrap[View date],"&lt;"&amp;$B$55+7))</f>
        <v>834.85</v>
      </c>
      <c r="G55" s="44">
        <f>IF($B$55="","",SUMIFS(tblScrap[Conversion write-off],tblScrap[View date],"&gt;="&amp;$B$55,tblScrap[View date],"&lt;"&amp;$B$55+7))</f>
        <v>1236.2</v>
      </c>
      <c r="H55" s="44">
        <f>IF($B$55="","",SUMIFS(tblScrap[Net scrap cost],tblScrap[View date],"&gt;="&amp;$B$55,tblScrap[View date],"&lt;"&amp;$B$55+7))</f>
        <v>1730.3505</v>
      </c>
      <c r="I55" s="44">
        <f>IF($B$55="","",SUMIFS(tblProduction[Production value],tblProduction[View date],"&gt;="&amp;$B$55,tblProduction[View date],"&lt;"&amp;$B$55+7))</f>
        <v>120101.75</v>
      </c>
      <c r="J55" s="45">
        <f>IF($B$55="","",IF((SUMIFS(tblProduction[Production value],tblProduction[View date],"&gt;="&amp;$B$55,tblProduction[View date],"&lt;"&amp;$B$55+7))=0,"",(SUMIFS(tblScrap[Net scrap cost],tblScrap[View date],"&gt;="&amp;$B$55,tblScrap[View date],"&lt;"&amp;$B$55+7))/(SUMIFS(tblProduction[Production value],tblProduction[View date],"&gt;="&amp;$B$55,tblProduction[View date],"&lt;"&amp;$B$55+7))))</f>
        <v>0.0144073712497944</v>
      </c>
      <c r="K55" s="60">
        <f>TargetShare</f>
        <v>0.01</v>
      </c>
    </row>
    <row r="56" spans="2:11" x14ac:dyDescent="0.25">
      <c r="B56" s="59">
        <f>IF($B$57="","",IF($B$57-1&lt;MIN(tblProduction[View date]),"",$B$57-7))</f>
        <v>46272</v>
      </c>
      <c r="C56" s="44">
        <f>IF($B$56="","",SUMIFS(tblProduction[Produced],tblProduction[View date],"&gt;="&amp;$B$56,tblProduction[View date],"&lt;"&amp;$B$56+7))</f>
        <v>9985</v>
      </c>
      <c r="D56" s="44">
        <f>IF($B$56="","",SUMIFS(tblScrap[Scrapped],tblScrap[View date],"&gt;="&amp;$B$56,tblScrap[View date],"&lt;"&amp;$B$56+7))</f>
        <v>169</v>
      </c>
      <c r="E56" s="45">
        <f>IF($B$56="","",IF((SUMIFS(tblProduction[Produced],tblProduction[View date],"&gt;="&amp;$B$56,tblProduction[View date],"&lt;"&amp;$B$56+7))=0,"",(SUMIFS(tblScrap[Scrapped],tblScrap[View date],"&gt;="&amp;$B$56,tblScrap[View date],"&lt;"&amp;$B$56+7))/(SUMIFS(tblProduction[Produced],tblProduction[View date],"&gt;="&amp;$B$56,tblProduction[View date],"&lt;"&amp;$B$56+7))))</f>
        <v>0.0169253880821232</v>
      </c>
      <c r="F56" s="44">
        <f>IF($B$56="","",SUMIFS(tblScrap[Material write-off],tblScrap[View date],"&gt;="&amp;$B$56,tblScrap[View date],"&lt;"&amp;$B$56+7))</f>
        <v>808.25</v>
      </c>
      <c r="G56" s="44">
        <f>IF($B$56="","",SUMIFS(tblScrap[Conversion write-off],tblScrap[View date],"&gt;="&amp;$B$56,tblScrap[View date],"&lt;"&amp;$B$56+7))</f>
        <v>1121.4</v>
      </c>
      <c r="H56" s="44">
        <f>IF($B$56="","",SUMIFS(tblScrap[Net scrap cost],tblScrap[View date],"&gt;="&amp;$B$56,tblScrap[View date],"&lt;"&amp;$B$56+7))</f>
        <v>1599.6695</v>
      </c>
      <c r="I56" s="44">
        <f>IF($B$56="","",SUMIFS(tblProduction[Production value],tblProduction[View date],"&gt;="&amp;$B$56,tblProduction[View date],"&lt;"&amp;$B$56+7))</f>
        <v>118713</v>
      </c>
      <c r="J56" s="45">
        <f>IF($B$56="","",IF((SUMIFS(tblProduction[Production value],tblProduction[View date],"&gt;="&amp;$B$56,tblProduction[View date],"&lt;"&amp;$B$56+7))=0,"",(SUMIFS(tblScrap[Net scrap cost],tblScrap[View date],"&gt;="&amp;$B$56,tblScrap[View date],"&lt;"&amp;$B$56+7))/(SUMIFS(tblProduction[Production value],tblProduction[View date],"&gt;="&amp;$B$56,tblProduction[View date],"&lt;"&amp;$B$56+7))))</f>
        <v>0.0134750996099837</v>
      </c>
      <c r="K56" s="60">
        <f>TargetShare</f>
        <v>0.01</v>
      </c>
    </row>
    <row r="57" spans="2:11" x14ac:dyDescent="0.25">
      <c r="B57" s="59">
        <f>IF($B$58="","",IF($B$58-1&lt;MIN(tblProduction[View date]),"",$B$58-7))</f>
        <v>46279</v>
      </c>
      <c r="C57" s="44">
        <f>IF($B$57="","",SUMIFS(tblProduction[Produced],tblProduction[View date],"&gt;="&amp;$B$57,tblProduction[View date],"&lt;"&amp;$B$57+7))</f>
        <v>9935</v>
      </c>
      <c r="D57" s="44">
        <f>IF($B$57="","",SUMIFS(tblScrap[Scrapped],tblScrap[View date],"&gt;="&amp;$B$57,tblScrap[View date],"&lt;"&amp;$B$57+7))</f>
        <v>162</v>
      </c>
      <c r="E57" s="45">
        <f>IF($B$57="","",IF((SUMIFS(tblProduction[Produced],tblProduction[View date],"&gt;="&amp;$B$57,tblProduction[View date],"&lt;"&amp;$B$57+7))=0,"",(SUMIFS(tblScrap[Scrapped],tblScrap[View date],"&gt;="&amp;$B$57,tblScrap[View date],"&lt;"&amp;$B$57+7))/(SUMIFS(tblProduction[Produced],tblProduction[View date],"&gt;="&amp;$B$57,tblProduction[View date],"&lt;"&amp;$B$57+7))))</f>
        <v>0.0163059889280322</v>
      </c>
      <c r="F57" s="44">
        <f>IF($B$57="","",SUMIFS(tblScrap[Material write-off],tblScrap[View date],"&gt;="&amp;$B$57,tblScrap[View date],"&lt;"&amp;$B$57+7))</f>
        <v>531.85</v>
      </c>
      <c r="G57" s="44">
        <f>IF($B$57="","",SUMIFS(tblScrap[Conversion write-off],tblScrap[View date],"&gt;="&amp;$B$57,tblScrap[View date],"&lt;"&amp;$B$57+7))</f>
        <v>564.4</v>
      </c>
      <c r="H57" s="44">
        <f>IF($B$57="","",SUMIFS(tblScrap[Net scrap cost],tblScrap[View date],"&gt;="&amp;$B$57,tblScrap[View date],"&lt;"&amp;$B$57+7))</f>
        <v>879.3725</v>
      </c>
      <c r="I57" s="44">
        <f>IF($B$57="","",SUMIFS(tblProduction[Production value],tblProduction[View date],"&gt;="&amp;$B$57,tblProduction[View date],"&lt;"&amp;$B$57+7))</f>
        <v>118865.5</v>
      </c>
      <c r="J57" s="45">
        <f>IF($B$57="","",IF((SUMIFS(tblProduction[Production value],tblProduction[View date],"&gt;="&amp;$B$57,tblProduction[View date],"&lt;"&amp;$B$57+7))=0,"",(SUMIFS(tblScrap[Net scrap cost],tblScrap[View date],"&gt;="&amp;$B$57,tblScrap[View date],"&lt;"&amp;$B$57+7))/(SUMIFS(tblProduction[Production value],tblProduction[View date],"&gt;="&amp;$B$57,tblProduction[View date],"&lt;"&amp;$B$57+7))))</f>
        <v>0.00739804653158402</v>
      </c>
      <c r="K57" s="60">
        <f>TargetShare</f>
        <v>0.01</v>
      </c>
    </row>
    <row r="58" spans="2:11" x14ac:dyDescent="0.25">
      <c r="B58" s="59">
        <f>IF($B$59="","",IF($B$59-1&lt;MIN(tblProduction[View date]),"",$B$59-7))</f>
        <v>46286</v>
      </c>
      <c r="C58" s="44">
        <f>IF($B$58="","",SUMIFS(tblProduction[Produced],tblProduction[View date],"&gt;="&amp;$B$58,tblProduction[View date],"&lt;"&amp;$B$58+7))</f>
        <v>9830</v>
      </c>
      <c r="D58" s="44">
        <f>IF($B$58="","",SUMIFS(tblScrap[Scrapped],tblScrap[View date],"&gt;="&amp;$B$58,tblScrap[View date],"&lt;"&amp;$B$58+7))</f>
        <v>146</v>
      </c>
      <c r="E58" s="45">
        <f>IF($B$58="","",IF((SUMIFS(tblProduction[Produced],tblProduction[View date],"&gt;="&amp;$B$58,tblProduction[View date],"&lt;"&amp;$B$58+7))=0,"",(SUMIFS(tblScrap[Scrapped],tblScrap[View date],"&gt;="&amp;$B$58,tblScrap[View date],"&lt;"&amp;$B$58+7))/(SUMIFS(tblProduction[Produced],tblProduction[View date],"&gt;="&amp;$B$58,tblProduction[View date],"&lt;"&amp;$B$58+7))))</f>
        <v>0.014852492370295</v>
      </c>
      <c r="F58" s="44">
        <f>IF($B$58="","",SUMIFS(tblScrap[Material write-off],tblScrap[View date],"&gt;="&amp;$B$58,tblScrap[View date],"&lt;"&amp;$B$58+7))</f>
        <v>579.8</v>
      </c>
      <c r="G58" s="44">
        <f>IF($B$58="","",SUMIFS(tblScrap[Conversion write-off],tblScrap[View date],"&gt;="&amp;$B$58,tblScrap[View date],"&lt;"&amp;$B$58+7))</f>
        <v>629.7</v>
      </c>
      <c r="H58" s="44">
        <f>IF($B$58="","",SUMIFS(tblScrap[Net scrap cost],tblScrap[View date],"&gt;="&amp;$B$58,tblScrap[View date],"&lt;"&amp;$B$58+7))</f>
        <v>972.7235</v>
      </c>
      <c r="I58" s="44">
        <f>IF($B$58="","",SUMIFS(tblProduction[Production value],tblProduction[View date],"&gt;="&amp;$B$58,tblProduction[View date],"&lt;"&amp;$B$58+7))</f>
        <v>118001.25</v>
      </c>
      <c r="J58" s="45">
        <f>IF($B$58="","",IF((SUMIFS(tblProduction[Production value],tblProduction[View date],"&gt;="&amp;$B$58,tblProduction[View date],"&lt;"&amp;$B$58+7))=0,"",(SUMIFS(tblScrap[Net scrap cost],tblScrap[View date],"&gt;="&amp;$B$58,tblScrap[View date],"&lt;"&amp;$B$58+7))/(SUMIFS(tblProduction[Production value],tblProduction[View date],"&gt;="&amp;$B$58,tblProduction[View date],"&lt;"&amp;$B$58+7))))</f>
        <v>0.00824333216809144</v>
      </c>
      <c r="K58" s="60">
        <f>TargetShare</f>
        <v>0.01</v>
      </c>
    </row>
    <row r="59" spans="2:11" x14ac:dyDescent="0.25">
      <c r="B59" s="59">
        <f>IF(COUNT(tblProduction[View date])=0,"",MAX(tblProduction[View date])-WEEKDAY(MAX(tblProduction[View date]),2)+1)</f>
        <v>46293</v>
      </c>
      <c r="C59" s="44">
        <f>IF($B$59="","",SUMIFS(tblProduction[Produced],tblProduction[View date],"&gt;="&amp;$B$59,tblProduction[View date],"&lt;"&amp;$B$59+7))</f>
        <v>9950</v>
      </c>
      <c r="D59" s="44">
        <f>IF($B$59="","",SUMIFS(tblScrap[Scrapped],tblScrap[View date],"&gt;="&amp;$B$59,tblScrap[View date],"&lt;"&amp;$B$59+7))</f>
        <v>153</v>
      </c>
      <c r="E59" s="45">
        <f>IF($B$59="","",IF((SUMIFS(tblProduction[Produced],tblProduction[View date],"&gt;="&amp;$B$59,tblProduction[View date],"&lt;"&amp;$B$59+7))=0,"",(SUMIFS(tblScrap[Scrapped],tblScrap[View date],"&gt;="&amp;$B$59,tblScrap[View date],"&lt;"&amp;$B$59+7))/(SUMIFS(tblProduction[Produced],tblProduction[View date],"&gt;="&amp;$B$59,tblProduction[View date],"&lt;"&amp;$B$59+7))))</f>
        <v>0.0153768844221106</v>
      </c>
      <c r="F59" s="44">
        <f>IF($B$59="","",SUMIFS(tblScrap[Material write-off],tblScrap[View date],"&gt;="&amp;$B$59,tblScrap[View date],"&lt;"&amp;$B$59+7))</f>
        <v>516.3</v>
      </c>
      <c r="G59" s="44">
        <f>IF($B$59="","",SUMIFS(tblScrap[Conversion write-off],tblScrap[View date],"&gt;="&amp;$B$59,tblScrap[View date],"&lt;"&amp;$B$59+7))</f>
        <v>587.4</v>
      </c>
      <c r="H59" s="44">
        <f>IF($B$59="","",SUMIFS(tblScrap[Net scrap cost],tblScrap[View date],"&gt;="&amp;$B$59,tblScrap[View date],"&lt;"&amp;$B$59+7))</f>
        <v>893.1</v>
      </c>
      <c r="I59" s="44">
        <f>IF($B$59="","",SUMIFS(tblProduction[Production value],tblProduction[View date],"&gt;="&amp;$B$59,tblProduction[View date],"&lt;"&amp;$B$59+7))</f>
        <v>118182.5</v>
      </c>
      <c r="J59" s="45">
        <f>IF($B$59="","",IF((SUMIFS(tblProduction[Production value],tblProduction[View date],"&gt;="&amp;$B$59,tblProduction[View date],"&lt;"&amp;$B$59+7))=0,"",(SUMIFS(tblScrap[Net scrap cost],tblScrap[View date],"&gt;="&amp;$B$59,tblScrap[View date],"&lt;"&amp;$B$59+7))/(SUMIFS(tblProduction[Production value],tblProduction[View date],"&gt;="&amp;$B$59,tblProduction[View date],"&lt;"&amp;$B$59+7))))</f>
        <v>0.0075569564021746</v>
      </c>
      <c r="K59" s="60">
        <f>TargetShare</f>
        <v>0.01</v>
      </c>
    </row>
    <row r="61" spans="2:11" x14ac:dyDescent="0.25">
      <c r="B61" s="31" t="s">
        <v>167</v>
      </c>
      <c r="C61" s="31"/>
      <c r="D61" s="31"/>
      <c r="E61" s="31"/>
      <c r="F61" s="31"/>
      <c r="G61" s="31"/>
      <c r="H61" s="31"/>
      <c r="I61" s="31"/>
      <c r="J61" s="31"/>
      <c r="K61" s="31"/>
    </row>
    <row r="62" spans="2:11" ht="32" customHeight="1" x14ac:dyDescent="0.25">
      <c r="B62" s="58" t="s">
        <v>64</v>
      </c>
      <c r="C62" s="33" t="s">
        <v>142</v>
      </c>
      <c r="D62" s="33" t="s">
        <v>126</v>
      </c>
      <c r="E62" s="33" t="s">
        <v>144</v>
      </c>
      <c r="F62" s="33" t="s">
        <v>168</v>
      </c>
      <c r="G62" s="33" t="s">
        <v>132</v>
      </c>
      <c r="H62" s="33" t="s">
        <v>146</v>
      </c>
      <c r="I62" s="33" t="s">
        <v>169</v>
      </c>
      <c r="J62" s="33" t="s">
        <v>170</v>
      </c>
      <c r="K62" s="33"/>
    </row>
    <row r="63" spans="2:11" ht="14" customHeight="1" x14ac:dyDescent="0.25">
      <c r="B63" s="32"/>
      <c r="C63" s="32" t="s">
        <v>137</v>
      </c>
      <c r="D63" s="32" t="s">
        <v>137</v>
      </c>
      <c r="E63" s="32" t="s">
        <v>166</v>
      </c>
      <c r="F63" s="32" t="s">
        <v>166</v>
      </c>
      <c r="G63" s="32" t="str">
        <f>Currency</f>
        <v>USD</v>
      </c>
      <c r="H63" s="32" t="s">
        <v>166</v>
      </c>
      <c r="I63" s="32" t="str">
        <f>Currency&amp;"/unit"</f>
        <v>USD/unit</v>
      </c>
      <c r="J63" s="32"/>
      <c r="K63" s="32"/>
    </row>
    <row r="64" spans="2:11" x14ac:dyDescent="0.25">
      <c r="B64" s="61" t="str">
        <f>IFERROR(INDEX(tblParts[Part],1)&amp;"","")</f>
        <v>Cover GC-410</v>
      </c>
      <c r="C64" s="44">
        <f>IF($B$64="","",SUMIFS(tblProduction[Produced],tblProduction[Part],$B$64,tblProduction[View date],"&gt;0"))</f>
        <v>9650</v>
      </c>
      <c r="D64" s="44">
        <f>IF($B$64="","",SUMIFS(tblScrap[Scrapped],tblScrap[Part],$B$64,tblScrap[View date],"&gt;0"))</f>
        <v>99</v>
      </c>
      <c r="E64" s="45">
        <f>IF($B$64="","",IF((SUMIFS(tblProduction[Produced],tblProduction[Part],$B$64,tblProduction[View date],"&gt;0"))=0,"",(SUMIFS(tblScrap[Scrapped],tblScrap[Part],$B$64,tblScrap[View date],"&gt;0"))/(SUMIFS(tblProduction[Produced],tblProduction[Part],$B$64,tblProduction[View date],"&gt;0"))))</f>
        <v>0.010259067357513</v>
      </c>
      <c r="F64" s="60">
        <f>TargetRate</f>
        <v>0.02</v>
      </c>
      <c r="G64" s="44">
        <f>IF($B$64="","",SUMIFS(tblScrap[Net scrap cost],tblScrap[Part],$B$64,tblScrap[View date],"&gt;0"))</f>
        <v>1093.6475</v>
      </c>
      <c r="H64" s="45">
        <f>IF($B$64="","",IF((SUMIFS(tblProduction[Production value],tblProduction[Part],$B$64,tblProduction[View date],"&gt;0"))=0,"",(SUMIFS(tblScrap[Net scrap cost],tblScrap[Part],$B$64,tblScrap[View date],"&gt;0"))/(SUMIFS(tblProduction[Production value],tblProduction[Part],$B$64,tblProduction[View date],"&gt;0"))))</f>
        <v>0.00596480774475048</v>
      </c>
      <c r="I64" s="38">
        <f>IF($B$64="","",IF((SUMIFS(tblProduction[Produced],tblProduction[Part],$B$64,tblProduction[View date],"&gt;0")-SUMIFS(tblScrap[Scrapped],tblScrap[Part],$B$64,tblScrap[View date],"&gt;0"))=0,"",(SUMIFS(tblScrap[Net scrap cost],tblScrap[Part],$B$64,tblScrap[View date],"&gt;0"))/(SUMIFS(tblProduction[Produced],tblProduction[Part],$B$64,tblProduction[View date],"&gt;0")-SUMIFS(tblScrap[Scrapped],tblScrap[Part],$B$64,tblScrap[View date],"&gt;0"))))</f>
        <v>0.114506072662548</v>
      </c>
      <c r="J64" s="46" t="str">
        <f>IF($B$64="","",IF(NOT(ISNUMBER($E$64)),"",IF($E$64&lt;=TargetRate,"On target",IF($E$64&lt;=TargetRate*1.05,"Near target","Above target"))))</f>
        <v>On target</v>
      </c>
      <c r="K64" s="46"/>
    </row>
    <row r="65" spans="2:43" x14ac:dyDescent="0.25">
      <c r="B65" s="61" t="str">
        <f>IFERROR(INDEX(tblParts[Part],2)&amp;"","")</f>
        <v>Housing PH-220</v>
      </c>
      <c r="C65" s="44">
        <f>IF($B$65="","",SUMIFS(tblProduction[Produced],tblProduction[Part],$B$65,tblProduction[View date],"&gt;0"))</f>
        <v>7965</v>
      </c>
      <c r="D65" s="44">
        <f>IF($B$65="","",SUMIFS(tblScrap[Scrapped],tblScrap[Part],$B$65,tblScrap[View date],"&gt;0"))</f>
        <v>234</v>
      </c>
      <c r="E65" s="45">
        <f>IF($B$65="","",IF((SUMIFS(tblProduction[Produced],tblProduction[Part],$B$65,tblProduction[View date],"&gt;0"))=0,"",(SUMIFS(tblScrap[Scrapped],tblScrap[Part],$B$65,tblScrap[View date],"&gt;0"))/(SUMIFS(tblProduction[Produced],tblProduction[Part],$B$65,tblProduction[View date],"&gt;0"))))</f>
        <v>0.0293785310734463</v>
      </c>
      <c r="F65" s="60">
        <f>TargetRate</f>
        <v>0.02</v>
      </c>
      <c r="G65" s="44">
        <f>IF($B$65="","",SUMIFS(tblScrap[Net scrap cost],tblScrap[Part],$B$65,tblScrap[View date],"&gt;0"))</f>
        <v>4248.06</v>
      </c>
      <c r="H65" s="45">
        <f>IF($B$65="","",IF((SUMIFS(tblProduction[Production value],tblProduction[Part],$B$65,tblProduction[View date],"&gt;0"))=0,"",(SUMIFS(tblScrap[Net scrap cost],tblScrap[Part],$B$65,tblScrap[View date],"&gt;0"))/(SUMIFS(tblProduction[Production value],tblProduction[Part],$B$65,tblProduction[View date],"&gt;0"))))</f>
        <v>0.0205131102419238</v>
      </c>
      <c r="I65" s="38">
        <f>IF($B$65="","",IF((SUMIFS(tblProduction[Produced],tblProduction[Part],$B$65,tblProduction[View date],"&gt;0")-SUMIFS(tblScrap[Scrapped],tblScrap[Part],$B$65,tblScrap[View date],"&gt;0"))=0,"",(SUMIFS(tblScrap[Net scrap cost],tblScrap[Part],$B$65,tblScrap[View date],"&gt;0"))/(SUMIFS(tblProduction[Produced],tblProduction[Part],$B$65,tblProduction[View date],"&gt;0")-SUMIFS(tblScrap[Scrapped],tblScrap[Part],$B$65,tblScrap[View date],"&gt;0"))))</f>
        <v>0.549483896003104</v>
      </c>
      <c r="J65" s="46" t="str">
        <f>IF($B$65="","",IF(NOT(ISNUMBER($E$65)),"",IF($E$65&lt;=TargetRate,"On target",IF($E$65&lt;=TargetRate*1.05,"Near target","Above target"))))</f>
        <v>Above target</v>
      </c>
      <c r="K65" s="46"/>
    </row>
    <row r="66" spans="2:43" x14ac:dyDescent="0.25">
      <c r="B66" s="61" t="str">
        <f>IFERROR(INDEX(tblParts[Part],3)&amp;"","")</f>
        <v>Bracket BR-115</v>
      </c>
      <c r="C66" s="44">
        <f>IF($B$66="","",SUMIFS(tblProduction[Produced],tblProduction[Part],$B$66,tblProduction[View date],"&gt;0"))</f>
        <v>25415</v>
      </c>
      <c r="D66" s="44">
        <f>IF($B$66="","",SUMIFS(tblScrap[Scrapped],tblScrap[Part],$B$66,tblScrap[View date],"&gt;0"))</f>
        <v>414</v>
      </c>
      <c r="E66" s="45">
        <f>IF($B$66="","",IF((SUMIFS(tblProduction[Produced],tblProduction[Part],$B$66,tblProduction[View date],"&gt;0"))=0,"",(SUMIFS(tblScrap[Scrapped],tblScrap[Part],$B$66,tblScrap[View date],"&gt;0"))/(SUMIFS(tblProduction[Produced],tblProduction[Part],$B$66,tblProduction[View date],"&gt;0"))))</f>
        <v>0.016289592760181</v>
      </c>
      <c r="F66" s="60">
        <f>TargetRate</f>
        <v>0.02</v>
      </c>
      <c r="G66" s="44">
        <f>IF($B$66="","",SUMIFS(tblScrap[Net scrap cost],tblScrap[Part],$B$66,tblScrap[View date],"&gt;0"))</f>
        <v>1349.382</v>
      </c>
      <c r="H66" s="45">
        <f>IF($B$66="","",IF((SUMIFS(tblProduction[Production value],tblProduction[Part],$B$66,tblProduction[View date],"&gt;0"))=0,"",(SUMIFS(tblScrap[Net scrap cost],tblScrap[Part],$B$66,tblScrap[View date],"&gt;0"))/(SUMIFS(tblProduction[Production value],tblProduction[Part],$B$66,tblProduction[View date],"&gt;0"))))</f>
        <v>0.00992409736688724</v>
      </c>
      <c r="I66" s="38">
        <f>IF($B$66="","",IF((SUMIFS(tblProduction[Produced],tblProduction[Part],$B$66,tblProduction[View date],"&gt;0")-SUMIFS(tblScrap[Scrapped],tblScrap[Part],$B$66,tblScrap[View date],"&gt;0"))=0,"",(SUMIFS(tblScrap[Net scrap cost],tblScrap[Part],$B$66,tblScrap[View date],"&gt;0"))/(SUMIFS(tblProduction[Produced],tblProduction[Part],$B$66,tblProduction[View date],"&gt;0")-SUMIFS(tblScrap[Scrapped],tblScrap[Part],$B$66,tblScrap[View date],"&gt;0"))))</f>
        <v>0.053973121075157</v>
      </c>
      <c r="J66" s="46" t="str">
        <f>IF($B$66="","",IF(NOT(ISNUMBER($E$66)),"",IF($E$66&lt;=TargetRate,"On target",IF($E$66&lt;=TargetRate*1.05,"Near target","Above target"))))</f>
        <v>On target</v>
      </c>
      <c r="K66" s="46"/>
    </row>
    <row r="67" spans="2:43" x14ac:dyDescent="0.25">
      <c r="B67" s="61" t="str">
        <f>IFERROR(INDEX(tblParts[Part],4)&amp;"","")</f>
        <v>End cap EC-330</v>
      </c>
      <c r="C67" s="44">
        <f>IF($B$67="","",SUMIFS(tblProduction[Produced],tblProduction[Part],$B$67,tblProduction[View date],"&gt;0"))</f>
        <v>16225</v>
      </c>
      <c r="D67" s="44">
        <f>IF($B$67="","",SUMIFS(tblScrap[Scrapped],tblScrap[Part],$B$67,tblScrap[View date],"&gt;0"))</f>
        <v>216</v>
      </c>
      <c r="E67" s="45">
        <f>IF($B$67="","",IF((SUMIFS(tblProduction[Produced],tblProduction[Part],$B$67,tblProduction[View date],"&gt;0"))=0,"",(SUMIFS(tblScrap[Scrapped],tblScrap[Part],$B$67,tblScrap[View date],"&gt;0"))/(SUMIFS(tblProduction[Produced],tblProduction[Part],$B$67,tblProduction[View date],"&gt;0"))))</f>
        <v>0.0133127889060092</v>
      </c>
      <c r="F67" s="60">
        <f>TargetRate</f>
        <v>0.02</v>
      </c>
      <c r="G67" s="44">
        <f>IF($B$67="","",SUMIFS(tblScrap[Net scrap cost],tblScrap[Part],$B$67,tblScrap[View date],"&gt;0"))</f>
        <v>1285.74</v>
      </c>
      <c r="H67" s="45">
        <f>IF($B$67="","",IF((SUMIFS(tblProduction[Production value],tblProduction[Part],$B$67,tblProduction[View date],"&gt;0"))=0,"",(SUMIFS(tblScrap[Net scrap cost],tblScrap[Part],$B$67,tblScrap[View date],"&gt;0"))/(SUMIFS(tblProduction[Production value],tblProduction[Part],$B$67,tblProduction[View date],"&gt;0"))))</f>
        <v>0.00698188334475947</v>
      </c>
      <c r="I67" s="38">
        <f>IF($B$67="","",IF((SUMIFS(tblProduction[Produced],tblProduction[Part],$B$67,tblProduction[View date],"&gt;0")-SUMIFS(tblScrap[Scrapped],tblScrap[Part],$B$67,tblScrap[View date],"&gt;0"))=0,"",(SUMIFS(tblScrap[Net scrap cost],tblScrap[Part],$B$67,tblScrap[View date],"&gt;0"))/(SUMIFS(tblProduction[Produced],tblProduction[Part],$B$67,tblProduction[View date],"&gt;0")-SUMIFS(tblScrap[Scrapped],tblScrap[Part],$B$67,tblScrap[View date],"&gt;0"))))</f>
        <v>0.0803135736148417</v>
      </c>
      <c r="J67" s="46" t="str">
        <f>IF($B$67="","",IF(NOT(ISNUMBER($E$67)),"",IF($E$67&lt;=TargetRate,"On target",IF($E$67&lt;=TargetRate*1.05,"Near target","Above target"))))</f>
        <v>On target</v>
      </c>
      <c r="K67" s="46"/>
    </row>
    <row r="69" spans="2:43" x14ac:dyDescent="0.25">
      <c r="B69" s="31" t="s">
        <v>171</v>
      </c>
      <c r="C69" s="31"/>
      <c r="D69" s="31"/>
      <c r="E69" s="31"/>
      <c r="F69" s="31"/>
      <c r="G69" s="31"/>
      <c r="H69" s="31"/>
      <c r="I69" s="31"/>
    </row>
    <row r="70" spans="2:43" ht="45.5" customHeight="1" x14ac:dyDescent="0.25">
      <c r="B70" s="58" t="s">
        <v>172</v>
      </c>
      <c r="C70" s="33" t="s">
        <v>126</v>
      </c>
      <c r="D70" s="33" t="s">
        <v>128</v>
      </c>
      <c r="E70" s="33" t="s">
        <v>129</v>
      </c>
      <c r="F70" s="33" t="s">
        <v>173</v>
      </c>
      <c r="G70" s="33" t="s">
        <v>132</v>
      </c>
      <c r="H70" s="33" t="s">
        <v>174</v>
      </c>
      <c r="I70" s="33" t="s">
        <v>175</v>
      </c>
    </row>
    <row r="71" spans="2:43" ht="14" customHeight="1" x14ac:dyDescent="0.25">
      <c r="B71" s="32"/>
      <c r="C71" s="32" t="s">
        <v>137</v>
      </c>
      <c r="D71" s="32" t="str">
        <f>Currency</f>
        <v>USD</v>
      </c>
      <c r="E71" s="32" t="str">
        <f>Currency</f>
        <v>USD</v>
      </c>
      <c r="F71" s="32" t="str">
        <f>Currency</f>
        <v>USD</v>
      </c>
      <c r="G71" s="32" t="str">
        <f>Currency</f>
        <v>USD</v>
      </c>
      <c r="H71" s="32" t="str">
        <f>Currency&amp;"/unit"</f>
        <v>USD/unit</v>
      </c>
      <c r="I71" s="32" t="s">
        <v>166</v>
      </c>
    </row>
    <row r="72" spans="2:43" x14ac:dyDescent="0.25">
      <c r="B72" s="61" t="str">
        <f>IFERROR(INDEX(tblOperations[Operation],1)&amp;"","")</f>
        <v>10 Cast</v>
      </c>
      <c r="C72" s="44">
        <f>IF($B$72="","",SUMIFS(tblScrap[Scrapped],tblScrap[Operation],$B$72,tblScrap[View date],"&gt;0"))</f>
        <v>530</v>
      </c>
      <c r="D72" s="44">
        <f>IF($B$72="","",SUMIFS(tblScrap[Material write-off],tblScrap[Operation],$B$72,tblScrap[View date],"&gt;0"))</f>
        <v>2018.75</v>
      </c>
      <c r="E72" s="44">
        <f>IF($B$72="","",SUMIFS(tblScrap[Conversion write-off],tblScrap[Operation],$B$72,tblScrap[View date],"&gt;0"))</f>
        <v>1341.1</v>
      </c>
      <c r="F72" s="44">
        <f>IF($B$72="","",SUMIFS(tblScrap[Disposal],tblScrap[Operation],$B$72,tblScrap[View date],"&gt;0")-SUMIFS(tblScrap[Recovery credit],tblScrap[Operation],$B$72,tblScrap[View date],"&gt;0"))</f>
        <v>-823.7025</v>
      </c>
      <c r="G72" s="44">
        <f>IF($B$72="","",SUMIFS(tblScrap[Net scrap cost],tblScrap[Operation],$B$72,tblScrap[View date],"&gt;0"))</f>
        <v>2536.1475</v>
      </c>
      <c r="H72" s="38">
        <f>IF($B$72="","",IF((SUMIFS(tblScrap[Scrapped],tblScrap[Operation],$B$72,tblScrap[View date],"&gt;0"))=0,"",(SUMIFS(tblScrap[Net scrap cost],tblScrap[Operation],$B$72,tblScrap[View date],"&gt;0"))/(SUMIFS(tblScrap[Scrapped],tblScrap[Operation],$B$72,tblScrap[View date],"&gt;0"))))</f>
        <v>4.78518396226415</v>
      </c>
      <c r="I72" s="62">
        <f>IF($B$72="","",IF((SUMIFS(tblScrap[Net scrap cost],tblScrap[View date],"&gt;0"))=0,"",(SUMIFS(tblScrap[Net scrap cost],tblScrap[Operation],$B$72,tblScrap[View date],"&gt;0"))/(SUMIFS(tblScrap[Net scrap cost],tblScrap[View date],"&gt;0"))))</f>
        <v>0.317939289037079</v>
      </c>
    </row>
    <row r="73" spans="2:43" x14ac:dyDescent="0.25">
      <c r="B73" s="61" t="str">
        <f>IFERROR(INDEX(tblOperations[Operation],2)&amp;"","")</f>
        <v>20 Trim</v>
      </c>
      <c r="C73" s="44">
        <f>IF($B$73="","",SUMIFS(tblScrap[Scrapped],tblScrap[Operation],$B$73,tblScrap[View date],"&gt;0"))</f>
        <v>9</v>
      </c>
      <c r="D73" s="44">
        <f>IF($B$73="","",SUMIFS(tblScrap[Material write-off],tblScrap[Operation],$B$73,tblScrap[View date],"&gt;0"))</f>
        <v>77.4</v>
      </c>
      <c r="E73" s="44">
        <f>IF($B$73="","",SUMIFS(tblScrap[Conversion write-off],tblScrap[Operation],$B$73,tblScrap[View date],"&gt;0"))</f>
        <v>58.5</v>
      </c>
      <c r="F73" s="44">
        <f>IF($B$73="","",SUMIFS(tblScrap[Disposal],tblScrap[Operation],$B$73,tblScrap[View date],"&gt;0")-SUMIFS(tblScrap[Recovery credit],tblScrap[Operation],$B$73,tblScrap[View date],"&gt;0"))</f>
        <v>-31.59</v>
      </c>
      <c r="G73" s="44">
        <f>IF($B$73="","",SUMIFS(tblScrap[Net scrap cost],tblScrap[Operation],$B$73,tblScrap[View date],"&gt;0"))</f>
        <v>104.31</v>
      </c>
      <c r="H73" s="38">
        <f>IF($B$73="","",IF((SUMIFS(tblScrap[Scrapped],tblScrap[Operation],$B$73,tblScrap[View date],"&gt;0"))=0,"",(SUMIFS(tblScrap[Net scrap cost],tblScrap[Operation],$B$73,tblScrap[View date],"&gt;0"))/(SUMIFS(tblScrap[Scrapped],tblScrap[Operation],$B$73,tblScrap[View date],"&gt;0"))))</f>
        <v>11.59</v>
      </c>
      <c r="I73" s="62">
        <f>IF($B$73="","",IF((SUMIFS(tblScrap[Net scrap cost],tblScrap[View date],"&gt;0"))=0,"",(SUMIFS(tblScrap[Net scrap cost],tblScrap[Operation],$B$73,tblScrap[View date],"&gt;0"))/(SUMIFS(tblScrap[Net scrap cost],tblScrap[View date],"&gt;0"))))</f>
        <v>0.0130766239895186</v>
      </c>
    </row>
    <row r="74" spans="2:43" x14ac:dyDescent="0.25">
      <c r="B74" s="61" t="str">
        <f>IFERROR(INDEX(tblOperations[Operation],3)&amp;"","")</f>
        <v>30 Machine</v>
      </c>
      <c r="C74" s="44">
        <f>IF($B$74="","",SUMIFS(tblScrap[Scrapped],tblScrap[Operation],$B$74,tblScrap[View date],"&gt;0"))</f>
        <v>224</v>
      </c>
      <c r="D74" s="44">
        <f>IF($B$74="","",SUMIFS(tblScrap[Material write-off],tblScrap[Operation],$B$74,tblScrap[View date],"&gt;0"))</f>
        <v>755.65</v>
      </c>
      <c r="E74" s="44">
        <f>IF($B$74="","",SUMIFS(tblScrap[Conversion write-off],tblScrap[Operation],$B$74,tblScrap[View date],"&gt;0"))</f>
        <v>1308.9</v>
      </c>
      <c r="F74" s="44">
        <f>IF($B$74="","",SUMIFS(tblScrap[Disposal],tblScrap[Operation],$B$74,tblScrap[View date],"&gt;0")-SUMIFS(tblScrap[Recovery credit],tblScrap[Operation],$B$74,tblScrap[View date],"&gt;0"))</f>
        <v>-308.5425</v>
      </c>
      <c r="G74" s="44">
        <f>IF($B$74="","",SUMIFS(tblScrap[Net scrap cost],tblScrap[Operation],$B$74,tblScrap[View date],"&gt;0"))</f>
        <v>1756.0075</v>
      </c>
      <c r="H74" s="38">
        <f>IF($B$74="","",IF((SUMIFS(tblScrap[Scrapped],tblScrap[Operation],$B$74,tblScrap[View date],"&gt;0"))=0,"",(SUMIFS(tblScrap[Net scrap cost],tblScrap[Operation],$B$74,tblScrap[View date],"&gt;0"))/(SUMIFS(tblScrap[Scrapped],tblScrap[Operation],$B$74,tblScrap[View date],"&gt;0"))))</f>
        <v>7.83931919642857</v>
      </c>
      <c r="I74" s="62">
        <f>IF($B$74="","",IF((SUMIFS(tblScrap[Net scrap cost],tblScrap[View date],"&gt;0"))=0,"",(SUMIFS(tblScrap[Net scrap cost],tblScrap[Operation],$B$74,tblScrap[View date],"&gt;0"))/(SUMIFS(tblScrap[Net scrap cost],tblScrap[View date],"&gt;0"))))</f>
        <v>0.22013852746884</v>
      </c>
    </row>
    <row r="75" spans="2:43" x14ac:dyDescent="0.25">
      <c r="B75" s="61" t="str">
        <f>IFERROR(INDEX(tblOperations[Operation],4)&amp;"","")</f>
        <v>40 Leak test</v>
      </c>
      <c r="C75" s="44">
        <f>IF($B$75="","",SUMIFS(tblScrap[Scrapped],tblScrap[Operation],$B$75,tblScrap[View date],"&gt;0"))</f>
        <v>167</v>
      </c>
      <c r="D75" s="44">
        <f>IF($B$75="","",SUMIFS(tblScrap[Material write-off],tblScrap[Operation],$B$75,tblScrap[View date],"&gt;0"))</f>
        <v>1319.55</v>
      </c>
      <c r="E75" s="44">
        <f>IF($B$75="","",SUMIFS(tblScrap[Conversion write-off],tblScrap[Operation],$B$75,tblScrap[View date],"&gt;0"))</f>
        <v>2602.3</v>
      </c>
      <c r="F75" s="44">
        <f>IF($B$75="","",SUMIFS(tblScrap[Disposal],tblScrap[Operation],$B$75,tblScrap[View date],"&gt;0")-SUMIFS(tblScrap[Recovery credit],tblScrap[Operation],$B$75,tblScrap[View date],"&gt;0"))</f>
        <v>-538.5825</v>
      </c>
      <c r="G75" s="44">
        <f>IF($B$75="","",SUMIFS(tblScrap[Net scrap cost],tblScrap[Operation],$B$75,tblScrap[View date],"&gt;0"))</f>
        <v>3383.2675</v>
      </c>
      <c r="H75" s="38">
        <f>IF($B$75="","",IF((SUMIFS(tblScrap[Scrapped],tblScrap[Operation],$B$75,tblScrap[View date],"&gt;0"))=0,"",(SUMIFS(tblScrap[Net scrap cost],tblScrap[Operation],$B$75,tblScrap[View date],"&gt;0"))/(SUMIFS(tblScrap[Scrapped],tblScrap[Operation],$B$75,tblScrap[View date],"&gt;0"))))</f>
        <v>20.2590868263473</v>
      </c>
      <c r="I75" s="62">
        <f>IF($B$75="","",IF((SUMIFS(tblScrap[Net scrap cost],tblScrap[View date],"&gt;0"))=0,"",(SUMIFS(tblScrap[Net scrap cost],tblScrap[Operation],$B$75,tblScrap[View date],"&gt;0"))/(SUMIFS(tblScrap[Net scrap cost],tblScrap[View date],"&gt;0"))))</f>
        <v>0.424136870419507</v>
      </c>
    </row>
    <row r="76" spans="2:43" x14ac:dyDescent="0.25">
      <c r="B76" s="61" t="str">
        <f>IFERROR(INDEX(tblOperations[Operation],5)&amp;"","")</f>
        <v>50 Final inspect</v>
      </c>
      <c r="C76" s="44">
        <f>IF($B$76="","",SUMIFS(tblScrap[Scrapped],tblScrap[Operation],$B$76,tblScrap[View date],"&gt;0"))</f>
        <v>33</v>
      </c>
      <c r="D76" s="44">
        <f>IF($B$76="","",SUMIFS(tblScrap[Material write-off],tblScrap[Operation],$B$76,tblScrap[View date],"&gt;0"))</f>
        <v>82.05</v>
      </c>
      <c r="E76" s="44">
        <f>IF($B$76="","",SUMIFS(tblScrap[Conversion write-off],tblScrap[Operation],$B$76,tblScrap[View date],"&gt;0"))</f>
        <v>148.5</v>
      </c>
      <c r="F76" s="44">
        <f>IF($B$76="","",SUMIFS(tblScrap[Disposal],tblScrap[Operation],$B$76,tblScrap[View date],"&gt;0")-SUMIFS(tblScrap[Recovery credit],tblScrap[Operation],$B$76,tblScrap[View date],"&gt;0"))</f>
        <v>-33.453</v>
      </c>
      <c r="G76" s="44">
        <f>IF($B$76="","",SUMIFS(tblScrap[Net scrap cost],tblScrap[Operation],$B$76,tblScrap[View date],"&gt;0"))</f>
        <v>197.097</v>
      </c>
      <c r="H76" s="38">
        <f>IF($B$76="","",IF((SUMIFS(tblScrap[Scrapped],tblScrap[Operation],$B$76,tblScrap[View date],"&gt;0"))=0,"",(SUMIFS(tblScrap[Net scrap cost],tblScrap[Operation],$B$76,tblScrap[View date],"&gt;0"))/(SUMIFS(tblScrap[Scrapped],tblScrap[Operation],$B$76,tblScrap[View date],"&gt;0"))))</f>
        <v>5.97263636363636</v>
      </c>
      <c r="I76" s="62">
        <f>IF($B$76="","",IF((SUMIFS(tblScrap[Net scrap cost],tblScrap[View date],"&gt;0"))=0,"",(SUMIFS(tblScrap[Net scrap cost],tblScrap[Operation],$B$76,tblScrap[View date],"&gt;0"))/(SUMIFS(tblScrap[Net scrap cost],tblScrap[View date],"&gt;0"))))</f>
        <v>0.0247086890850557</v>
      </c>
    </row>
    <row r="78" spans="2:43" x14ac:dyDescent="0.25">
      <c r="B78" s="31" t="s">
        <v>176</v>
      </c>
      <c r="C78" s="31"/>
      <c r="D78" s="31"/>
      <c r="E78" s="31"/>
      <c r="F78" s="31"/>
      <c r="G78" s="31"/>
    </row>
    <row r="79" spans="2:43" ht="20" customHeight="1" x14ac:dyDescent="0.25">
      <c r="B79" s="33" t="s">
        <v>177</v>
      </c>
      <c r="C79" s="58" t="s">
        <v>71</v>
      </c>
      <c r="D79" s="58"/>
      <c r="E79" s="33" t="s">
        <v>178</v>
      </c>
      <c r="F79" s="33" t="s">
        <v>179</v>
      </c>
      <c r="G79" s="33" t="s">
        <v>180</v>
      </c>
      <c r="AO79" s="7" t="s">
        <v>181</v>
      </c>
      <c r="AP79" s="7" t="s">
        <v>182</v>
      </c>
      <c r="AQ79" s="7" t="s">
        <v>183</v>
      </c>
    </row>
    <row r="80" spans="2:43" x14ac:dyDescent="0.25">
      <c r="B80" s="32"/>
      <c r="C80" s="32"/>
      <c r="D80" s="32"/>
      <c r="E80" s="32" t="str">
        <f>Currency</f>
        <v>USD</v>
      </c>
      <c r="F80" s="32" t="s">
        <v>166</v>
      </c>
      <c r="G80" s="32" t="s">
        <v>166</v>
      </c>
    </row>
    <row r="81" spans="2:43" x14ac:dyDescent="0.25">
      <c r="B81" s="63">
        <v>1</v>
      </c>
      <c r="C81" s="64" t="str">
        <f>IF(INDEX($AP$81:$AP$88,MATCH(1,$AQ$81:$AQ$88,0))&lt;0,"",INDEX($AO$81:$AO$88,MATCH(1,$AQ$81:$AQ$88,0)))</f>
        <v>Leak</v>
      </c>
      <c r="D81" s="64"/>
      <c r="E81" s="44">
        <f>IF($C$81="","",INDEX($AP$81:$AP$88,MATCH(1,$AQ$81:$AQ$88,0)))</f>
        <v>3383.2675</v>
      </c>
      <c r="F81" s="62">
        <f>IF(OR($C$81="",$E$89=0),"",$E$81/$E$89)</f>
        <v>0.424136870419507</v>
      </c>
      <c r="G81" s="62">
        <f>IF(OR($C$81="",$E$89=0),"",SUM($E$81:$E$81)/$E$89)</f>
        <v>0.424136870419507</v>
      </c>
      <c r="AO81" s="11" t="str">
        <f>IFERROR(INDEX(tblReasons[Reason],1)&amp;"","")</f>
        <v>Porosity</v>
      </c>
      <c r="AP81" s="65">
        <f>IF($AO$81="",-1,SUMIFS(tblScrap[Net scrap cost],tblScrap[Reason],$AO$81,tblScrap[View date],"&gt;0"))</f>
        <v>1475.72</v>
      </c>
      <c r="AQ81" s="65">
        <f>COUNTIF($AP$81:$AP$88,"&gt;"&amp;$AP$81)+COUNTIF($AP$81:$AP$81,$AP$81)</f>
        <v>2</v>
      </c>
    </row>
    <row r="82" spans="2:43" x14ac:dyDescent="0.25">
      <c r="B82" s="63">
        <v>2</v>
      </c>
      <c r="C82" s="64" t="str">
        <f>IF(INDEX($AP$81:$AP$88,MATCH(2,$AQ$81:$AQ$88,0))&lt;0,"",INDEX($AO$81:$AO$88,MATCH(2,$AQ$81:$AQ$88,0)))</f>
        <v>Porosity</v>
      </c>
      <c r="D82" s="64"/>
      <c r="E82" s="44">
        <f>IF($C$82="","",INDEX($AP$81:$AP$88,MATCH(2,$AQ$81:$AQ$88,0)))</f>
        <v>1475.72</v>
      </c>
      <c r="F82" s="62">
        <f>IF(OR($C$82="",$E$89=0),"",$E$82/$E$89)</f>
        <v>0.185000820188021</v>
      </c>
      <c r="G82" s="62">
        <f>IF(OR($C$82="",$E$89=0),"",SUM($E$81:$E$82)/$E$89)</f>
        <v>0.609137690607528</v>
      </c>
      <c r="AO82" s="11" t="str">
        <f>IFERROR(INDEX(tblReasons[Reason],2)&amp;"","")</f>
        <v>Cold shut</v>
      </c>
      <c r="AP82" s="65">
        <f>IF($AO$82="",-1,SUMIFS(tblScrap[Net scrap cost],tblScrap[Reason],$AO$82,tblScrap[View date],"&gt;0"))</f>
        <v>1060.4275</v>
      </c>
      <c r="AQ82" s="65">
        <f>COUNTIF($AP$81:$AP$88,"&gt;"&amp;$AP$82)+COUNTIF($AP$81:$AP$82,$AP$82)</f>
        <v>3</v>
      </c>
    </row>
    <row r="83" spans="2:43" x14ac:dyDescent="0.25">
      <c r="B83" s="63">
        <v>3</v>
      </c>
      <c r="C83" s="64" t="str">
        <f>IF(INDEX($AP$81:$AP$88,MATCH(3,$AQ$81:$AQ$88,0))&lt;0,"",INDEX($AO$81:$AO$88,MATCH(3,$AQ$81:$AQ$88,0)))</f>
        <v>Cold shut</v>
      </c>
      <c r="D83" s="64"/>
      <c r="E83" s="44">
        <f>IF($C$83="","",INDEX($AP$81:$AP$88,MATCH(3,$AQ$81:$AQ$88,0)))</f>
        <v>1060.4275</v>
      </c>
      <c r="F83" s="62">
        <f>IF(OR($C$83="",$E$89=0),"",$E$83/$E$89)</f>
        <v>0.132938468849058</v>
      </c>
      <c r="G83" s="62">
        <f>IF(OR($C$83="",$E$89=0),"",SUM($E$81:$E$83)/$E$89)</f>
        <v>0.742076159456586</v>
      </c>
      <c r="AO83" s="11" t="str">
        <f>IFERROR(INDEX(tblReasons[Reason],3)&amp;"","")</f>
        <v>Leak</v>
      </c>
      <c r="AP83" s="65">
        <f>IF($AO$83="",-1,SUMIFS(tblScrap[Net scrap cost],tblScrap[Reason],$AO$83,tblScrap[View date],"&gt;0"))</f>
        <v>3383.2675</v>
      </c>
      <c r="AQ83" s="65">
        <f>COUNTIF($AP$81:$AP$88,"&gt;"&amp;$AP$83)+COUNTIF($AP$81:$AP$83,$AP$83)</f>
        <v>1</v>
      </c>
    </row>
    <row r="84" spans="2:43" x14ac:dyDescent="0.25">
      <c r="B84" s="63">
        <v>4</v>
      </c>
      <c r="C84" s="64" t="str">
        <f>IF(INDEX($AP$81:$AP$88,MATCH(4,$AQ$81:$AQ$88,0))&lt;0,"",INDEX($AO$81:$AO$88,MATCH(4,$AQ$81:$AQ$88,0)))</f>
        <v>Dimension out</v>
      </c>
      <c r="D84" s="64"/>
      <c r="E84" s="44">
        <f>IF($C$84="","",INDEX($AP$81:$AP$88,MATCH(4,$AQ$81:$AQ$88,0)))</f>
        <v>858.6725</v>
      </c>
      <c r="F84" s="62">
        <f>IF(OR($C$84="",$E$89=0),"",$E$84/$E$89)</f>
        <v>0.107645838487585</v>
      </c>
      <c r="G84" s="62">
        <f>IF(OR($C$84="",$E$89=0),"",SUM($E$81:$E$84)/$E$89)</f>
        <v>0.849721997944171</v>
      </c>
      <c r="AO84" s="11" t="str">
        <f>IFERROR(INDEX(tblReasons[Reason],4)&amp;"","")</f>
        <v>Dimension out</v>
      </c>
      <c r="AP84" s="65">
        <f>IF($AO$84="",-1,SUMIFS(tblScrap[Net scrap cost],tblScrap[Reason],$AO$84,tblScrap[View date],"&gt;0"))</f>
        <v>858.6725</v>
      </c>
      <c r="AQ84" s="65">
        <f>COUNTIF($AP$81:$AP$88,"&gt;"&amp;$AP$84)+COUNTIF($AP$81:$AP$84,$AP$84)</f>
        <v>4</v>
      </c>
    </row>
    <row r="85" spans="2:43" x14ac:dyDescent="0.25">
      <c r="B85" s="63">
        <v>5</v>
      </c>
      <c r="C85" s="64" t="str">
        <f>IF(INDEX($AP$81:$AP$88,MATCH(5,$AQ$81:$AQ$88,0))&lt;0,"",INDEX($AO$81:$AO$88,MATCH(5,$AQ$81:$AQ$88,0)))</f>
        <v>Setup scrap</v>
      </c>
      <c r="D85" s="64"/>
      <c r="E85" s="44">
        <f>IF($C$85="","",INDEX($AP$81:$AP$88,MATCH(5,$AQ$81:$AQ$88,0)))</f>
        <v>625.385</v>
      </c>
      <c r="F85" s="62">
        <f>IF(OR($C$85="",$E$89=0),"",$E$85/$E$89)</f>
        <v>0.0784001964690357</v>
      </c>
      <c r="G85" s="62">
        <f>IF(OR($C$85="",$E$89=0),"",SUM($E$81:$E$85)/$E$89)</f>
        <v>0.928122194413206</v>
      </c>
      <c r="AO85" s="11" t="str">
        <f>IFERROR(INDEX(tblReasons[Reason],5)&amp;"","")</f>
        <v>Setup scrap</v>
      </c>
      <c r="AP85" s="65">
        <f>IF($AO$85="",-1,SUMIFS(tblScrap[Net scrap cost],tblScrap[Reason],$AO$85,tblScrap[View date],"&gt;0"))</f>
        <v>625.385</v>
      </c>
      <c r="AQ85" s="65">
        <f>COUNTIF($AP$81:$AP$88,"&gt;"&amp;$AP$85)+COUNTIF($AP$81:$AP$85,$AP$85)</f>
        <v>5</v>
      </c>
    </row>
    <row r="86" spans="2:43" x14ac:dyDescent="0.25">
      <c r="B86" s="63">
        <v>6</v>
      </c>
      <c r="C86" s="64" t="str">
        <f>IF(INDEX($AP$81:$AP$88,MATCH(6,$AQ$81:$AQ$88,0))&lt;0,"",INDEX($AO$81:$AO$88,MATCH(6,$AQ$81:$AQ$88,0)))</f>
        <v>Tool breakage</v>
      </c>
      <c r="D86" s="64"/>
      <c r="E86" s="44">
        <f>IF($C$86="","",INDEX($AP$81:$AP$88,MATCH(6,$AQ$81:$AQ$88,0)))</f>
        <v>271.95</v>
      </c>
      <c r="F86" s="62">
        <f>IF(OR($C$86="",$E$89=0),"",$E$86/$E$89)</f>
        <v>0.0340924925122193</v>
      </c>
      <c r="G86" s="62">
        <f>IF(OR($C$86="",$E$89=0),"",SUM($E$81:$E$86)/$E$89)</f>
        <v>0.962214686925426</v>
      </c>
      <c r="AO86" s="11" t="str">
        <f>IFERROR(INDEX(tblReasons[Reason],6)&amp;"","")</f>
        <v>Tool breakage</v>
      </c>
      <c r="AP86" s="65">
        <f>IF($AO$86="",-1,SUMIFS(tblScrap[Net scrap cost],tblScrap[Reason],$AO$86,tblScrap[View date],"&gt;0"))</f>
        <v>271.95</v>
      </c>
      <c r="AQ86" s="65">
        <f>COUNTIF($AP$81:$AP$88,"&gt;"&amp;$AP$86)+COUNTIF($AP$81:$AP$86,$AP$86)</f>
        <v>6</v>
      </c>
    </row>
    <row r="87" spans="2:43" x14ac:dyDescent="0.25">
      <c r="B87" s="63">
        <v>7</v>
      </c>
      <c r="C87" s="64" t="str">
        <f>IF(INDEX($AP$81:$AP$88,MATCH(7,$AQ$81:$AQ$88,0))&lt;0,"",INDEX($AO$81:$AO$88,MATCH(7,$AQ$81:$AQ$88,0)))</f>
        <v>Handling damage</v>
      </c>
      <c r="D87" s="64"/>
      <c r="E87" s="44">
        <f>IF($C$87="","",INDEX($AP$81:$AP$88,MATCH(7,$AQ$81:$AQ$88,0)))</f>
        <v>212.622</v>
      </c>
      <c r="F87" s="62">
        <f>IF(OR($C$87="",$E$89=0),"",$E$87/$E$89)</f>
        <v>0.026654951067965</v>
      </c>
      <c r="G87" s="62">
        <f>IF(OR($C$87="",$E$89=0),"",SUM($E$81:$E$87)/$E$89)</f>
        <v>0.988869637993391</v>
      </c>
      <c r="AO87" s="11" t="str">
        <f>IFERROR(INDEX(tblReasons[Reason],7)&amp;"","")</f>
        <v>Handling damage</v>
      </c>
      <c r="AP87" s="65">
        <f>IF($AO$87="",-1,SUMIFS(tblScrap[Net scrap cost],tblScrap[Reason],$AO$87,tblScrap[View date],"&gt;0"))</f>
        <v>212.622</v>
      </c>
      <c r="AQ87" s="65">
        <f>COUNTIF($AP$81:$AP$88,"&gt;"&amp;$AP$87)+COUNTIF($AP$81:$AP$87,$AP$87)</f>
        <v>7</v>
      </c>
    </row>
    <row r="88" spans="2:43" x14ac:dyDescent="0.25">
      <c r="B88" s="63">
        <v>8</v>
      </c>
      <c r="C88" s="64" t="str">
        <f>IF(INDEX($AP$81:$AP$88,MATCH(8,$AQ$81:$AQ$88,0))&lt;0,"",INDEX($AO$81:$AO$88,MATCH(8,$AQ$81:$AQ$88,0)))</f>
        <v>Other</v>
      </c>
      <c r="D88" s="64"/>
      <c r="E88" s="44">
        <f>IF($C$88="","",INDEX($AP$81:$AP$88,MATCH(8,$AQ$81:$AQ$88,0)))</f>
        <v>88.785</v>
      </c>
      <c r="F88" s="62">
        <f>IF(OR($C$88="",$E$89=0),"",$E$88/$E$89)</f>
        <v>0.0111303620066093</v>
      </c>
      <c r="G88" s="62">
        <f>IF(OR($C$88="",$E$89=0),"",SUM($E$81:$E$88)/$E$89)</f>
        <v>1</v>
      </c>
      <c r="AO88" s="11" t="str">
        <f>IFERROR(INDEX(tblReasons[Reason],8)&amp;"","")</f>
        <v>Other</v>
      </c>
      <c r="AP88" s="65">
        <f>IF($AO$88="",-1,SUMIFS(tblScrap[Net scrap cost],tblScrap[Reason],$AO$88,tblScrap[View date],"&gt;0"))</f>
        <v>88.785</v>
      </c>
      <c r="AQ88" s="65">
        <f>COUNTIF($AP$81:$AP$88,"&gt;"&amp;$AP$88)+COUNTIF($AP$81:$AP$88,$AP$88)</f>
        <v>8</v>
      </c>
    </row>
    <row r="89" spans="2:43" x14ac:dyDescent="0.25">
      <c r="B89" s="66"/>
      <c r="C89" s="66" t="s">
        <v>184</v>
      </c>
      <c r="D89" s="66"/>
      <c r="E89" s="67">
        <f>SUMIF($AP$81:$AP$88,"&gt;0")</f>
        <v>7976.8295</v>
      </c>
      <c r="F89" s="66"/>
      <c r="G89" s="66"/>
    </row>
    <row r="90" spans="2:43" ht="8" customHeight="1" x14ac:dyDescent="0.25"/>
    <row r="91" spans="2:43" ht="26.76" customHeight="1" x14ac:dyDescent="0.25">
      <c r="B91" s="21" t="s">
        <v>185</v>
      </c>
      <c r="C91" s="21"/>
      <c r="D91" s="21"/>
      <c r="E91" s="21"/>
      <c r="F91" s="21"/>
      <c r="G91" s="21"/>
      <c r="H91" s="21"/>
      <c r="I91" s="21"/>
      <c r="J91" s="21"/>
      <c r="K91" s="21"/>
      <c r="L91" s="21"/>
    </row>
    <row r="92" spans="2:43" x14ac:dyDescent="0.25">
      <c r="B92" s="68">
        <f>IF(OR(COUNTA(tblParts[Part])&gt;4,COUNTA(tblOperations[Operation])&gt;5,COUNTA(tblReasons[Reason])&gt;8),"Setup lists are longer than the Dashboard blocks: some parts, operations or reasons are not shown.","")</f>
        <v/>
      </c>
      <c r="C92" s="68"/>
      <c r="D92" s="68"/>
      <c r="E92" s="68"/>
      <c r="F92" s="68"/>
      <c r="G92" s="68"/>
      <c r="H92" s="68"/>
      <c r="I92" s="68"/>
      <c r="J92" s="68"/>
      <c r="K92" s="68"/>
      <c r="L92" s="68"/>
    </row>
  </sheetData>
  <sheetProtection sheet="1" formatColumns="0" formatRows="0"/>
  <mergeCells count="62">
    <mergeCell ref="A1:L1"/>
    <mergeCell ref="B2:J2"/>
    <mergeCell ref="K2:L2"/>
    <mergeCell ref="C4:D4"/>
    <mergeCell ref="G4:H4"/>
    <mergeCell ref="K4:L4"/>
    <mergeCell ref="B5:L5"/>
    <mergeCell ref="B7:C7"/>
    <mergeCell ref="B8:C9"/>
    <mergeCell ref="B10:C10"/>
    <mergeCell ref="B11:C11"/>
    <mergeCell ref="D7:F7"/>
    <mergeCell ref="D8:F9"/>
    <mergeCell ref="D10:F10"/>
    <mergeCell ref="D11:F11"/>
    <mergeCell ref="G7:I7"/>
    <mergeCell ref="G8:I9"/>
    <mergeCell ref="G10:I10"/>
    <mergeCell ref="G11:I11"/>
    <mergeCell ref="J7:L7"/>
    <mergeCell ref="J8:L9"/>
    <mergeCell ref="J10:L10"/>
    <mergeCell ref="J11:L11"/>
    <mergeCell ref="B29:C29"/>
    <mergeCell ref="B30:C31"/>
    <mergeCell ref="B32:C32"/>
    <mergeCell ref="B33:C33"/>
    <mergeCell ref="D29:F29"/>
    <mergeCell ref="D30:F31"/>
    <mergeCell ref="D32:F32"/>
    <mergeCell ref="D33:F33"/>
    <mergeCell ref="G29:I29"/>
    <mergeCell ref="G30:I31"/>
    <mergeCell ref="G32:I32"/>
    <mergeCell ref="G33:I33"/>
    <mergeCell ref="J29:L29"/>
    <mergeCell ref="J30:L31"/>
    <mergeCell ref="J32:L32"/>
    <mergeCell ref="J33:L33"/>
    <mergeCell ref="B51:K51"/>
    <mergeCell ref="B61:K61"/>
    <mergeCell ref="J62:K62"/>
    <mergeCell ref="J63:K63"/>
    <mergeCell ref="J64:K64"/>
    <mergeCell ref="J65:K65"/>
    <mergeCell ref="J66:K66"/>
    <mergeCell ref="J67:K67"/>
    <mergeCell ref="B69:I69"/>
    <mergeCell ref="B78:G78"/>
    <mergeCell ref="C79:D79"/>
    <mergeCell ref="C80:D80"/>
    <mergeCell ref="C81:D81"/>
    <mergeCell ref="C82:D82"/>
    <mergeCell ref="C83:D83"/>
    <mergeCell ref="C84:D84"/>
    <mergeCell ref="C85:D85"/>
    <mergeCell ref="C86:D86"/>
    <mergeCell ref="C87:D87"/>
    <mergeCell ref="C88:D88"/>
    <mergeCell ref="C89:D89"/>
    <mergeCell ref="B91:L91"/>
    <mergeCell ref="B92:L92"/>
  </mergeCells>
  <conditionalFormatting sqref="D11">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E54:E59">
    <cfRule type="expression" dxfId="3" priority="41" stopIfTrue="1">
      <formula>AND(ISNUMBER(E54),E54&lt;=(TargetRate))</formula>
    </cfRule>
    <cfRule type="expression" dxfId="4" priority="42" stopIfTrue="1">
      <formula>AND(ISNUMBER(E54),E54&lt;=(TargetRate)*(1+0.05))</formula>
    </cfRule>
    <cfRule type="expression" dxfId="5" priority="43">
      <formula>ISNUMBER(E54)</formula>
    </cfRule>
  </conditionalFormatting>
  <conditionalFormatting sqref="E64:E67">
    <cfRule type="expression" dxfId="3" priority="47" stopIfTrue="1">
      <formula>AND(ISNUMBER(E64),E64&lt;=(TargetRate))</formula>
    </cfRule>
    <cfRule type="expression" dxfId="4" priority="48" stopIfTrue="1">
      <formula>AND(ISNUMBER(E64),E64&lt;=(TargetRate)*(1+0.05))</formula>
    </cfRule>
    <cfRule type="expression" dxfId="5" priority="49">
      <formula>ISNUMBER(E64)</formula>
    </cfRule>
  </conditionalFormatting>
  <conditionalFormatting sqref="E81:E88">
    <cfRule type="dataBar" priority="74">
      <dataBar>
        <cfvo type="num" val="0"/>
        <cfvo type="max"/>
        <color rgb="FFA8BDF0"/>
      </dataBar>
      <extLst>
        <ext xmlns:x14="http://schemas.microsoft.com/office/spreadsheetml/2009/9/main" uri="{B025F937-C7B1-47D3-B67F-A62EFF666E3E}">
          <x14:id>{DA7ABA51-AAAA-BBBB-0005-000000000001}</x14:id>
        </ext>
      </extLst>
    </cfRule>
  </conditionalFormatting>
  <conditionalFormatting sqref="G11">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H64:H67">
    <cfRule type="expression" dxfId="3" priority="50" stopIfTrue="1">
      <formula>AND(ISNUMBER(H64),H64&lt;=(TargetShare))</formula>
    </cfRule>
    <cfRule type="expression" dxfId="4" priority="51" stopIfTrue="1">
      <formula>AND(ISNUMBER(H64),H64&lt;=(TargetShare)*(1+0.05))</formula>
    </cfRule>
    <cfRule type="expression" dxfId="5" priority="52">
      <formula>ISNUMBER(H64)</formula>
    </cfRule>
  </conditionalFormatting>
  <conditionalFormatting sqref="I72:I76">
    <cfRule type="dataBar" priority="73">
      <dataBar>
        <cfvo type="num" val="0"/>
        <cfvo type="max"/>
        <color rgb="FFA8BDF0"/>
      </dataBar>
      <extLst>
        <ext xmlns:x14="http://schemas.microsoft.com/office/spreadsheetml/2009/9/main" uri="{B025F937-C7B1-47D3-B67F-A62EFF666E3E}">
          <x14:id>{DA7ABA51-AAAA-BBBB-0005-000000000002}</x14:id>
        </ext>
      </extLst>
    </cfRule>
  </conditionalFormatting>
  <conditionalFormatting sqref="J54:J59">
    <cfRule type="expression" dxfId="3" priority="44" stopIfTrue="1">
      <formula>AND(ISNUMBER(J54),J54&lt;=(TargetShare))</formula>
    </cfRule>
    <cfRule type="expression" dxfId="4" priority="45" stopIfTrue="1">
      <formula>AND(ISNUMBER(J54),J54&lt;=(TargetShare)*(1+0.05))</formula>
    </cfRule>
    <cfRule type="expression" dxfId="5" priority="46">
      <formula>ISNUMBER(J54)</formula>
    </cfRule>
  </conditionalFormatting>
  <conditionalFormatting sqref="J64:J67">
    <cfRule type="cellIs" dxfId="0" priority="53" operator="equal">
      <formula>"On target"</formula>
    </cfRule>
    <cfRule type="cellIs" dxfId="0" priority="54" operator="equal">
      <formula>"PASS"</formula>
    </cfRule>
    <cfRule type="cellIs" dxfId="0" priority="55" operator="equal">
      <formula>"OK"</formula>
    </cfRule>
    <cfRule type="cellIs" dxfId="0" priority="56" operator="equal">
      <formula>"Within limits"</formula>
    </cfRule>
    <cfRule type="cellIs" dxfId="0" priority="57" operator="equal">
      <formula>"Under capacity"</formula>
    </cfRule>
    <cfRule type="cellIs" dxfId="0" priority="58" operator="equal">
      <formula>"Complete"</formula>
    </cfRule>
    <cfRule type="cellIs" dxfId="0" priority="59" operator="equal">
      <formula>"Yes"</formula>
    </cfRule>
    <cfRule type="cellIs" dxfId="1" priority="60" operator="equal">
      <formula>"Near target"</formula>
    </cfRule>
    <cfRule type="cellIs" dxfId="1" priority="61" operator="equal">
      <formula>"Check"</formula>
    </cfRule>
    <cfRule type="cellIs" dxfId="1" priority="62" operator="equal">
      <formula>"Due soon"</formula>
    </cfRule>
    <cfRule type="cellIs" dxfId="1" priority="63" operator="equal">
      <formula>"Near capacity"</formula>
    </cfRule>
    <cfRule type="cellIs" dxfId="1" priority="64" operator="equal">
      <formula>"In progress"</formula>
    </cfRule>
    <cfRule type="cellIs" dxfId="1" priority="65" operator="equal">
      <formula>"Partial"</formula>
    </cfRule>
    <cfRule type="cellIs" dxfId="2" priority="66" operator="equal">
      <formula>"Below target"</formula>
    </cfRule>
    <cfRule type="cellIs" dxfId="2" priority="67" operator="equal">
      <formula>"Above target"</formula>
    </cfRule>
    <cfRule type="cellIs" dxfId="2" priority="68" operator="equal">
      <formula>"FAIL"</formula>
    </cfRule>
    <cfRule type="cellIs" dxfId="2" priority="69" operator="equal">
      <formula>"Over capacity"</formula>
    </cfRule>
    <cfRule type="cellIs" dxfId="2" priority="70" operator="equal">
      <formula>"Overdue"</formula>
    </cfRule>
    <cfRule type="cellIs" dxfId="2" priority="71" operator="equal">
      <formula>"Out of limits"</formula>
    </cfRule>
    <cfRule type="cellIs" dxfId="2" priority="72" operator="equal">
      <formula>"No"</formula>
    </cfRule>
  </conditionalFormatting>
  <dataValidations count="3">
    <dataValidation type="list" allowBlank="1" showInputMessage="1" showErrorMessage="1" errorTitle="Check this entry" error="Pick from the list (edit the list on Setup: Parts)." promptTitle="Part" prompt="Leave blank for all parts. Pick from the list (edit the list on Setup: Parts)." sqref="C4">
      <formula1>Parts</formula1>
    </dataValidation>
    <dataValidation type="date" allowBlank="1" showInputMessage="1" showErrorMessage="1" errorTitle="Check this entry" error="Enter a date between 01 Jan 2000 and 31 Dec 2100." promptTitle="From" prompt="First date to include. Leave blank to start at the first record. Enter a date between 01 Jan 2000 and 31 Dec 2100." sqref="G4">
      <formula1>36526</formula1>
      <formula2>73415</formula2>
    </dataValidation>
    <dataValidation type="date" allowBlank="1" showInputMessage="1" showErrorMessage="1" errorTitle="Check this entry" error="Enter a date between 01 Jan 2000 and 31 Dec 2100." promptTitle="To" prompt="Last date to include. Leave blank to end at the latest record. Enter a date between 01 Jan 2000 and 31 Dec 2100." sqref="K4">
      <formula1>36526</formula1>
      <formula2>73415</formula2>
    </dataValidation>
  </dataValidations>
  <hyperlinks>
    <hyperlink ref="K2" r:id="rId1" tooltip="Free manufacturing calculators and templates"/>
  </hyperlinks>
  <pageMargins left="0.4" right="0.4" top="0.7" bottom="0.65" header="0.3" footer="0.3"/>
  <pageSetup fitToHeight="0" orientation="landscape"/>
  <headerFooter>
    <oddHeader>&amp;L&amp;8MFG Calcs - Scrap Cost Tracker&amp;R&amp;8&amp;A</oddHeader>
    <oddFooter>&amp;L&amp;8mfgcalcs.com - free manufacturing templates&amp;R&amp;8Page &amp;P of &amp;N</oddFooter>
  </headerFooter>
  <rowBreaks count="3" manualBreakCount="3">
    <brk id="28" max="16383" man="1"/>
    <brk id="50" max="16383" man="1"/>
    <brk id="77" max="16383" man="1"/>
  </rowBreaks>
  <drawing r:id="rId2"/>
  <extLst>
    <ext xmlns:x14="http://schemas.microsoft.com/office/spreadsheetml/2009/9/main" uri="{78C0D931-6437-407d-A8EE-F0AAD7539E65}">
      <x14:conditionalFormattings>
        <x14:conditionalFormatting xmlns:xm="http://schemas.microsoft.com/office/excel/2006/main">
          <x14:cfRule type="dataBar" id="{DA7ABA51-AAAA-BBBB-0005-000000000001}">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E81:E88</xm:sqref>
        </x14:conditionalFormatting>
        <x14:conditionalFormatting xmlns:xm="http://schemas.microsoft.com/office/excel/2006/main">
          <x14:cfRule type="dataBar" id="{DA7ABA51-AAAA-BBBB-0005-000000000002}">
            <x14:dataBar minLength="0" maxLength="100" border="1" gradient="0" negativeBarBorderColorSameAsPositive="0">
              <x14:cfvo type="num">
                <xm:f>0</xm:f>
              </x14:cfvo>
              <x14:cfvo type="autoMax"/>
              <x14:borderColor rgb="FFA8BDF0"/>
              <x14:negativeFillColor rgb="FFFF0000"/>
              <x14:negativeBorderColor rgb="FFFF0000"/>
              <x14:axisColor rgb="FF000000"/>
            </x14:dataBar>
          </x14:cfRule>
          <xm:sqref>I72:I76</xm:sqref>
        </x14:conditionalFormatting>
      </x14:conditionalFormattings>
    </ext>
  </extLst>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186</v>
      </c>
      <c r="C4" s="8"/>
      <c r="D4" s="8"/>
    </row>
    <row r="5" spans="1:4" ht="5" customHeight="1"/>
    <row r="6" spans="1:4" ht="55.8" customHeight="1">
      <c r="B6" s="10" t="s">
        <v>187</v>
      </c>
      <c r="C6" s="10"/>
      <c r="D6" s="10"/>
    </row>
    <row r="8" spans="1:4" ht="21" customHeight="1">
      <c r="B8" s="8" t="s">
        <v>188</v>
      </c>
      <c r="C8" s="8"/>
      <c r="D8" s="8"/>
    </row>
    <row r="9" spans="1:4" ht="5" customHeight="1"/>
    <row r="10" spans="1:4" ht="20" customHeight="1">
      <c r="B10" s="58" t="s">
        <v>189</v>
      </c>
      <c r="C10" s="58" t="s">
        <v>190</v>
      </c>
      <c r="D10" s="33" t="s">
        <v>191</v>
      </c>
    </row>
    <row r="11" spans="1:4" ht="17.2" customHeight="1">
      <c r="B11" s="69" t="s">
        <v>128</v>
      </c>
      <c r="C11" s="70" t="s">
        <v>192</v>
      </c>
      <c r="D11" s="71" t="s">
        <v>193</v>
      </c>
    </row>
    <row r="12" spans="1:4" ht="30.4" customHeight="1">
      <c r="B12" s="69" t="s">
        <v>129</v>
      </c>
      <c r="C12" s="70" t="s">
        <v>194</v>
      </c>
      <c r="D12" s="71" t="s">
        <v>193</v>
      </c>
    </row>
    <row r="13" spans="1:4" ht="17.2" customHeight="1">
      <c r="B13" s="69" t="s">
        <v>127</v>
      </c>
      <c r="C13" s="70" t="s">
        <v>195</v>
      </c>
      <c r="D13" s="71" t="s">
        <v>138</v>
      </c>
    </row>
    <row r="14" spans="1:4" ht="30.4" customHeight="1">
      <c r="B14" s="69" t="s">
        <v>196</v>
      </c>
      <c r="C14" s="70" t="s">
        <v>197</v>
      </c>
      <c r="D14" s="71" t="s">
        <v>193</v>
      </c>
    </row>
    <row r="15" spans="1:4" ht="30.4" customHeight="1">
      <c r="B15" s="69" t="s">
        <v>132</v>
      </c>
      <c r="C15" s="70" t="s">
        <v>198</v>
      </c>
      <c r="D15" s="71" t="s">
        <v>193</v>
      </c>
    </row>
    <row r="16" spans="1:4" ht="17.2" customHeight="1">
      <c r="B16" s="69" t="s">
        <v>143</v>
      </c>
      <c r="C16" s="70" t="s">
        <v>199</v>
      </c>
      <c r="D16" s="71" t="s">
        <v>193</v>
      </c>
    </row>
    <row r="17" spans="2:4" ht="30.4" customHeight="1">
      <c r="B17" s="69" t="s">
        <v>144</v>
      </c>
      <c r="C17" s="70" t="s">
        <v>200</v>
      </c>
      <c r="D17" s="71" t="s">
        <v>166</v>
      </c>
    </row>
    <row r="18" spans="2:4" ht="17.2" customHeight="1">
      <c r="B18" s="69" t="s">
        <v>146</v>
      </c>
      <c r="C18" s="70" t="s">
        <v>201</v>
      </c>
      <c r="D18" s="71" t="s">
        <v>166</v>
      </c>
    </row>
    <row r="19" spans="2:4" ht="17.2" customHeight="1">
      <c r="B19" s="69" t="s">
        <v>147</v>
      </c>
      <c r="C19" s="70" t="s">
        <v>202</v>
      </c>
      <c r="D19" s="71" t="s">
        <v>203</v>
      </c>
    </row>
    <row r="20" spans="2:4" ht="30.4" customHeight="1">
      <c r="B20" s="69" t="s">
        <v>204</v>
      </c>
      <c r="C20" s="70" t="s">
        <v>205</v>
      </c>
      <c r="D20" s="71" t="s">
        <v>206</v>
      </c>
    </row>
    <row r="21" spans="2:4" ht="43.6" customHeight="1">
      <c r="B21" s="69" t="s">
        <v>207</v>
      </c>
      <c r="C21" s="70" t="s">
        <v>208</v>
      </c>
      <c r="D21" s="71" t="s">
        <v>209</v>
      </c>
    </row>
    <row r="23" spans="2:4" ht="21" customHeight="1">
      <c r="B23" s="8" t="s">
        <v>210</v>
      </c>
      <c r="C23" s="8"/>
      <c r="D23" s="8"/>
    </row>
    <row r="24" spans="2:4" ht="5" customHeight="1"/>
    <row r="25" spans="2:4" ht="29.4" customHeight="1">
      <c r="B25" s="26" t="s">
        <v>57</v>
      </c>
      <c r="C25" s="10" t="s">
        <v>211</v>
      </c>
      <c r="D25" s="10"/>
    </row>
    <row r="26" spans="2:4" ht="29.4" customHeight="1">
      <c r="B26" s="26" t="s">
        <v>57</v>
      </c>
      <c r="C26" s="10" t="s">
        <v>212</v>
      </c>
      <c r="D26" s="10"/>
    </row>
    <row r="27" spans="2:4" ht="29.4" customHeight="1">
      <c r="B27" s="26" t="s">
        <v>57</v>
      </c>
      <c r="C27" s="10" t="s">
        <v>213</v>
      </c>
      <c r="D27" s="10"/>
    </row>
    <row r="28" spans="2:4" ht="29.4" customHeight="1">
      <c r="B28" s="26" t="s">
        <v>57</v>
      </c>
      <c r="C28" s="10" t="s">
        <v>214</v>
      </c>
      <c r="D28" s="10"/>
    </row>
    <row r="30" spans="2:4" ht="21" customHeight="1">
      <c r="B30" s="8" t="s">
        <v>215</v>
      </c>
      <c r="C30" s="8"/>
      <c r="D30" s="8"/>
    </row>
    <row r="31" spans="2:4" ht="5" customHeight="1"/>
    <row r="32" spans="2:4" ht="29.4" customHeight="1">
      <c r="B32" s="26" t="s">
        <v>57</v>
      </c>
      <c r="C32" s="10" t="s">
        <v>216</v>
      </c>
      <c r="D32" s="10"/>
    </row>
    <row r="33" spans="2:4" ht="29.4" customHeight="1">
      <c r="B33" s="26" t="s">
        <v>57</v>
      </c>
      <c r="C33" s="10" t="s">
        <v>217</v>
      </c>
      <c r="D33" s="10"/>
    </row>
    <row r="34" spans="2:4" ht="29.4" customHeight="1">
      <c r="B34" s="26" t="s">
        <v>57</v>
      </c>
      <c r="C34" s="10" t="s">
        <v>218</v>
      </c>
      <c r="D34" s="10"/>
    </row>
    <row r="35" spans="2:4" ht="16.2" customHeight="1">
      <c r="B35" s="26" t="s">
        <v>57</v>
      </c>
      <c r="C35" s="10" t="s">
        <v>219</v>
      </c>
      <c r="D35" s="10"/>
    </row>
    <row r="37" spans="2:4" ht="21" customHeight="1">
      <c r="B37" s="8" t="s">
        <v>220</v>
      </c>
      <c r="C37" s="8"/>
      <c r="D37" s="8"/>
    </row>
    <row r="38" spans="2:4" ht="5" customHeight="1"/>
    <row r="39" spans="2:4" ht="82.2" customHeight="1">
      <c r="B39" s="10" t="s">
        <v>221</v>
      </c>
      <c r="C39" s="10"/>
      <c r="D39" s="10"/>
    </row>
    <row r="40" spans="2:4">
      <c r="B40" s="24" t="s">
        <v>222</v>
      </c>
      <c r="C40" s="24"/>
      <c r="D40" s="24"/>
    </row>
    <row r="42" spans="2:4" ht="21" customHeight="1">
      <c r="B42" s="8" t="s">
        <v>44</v>
      </c>
      <c r="C42" s="8"/>
      <c r="D42" s="8"/>
    </row>
    <row r="43" spans="2:4" ht="5" customHeight="1"/>
    <row r="44" spans="2:4" ht="42.6" customHeight="1">
      <c r="B44" s="10" t="s">
        <v>223</v>
      </c>
      <c r="C44" s="10"/>
      <c r="D44" s="10"/>
    </row>
    <row r="46" spans="2:4" ht="21" customHeight="1">
      <c r="B46" s="8" t="s">
        <v>224</v>
      </c>
      <c r="C46" s="8"/>
      <c r="D46" s="8"/>
    </row>
    <row r="47" spans="2:4" ht="5" customHeight="1"/>
    <row r="48" spans="2:4" ht="42.6" customHeight="1">
      <c r="B48" s="26" t="s">
        <v>57</v>
      </c>
      <c r="C48" s="10" t="s">
        <v>225</v>
      </c>
      <c r="D48" s="10"/>
    </row>
    <row r="49" spans="2:4" ht="16.2" customHeight="1">
      <c r="B49" s="26" t="s">
        <v>57</v>
      </c>
      <c r="C49" s="10" t="s">
        <v>226</v>
      </c>
      <c r="D49" s="10"/>
    </row>
    <row r="50" spans="2:4" ht="16.2" customHeight="1">
      <c r="B50" s="26" t="s">
        <v>57</v>
      </c>
      <c r="C50" s="10" t="s">
        <v>227</v>
      </c>
      <c r="D50" s="10"/>
    </row>
    <row r="51" spans="2:4">
      <c r="B51" s="21" t="s">
        <v>228</v>
      </c>
      <c r="C51" s="21"/>
      <c r="D51" s="21"/>
    </row>
    <row r="53" spans="2:4" ht="21" customHeight="1">
      <c r="B53" s="8" t="s">
        <v>229</v>
      </c>
      <c r="C53" s="8"/>
      <c r="D53" s="8"/>
    </row>
    <row r="54" spans="2:4" ht="5" customHeight="1"/>
    <row r="55" spans="2:4">
      <c r="B55" s="58" t="s">
        <v>52</v>
      </c>
      <c r="C55" s="58" t="s">
        <v>230</v>
      </c>
      <c r="D55" s="33" t="s">
        <v>125</v>
      </c>
    </row>
    <row r="56" spans="2:4" ht="16.2" customHeight="1">
      <c r="B56" s="72" t="s">
        <v>231</v>
      </c>
      <c r="C56" s="73" t="s">
        <v>232</v>
      </c>
      <c r="D56" s="74" t="s">
        <v>233</v>
      </c>
    </row>
    <row r="58" spans="2:4">
      <c r="B58" s="21" t="s">
        <v>63</v>
      </c>
      <c r="C58" s="21"/>
      <c r="D58" s="21"/>
    </row>
  </sheetData>
  <sheetProtection sheet="1" formatColumns="0" formatRows="0"/>
  <mergeCells count="27">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B51:D51"/>
    <mergeCell ref="B53:D53"/>
    <mergeCell ref="B58:D58"/>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Scrap Cost Tracker&amp;R&amp;8&amp;A</oddHeader>
    <oddFooter>&amp;L&amp;8mfgcalcs.com - free manufacturing templates&amp;R&amp;8Page &amp;P of &amp;N</oddFooter>
  </headerFooter>
  <rowBreaks count="1" manualBreakCount="1">
    <brk id="29"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R64"/>
  <sheetViews>
    <sheetView showGridLines="0" workbookViewId="0"/>
  </sheetViews>
  <sheetFormatPr defaultRowHeight="15"/>
  <cols>
    <col min="1" max="1" width="2.7109375" customWidth="1"/>
    <col min="2" max="19" width="12.7109375" customWidth="1"/>
  </cols>
  <sheetData>
    <row r="1" spans="1:18" ht="30" customHeight="1">
      <c r="A1" s="1" t="s">
        <v>0</v>
      </c>
      <c r="B1" s="1"/>
      <c r="C1" s="1"/>
      <c r="D1" s="1"/>
      <c r="E1" s="1"/>
      <c r="F1" s="1"/>
      <c r="G1" s="1"/>
      <c r="H1" s="1"/>
      <c r="I1" s="1"/>
      <c r="J1" s="1"/>
      <c r="K1" s="1"/>
      <c r="L1" s="1"/>
      <c r="M1" s="1"/>
      <c r="N1" s="1"/>
      <c r="O1" s="1"/>
      <c r="P1" s="1"/>
      <c r="Q1" s="1"/>
      <c r="R1" s="1"/>
    </row>
    <row r="2" spans="1:18" ht="21" customHeight="1">
      <c r="B2" s="2" t="s">
        <v>30</v>
      </c>
      <c r="C2" s="2"/>
      <c r="D2" s="2"/>
      <c r="E2" s="2"/>
      <c r="F2" s="2"/>
      <c r="G2" s="2"/>
      <c r="H2" s="2"/>
      <c r="I2" s="2"/>
      <c r="J2" s="2"/>
      <c r="K2" s="2"/>
      <c r="L2" s="2"/>
      <c r="M2" s="2"/>
      <c r="N2" s="2"/>
      <c r="O2" s="2"/>
      <c r="P2" s="2"/>
      <c r="Q2" s="2"/>
      <c r="R2" s="3" t="s">
        <v>2</v>
      </c>
    </row>
    <row r="3" spans="1:18" ht="6" customHeight="1"/>
    <row r="4" spans="1:18" ht="30" customHeight="1">
      <c r="B4" s="75" t="s">
        <v>234</v>
      </c>
      <c r="C4" s="75"/>
      <c r="D4" s="22" t="str">
        <f>IF(COUNTIF($K$11:$K$27,"PASS")=17,"PASS","FAIL")</f>
        <v>PASS</v>
      </c>
      <c r="E4" s="22"/>
      <c r="F4" s="23" t="str">
        <f>COUNTIF($K$11:$K$27,"PASS")&amp;" of 17 checks pass"</f>
        <v>17 of 17 checks pass</v>
      </c>
      <c r="G4" s="23"/>
      <c r="H4" s="23"/>
      <c r="I4" s="23"/>
      <c r="J4" s="23"/>
    </row>
    <row r="6" spans="1:18" ht="29.4" customHeight="1">
      <c r="B6" s="10" t="s">
        <v>235</v>
      </c>
      <c r="C6" s="10"/>
      <c r="D6" s="10"/>
      <c r="E6" s="10"/>
      <c r="F6" s="10"/>
      <c r="G6" s="10"/>
      <c r="H6" s="10"/>
      <c r="I6" s="10"/>
      <c r="J6" s="10"/>
      <c r="K6" s="10"/>
      <c r="L6" s="10"/>
    </row>
    <row r="8" spans="1:18" ht="21" customHeight="1">
      <c r="B8" s="8" t="s">
        <v>236</v>
      </c>
      <c r="C8" s="8"/>
      <c r="D8" s="8"/>
      <c r="E8" s="8"/>
      <c r="F8" s="8"/>
      <c r="G8" s="8"/>
      <c r="H8" s="8"/>
      <c r="I8" s="8"/>
      <c r="J8" s="8"/>
      <c r="K8" s="8"/>
      <c r="L8" s="8"/>
    </row>
    <row r="9" spans="1:18" ht="5" customHeight="1"/>
    <row r="10" spans="1:18" ht="30" customHeight="1">
      <c r="B10" s="33" t="s">
        <v>237</v>
      </c>
      <c r="C10" s="58" t="s">
        <v>134</v>
      </c>
      <c r="D10" s="58"/>
      <c r="E10" s="58"/>
      <c r="F10" s="58"/>
      <c r="G10" s="33" t="s">
        <v>238</v>
      </c>
      <c r="H10" s="33" t="s">
        <v>239</v>
      </c>
      <c r="I10" s="33" t="s">
        <v>240</v>
      </c>
      <c r="J10" s="33" t="s">
        <v>241</v>
      </c>
      <c r="K10" s="33" t="s">
        <v>242</v>
      </c>
    </row>
    <row r="11" spans="1:18" ht="16.2" customHeight="1">
      <c r="B11" s="63">
        <v>1</v>
      </c>
      <c r="C11" s="73" t="s">
        <v>243</v>
      </c>
      <c r="D11" s="73"/>
      <c r="E11" s="73"/>
      <c r="F11" s="73"/>
      <c r="G11" s="76">
        <v>136.5</v>
      </c>
      <c r="H11" s="38">
        <f>$K$55</f>
        <v>136.5</v>
      </c>
      <c r="I11" s="77">
        <f>IF(AND(ISNUMBER($G$11),ISNUMBER($H$11)),ABS($H$11-$G$11),"")</f>
        <v>0</v>
      </c>
      <c r="J11" s="78">
        <v>1E-09</v>
      </c>
      <c r="K11" s="46" t="str">
        <f>IF(AND(ISNUMBER($G$11),ISNUMBER($H$11)),IF(ABS($H$11-$G$11)&lt;=$J$11,"PASS","FAIL"),"FAIL")</f>
        <v>PASS</v>
      </c>
    </row>
    <row r="12" spans="1:18" ht="16.2" customHeight="1">
      <c r="B12" s="63">
        <v>2</v>
      </c>
      <c r="C12" s="73" t="s">
        <v>244</v>
      </c>
      <c r="D12" s="73"/>
      <c r="E12" s="73"/>
      <c r="F12" s="73"/>
      <c r="G12" s="76">
        <v>46.2</v>
      </c>
      <c r="H12" s="38">
        <f>$L$55</f>
        <v>46.2</v>
      </c>
      <c r="I12" s="77">
        <f>IF(AND(ISNUMBER($G$12),ISNUMBER($H$12)),ABS($H$12-$G$12),"")</f>
        <v>0</v>
      </c>
      <c r="J12" s="78">
        <v>1E-09</v>
      </c>
      <c r="K12" s="46" t="str">
        <f>IF(AND(ISNUMBER($G$12),ISNUMBER($H$12)),IF(ABS($H$12-$G$12)&lt;=$J$12,"PASS","FAIL"),"FAIL")</f>
        <v>PASS</v>
      </c>
    </row>
    <row r="13" spans="1:18" ht="16.2" customHeight="1">
      <c r="B13" s="63">
        <v>3</v>
      </c>
      <c r="C13" s="73" t="s">
        <v>245</v>
      </c>
      <c r="D13" s="73"/>
      <c r="E13" s="73"/>
      <c r="F13" s="73"/>
      <c r="G13" s="76">
        <v>25.2</v>
      </c>
      <c r="H13" s="38">
        <f>$M$55</f>
        <v>25.2</v>
      </c>
      <c r="I13" s="77">
        <f>IF(AND(ISNUMBER($G$13),ISNUMBER($H$13)),ABS($H$13-$G$13),"")</f>
        <v>0</v>
      </c>
      <c r="J13" s="78">
        <v>1E-09</v>
      </c>
      <c r="K13" s="46" t="str">
        <f>IF(AND(ISNUMBER($G$13),ISNUMBER($H$13)),IF(ABS($H$13-$G$13)&lt;=$J$13,"PASS","FAIL"),"FAIL")</f>
        <v>PASS</v>
      </c>
    </row>
    <row r="14" spans="1:18" ht="16.2" customHeight="1">
      <c r="B14" s="63">
        <v>4</v>
      </c>
      <c r="C14" s="73" t="s">
        <v>246</v>
      </c>
      <c r="D14" s="73"/>
      <c r="E14" s="73"/>
      <c r="F14" s="73"/>
      <c r="G14" s="76">
        <v>8.4</v>
      </c>
      <c r="H14" s="38">
        <f>$N$55</f>
        <v>8.4</v>
      </c>
      <c r="I14" s="77">
        <f>IF(AND(ISNUMBER($G$14),ISNUMBER($H$14)),ABS($H$14-$G$14),"")</f>
        <v>0</v>
      </c>
      <c r="J14" s="78">
        <v>1E-09</v>
      </c>
      <c r="K14" s="46" t="str">
        <f>IF(AND(ISNUMBER($G$14),ISNUMBER($H$14)),IF(ABS($H$14-$G$14)&lt;=$J$14,"PASS","FAIL"),"FAIL")</f>
        <v>PASS</v>
      </c>
    </row>
    <row r="15" spans="1:18" ht="16.2" customHeight="1">
      <c r="B15" s="63">
        <v>5</v>
      </c>
      <c r="C15" s="73" t="s">
        <v>247</v>
      </c>
      <c r="D15" s="73"/>
      <c r="E15" s="73"/>
      <c r="F15" s="73"/>
      <c r="G15" s="76">
        <v>199.5</v>
      </c>
      <c r="H15" s="38">
        <f>$O$55</f>
        <v>199.5</v>
      </c>
      <c r="I15" s="77">
        <f>IF(AND(ISNUMBER($G$15),ISNUMBER($H$15)),ABS($H$15-$G$15),"")</f>
        <v>0</v>
      </c>
      <c r="J15" s="78">
        <v>1E-09</v>
      </c>
      <c r="K15" s="46" t="str">
        <f>IF(AND(ISNUMBER($G$15),ISNUMBER($H$15)),IF(ABS($H$15-$G$15)&lt;=$J$15,"PASS","FAIL"),"FAIL")</f>
        <v>PASS</v>
      </c>
    </row>
    <row r="16" spans="1:18" ht="16.2" customHeight="1">
      <c r="B16" s="63">
        <v>6</v>
      </c>
      <c r="C16" s="73" t="s">
        <v>248</v>
      </c>
      <c r="D16" s="73"/>
      <c r="E16" s="73"/>
      <c r="F16" s="73"/>
      <c r="G16" s="76">
        <v>260.2</v>
      </c>
      <c r="H16" s="38">
        <f>$O$56</f>
        <v>260.2</v>
      </c>
      <c r="I16" s="77">
        <f>IF(AND(ISNUMBER($G$16),ISNUMBER($H$16)),ABS($H$16-$G$16),"")</f>
        <v>0</v>
      </c>
      <c r="J16" s="78">
        <v>1E-09</v>
      </c>
      <c r="K16" s="46" t="str">
        <f>IF(AND(ISNUMBER($G$16),ISNUMBER($H$16)),IF(ABS($H$16-$G$16)&lt;=$J$16,"PASS","FAIL"),"FAIL")</f>
        <v>PASS</v>
      </c>
    </row>
    <row r="17" spans="2:12" ht="16.2" customHeight="1">
      <c r="B17" s="63">
        <v>7</v>
      </c>
      <c r="C17" s="73" t="s">
        <v>249</v>
      </c>
      <c r="D17" s="73"/>
      <c r="E17" s="73"/>
      <c r="F17" s="73"/>
      <c r="G17" s="72" t="s">
        <v>250</v>
      </c>
      <c r="H17" s="64" t="str">
        <f>$Q$57</f>
        <v>No cost for this part at this operation</v>
      </c>
      <c r="I17" s="64"/>
      <c r="J17" s="74" t="s">
        <v>251</v>
      </c>
      <c r="K17" s="46" t="str">
        <f>IF($H$17&amp;""=$G$17&amp;"","PASS","FAIL")</f>
        <v>PASS</v>
      </c>
    </row>
    <row r="18" spans="2:12" ht="16.2" customHeight="1">
      <c r="B18" s="63">
        <v>8</v>
      </c>
      <c r="C18" s="73" t="s">
        <v>252</v>
      </c>
      <c r="D18" s="73"/>
      <c r="E18" s="73"/>
      <c r="F18" s="73"/>
      <c r="G18" s="79">
        <v>42</v>
      </c>
      <c r="H18" s="44">
        <f>$G$62</f>
        <v>42</v>
      </c>
      <c r="I18" s="77">
        <f>IF(AND(ISNUMBER($G$18),ISNUMBER($H$18)),ABS($H$18-$G$18),"")</f>
        <v>0</v>
      </c>
      <c r="J18" s="78">
        <v>1E-09</v>
      </c>
      <c r="K18" s="46" t="str">
        <f>IF(AND(ISNUMBER($G$18),ISNUMBER($H$18)),IF(ABS($H$18-$G$18)&lt;=$J$18,"PASS","FAIL"),"FAIL")</f>
        <v>PASS</v>
      </c>
    </row>
    <row r="19" spans="2:12" ht="16.2" customHeight="1">
      <c r="B19" s="63">
        <v>9</v>
      </c>
      <c r="C19" s="73" t="s">
        <v>253</v>
      </c>
      <c r="D19" s="73"/>
      <c r="E19" s="73"/>
      <c r="F19" s="73"/>
      <c r="G19" s="60">
        <v>0.042</v>
      </c>
      <c r="H19" s="45">
        <f>$I$62</f>
        <v>0.042</v>
      </c>
      <c r="I19" s="77">
        <f>IF(AND(ISNUMBER($G$19),ISNUMBER($H$19)),ABS($H$19-$G$19),"")</f>
        <v>0</v>
      </c>
      <c r="J19" s="78">
        <v>1E-09</v>
      </c>
      <c r="K19" s="46" t="str">
        <f>IF(AND(ISNUMBER($G$19),ISNUMBER($H$19)),IF(ABS($H$19-$G$19)&lt;=$J$19,"PASS","FAIL"),"FAIL")</f>
        <v>PASS</v>
      </c>
    </row>
    <row r="20" spans="2:12" ht="16.2" customHeight="1">
      <c r="B20" s="63">
        <v>10</v>
      </c>
      <c r="C20" s="73" t="s">
        <v>254</v>
      </c>
      <c r="D20" s="73"/>
      <c r="E20" s="73"/>
      <c r="F20" s="73"/>
      <c r="G20" s="80">
        <v>0.2082463465553236</v>
      </c>
      <c r="H20" s="81">
        <f>$L$62</f>
        <v>0.208246346555324</v>
      </c>
      <c r="I20" s="77">
        <f>IF(AND(ISNUMBER($G$20),ISNUMBER($H$20)),ABS($H$20-$G$20),"")</f>
        <v>0</v>
      </c>
      <c r="J20" s="78">
        <v>1E-09</v>
      </c>
      <c r="K20" s="46" t="str">
        <f>IF(AND(ISNUMBER($G$20),ISNUMBER($H$20)),IF(ABS($H$20-$G$20)&lt;=$J$20,"PASS","FAIL"),"FAIL")</f>
        <v>PASS</v>
      </c>
    </row>
    <row r="21" spans="2:12" ht="16.2" customHeight="1">
      <c r="B21" s="63">
        <v>11</v>
      </c>
      <c r="C21" s="73" t="s">
        <v>255</v>
      </c>
      <c r="D21" s="73"/>
      <c r="E21" s="73"/>
      <c r="F21" s="73"/>
      <c r="G21" s="60">
        <v>0.01995</v>
      </c>
      <c r="H21" s="45">
        <f>$K$62</f>
        <v>0.01995</v>
      </c>
      <c r="I21" s="77">
        <f>IF(AND(ISNUMBER($G$21),ISNUMBER($H$21)),ABS($H$21-$G$21),"")</f>
        <v>0</v>
      </c>
      <c r="J21" s="78">
        <v>1E-09</v>
      </c>
      <c r="K21" s="46" t="str">
        <f>IF(AND(ISNUMBER($G$21),ISNUMBER($H$21)),IF(ABS($H$21-$G$21)&lt;=$J$21,"PASS","FAIL"),"FAIL")</f>
        <v>PASS</v>
      </c>
    </row>
    <row r="22" spans="2:12" ht="16.2" customHeight="1">
      <c r="B22" s="63">
        <v>12</v>
      </c>
      <c r="C22" s="73" t="s">
        <v>256</v>
      </c>
      <c r="D22" s="73"/>
      <c r="E22" s="73"/>
      <c r="F22" s="73"/>
      <c r="G22" s="72" t="s">
        <v>257</v>
      </c>
      <c r="H22" s="64" t="str">
        <f>$J$62</f>
        <v>Above target</v>
      </c>
      <c r="I22" s="64"/>
      <c r="J22" s="74" t="s">
        <v>251</v>
      </c>
      <c r="K22" s="46" t="str">
        <f>IF($H$22&amp;""=$G$22&amp;"","PASS","FAIL")</f>
        <v>PASS</v>
      </c>
    </row>
    <row r="23" spans="2:12" ht="16.2" customHeight="1">
      <c r="B23" s="63">
        <v>13</v>
      </c>
      <c r="C23" s="73" t="s">
        <v>258</v>
      </c>
      <c r="D23" s="73"/>
      <c r="E23" s="73"/>
      <c r="F23" s="73"/>
      <c r="G23" s="72" t="s">
        <v>259</v>
      </c>
      <c r="H23" s="64" t="str">
        <f>$N$64</f>
        <v>Scrapped &gt; produced</v>
      </c>
      <c r="I23" s="64"/>
      <c r="J23" s="74" t="s">
        <v>251</v>
      </c>
      <c r="K23" s="46" t="str">
        <f>IF($H$23&amp;""=$G$23&amp;"","PASS","FAIL")</f>
        <v>PASS</v>
      </c>
    </row>
    <row r="24" spans="2:12" ht="16.2" customHeight="1">
      <c r="B24" s="63">
        <v>14</v>
      </c>
      <c r="C24" s="73" t="s">
        <v>260</v>
      </c>
      <c r="D24" s="73"/>
      <c r="E24" s="73"/>
      <c r="F24" s="73"/>
      <c r="G24" s="76">
        <v>532.66</v>
      </c>
      <c r="H24" s="38">
        <f>SUMIFS(tblVerifyScrap[Net scrap cost],tblVerifyScrap[View date],"&gt;0")</f>
        <v>532.66</v>
      </c>
      <c r="I24" s="77">
        <f>IF(AND(ISNUMBER($G$24),ISNUMBER($H$24)),ABS($H$24-$G$24),"")</f>
        <v>0</v>
      </c>
      <c r="J24" s="78">
        <v>1E-06</v>
      </c>
      <c r="K24" s="46" t="str">
        <f>IF(AND(ISNUMBER($G$24),ISNUMBER($H$24)),IF(ABS($H$24-$G$24)&lt;=$J$24,"PASS","FAIL"),"FAIL")</f>
        <v>PASS</v>
      </c>
    </row>
    <row r="25" spans="2:12" ht="16.2" customHeight="1">
      <c r="B25" s="63">
        <v>15</v>
      </c>
      <c r="C25" s="73" t="s">
        <v>261</v>
      </c>
      <c r="D25" s="73"/>
      <c r="E25" s="73"/>
      <c r="F25" s="73"/>
      <c r="G25" s="60">
        <v>0.04270462633451957</v>
      </c>
      <c r="H25" s="45">
        <f>IF((SUMIFS(tblVerifyProduction[Produced],tblVerifyProduction[View date],"&gt;0"))=0,"",(SUMIFS(tblVerifyScrap[Scrapped],tblVerifyScrap[View date],"&gt;0"))/(SUMIFS(tblVerifyProduction[Produced],tblVerifyProduction[View date],"&gt;0")))</f>
        <v>0.0427046263345196</v>
      </c>
      <c r="I25" s="77">
        <f>IF(AND(ISNUMBER($G$25),ISNUMBER($H$25)),ABS($H$25-$G$25),"")</f>
        <v>0</v>
      </c>
      <c r="J25" s="78">
        <v>1E-09</v>
      </c>
      <c r="K25" s="46" t="str">
        <f>IF(AND(ISNUMBER($G$25),ISNUMBER($H$25)),IF(ABS($H$25-$G$25)&lt;=$J$25,"PASS","FAIL"),"FAIL")</f>
        <v>PASS</v>
      </c>
    </row>
    <row r="26" spans="2:12" ht="16.2" customHeight="1">
      <c r="B26" s="63">
        <v>16</v>
      </c>
      <c r="C26" s="73" t="s">
        <v>262</v>
      </c>
      <c r="D26" s="73"/>
      <c r="E26" s="73"/>
      <c r="F26" s="73"/>
      <c r="G26" s="60">
        <v>0.02594544568923526</v>
      </c>
      <c r="H26" s="45">
        <f>IF((SUMIFS(tblVerifyProduction[Production value],tblVerifyProduction[View date],"&gt;0"))=0,"",(SUMIFS(tblVerifyScrap[Net scrap cost],tblVerifyScrap[View date],"&gt;0"))/(SUMIFS(tblVerifyProduction[Production value],tblVerifyProduction[View date],"&gt;0")))</f>
        <v>0.0259454456892353</v>
      </c>
      <c r="I26" s="77">
        <f>IF(AND(ISNUMBER($G$26),ISNUMBER($H$26)),ABS($H$26-$G$26),"")</f>
        <v>0</v>
      </c>
      <c r="J26" s="78">
        <v>1E-09</v>
      </c>
      <c r="K26" s="46" t="str">
        <f>IF(AND(ISNUMBER($G$26),ISNUMBER($H$26)),IF(ABS($H$26-$G$26)&lt;=$J$26,"PASS","FAIL"),"FAIL")</f>
        <v>PASS</v>
      </c>
    </row>
    <row r="27" spans="2:12" ht="16.2" customHeight="1">
      <c r="B27" s="63">
        <v>17</v>
      </c>
      <c r="C27" s="73" t="s">
        <v>263</v>
      </c>
      <c r="D27" s="73"/>
      <c r="E27" s="73"/>
      <c r="F27" s="73"/>
      <c r="G27" s="80">
        <v>0.3960297397769517</v>
      </c>
      <c r="H27" s="81">
        <f>IF((SUMIFS(tblVerifyProduction[Produced],tblVerifyProduction[View date],"&gt;0")-SUMIFS(tblVerifyScrap[Scrapped],tblVerifyScrap[View date],"&gt;0"))=0,"",(SUMIFS(tblVerifyScrap[Net scrap cost],tblVerifyScrap[View date],"&gt;0"))/(SUMIFS(tblVerifyProduction[Produced],tblVerifyProduction[View date],"&gt;0")-SUMIFS(tblVerifyScrap[Scrapped],tblVerifyScrap[View date],"&gt;0")))</f>
        <v>0.396029739776952</v>
      </c>
      <c r="I27" s="77">
        <f>IF(AND(ISNUMBER($G$27),ISNUMBER($H$27)),ABS($H$27-$G$27),"")</f>
        <v>0</v>
      </c>
      <c r="J27" s="78">
        <v>1E-09</v>
      </c>
      <c r="K27" s="46" t="str">
        <f>IF(AND(ISNUMBER($G$27),ISNUMBER($H$27)),IF(ABS($H$27-$G$27)&lt;=$J$27,"PASS","FAIL"),"FAIL")</f>
        <v>PASS</v>
      </c>
    </row>
    <row r="29" spans="2:12" ht="21" customHeight="1">
      <c r="B29" s="8" t="s">
        <v>264</v>
      </c>
      <c r="C29" s="8"/>
      <c r="D29" s="8"/>
      <c r="E29" s="8"/>
      <c r="F29" s="8"/>
      <c r="G29" s="8"/>
      <c r="H29" s="8"/>
      <c r="I29" s="8"/>
      <c r="J29" s="8"/>
      <c r="K29" s="8"/>
      <c r="L29" s="8"/>
    </row>
    <row r="30" spans="2:12" ht="5" customHeight="1"/>
    <row r="31" spans="2:12">
      <c r="B31" s="21" t="s">
        <v>265</v>
      </c>
      <c r="C31" s="21"/>
      <c r="D31" s="21"/>
      <c r="E31" s="21"/>
      <c r="F31" s="21"/>
      <c r="G31" s="21"/>
      <c r="H31" s="21"/>
      <c r="I31" s="21"/>
      <c r="J31" s="21"/>
      <c r="K31" s="21"/>
      <c r="L31" s="21"/>
    </row>
    <row r="32" spans="2:12">
      <c r="B32" s="31" t="s">
        <v>266</v>
      </c>
      <c r="C32" s="31"/>
      <c r="D32" s="31"/>
      <c r="E32" s="31"/>
      <c r="F32" s="31"/>
    </row>
    <row r="33" spans="2:12">
      <c r="B33" s="27" t="s">
        <v>267</v>
      </c>
      <c r="C33" s="27"/>
      <c r="D33" s="27"/>
      <c r="E33" s="79">
        <v>0</v>
      </c>
      <c r="F33" s="7"/>
    </row>
    <row r="34" spans="2:12">
      <c r="B34" s="27" t="s">
        <v>268</v>
      </c>
      <c r="C34" s="27"/>
      <c r="D34" s="27"/>
      <c r="E34" s="79">
        <v>2958465</v>
      </c>
      <c r="F34" s="7"/>
    </row>
    <row r="35" spans="2:12">
      <c r="B35" s="27" t="s">
        <v>269</v>
      </c>
      <c r="C35" s="27"/>
      <c r="D35" s="27"/>
      <c r="E35" s="72" t="s">
        <v>139</v>
      </c>
      <c r="F35" s="72"/>
    </row>
    <row r="36" spans="2:12">
      <c r="B36" s="27" t="s">
        <v>270</v>
      </c>
      <c r="C36" s="27"/>
      <c r="D36" s="27"/>
      <c r="E36" s="82">
        <v>0.02</v>
      </c>
      <c r="F36" s="7"/>
    </row>
    <row r="37" spans="2:12">
      <c r="B37" s="27" t="s">
        <v>271</v>
      </c>
      <c r="C37" s="27"/>
      <c r="D37" s="27"/>
      <c r="E37" s="82">
        <v>0.01</v>
      </c>
      <c r="F37" s="7"/>
    </row>
    <row r="38" spans="2:12">
      <c r="B38" s="27" t="s">
        <v>272</v>
      </c>
      <c r="C38" s="27"/>
      <c r="D38" s="27"/>
      <c r="E38" s="76">
        <v>0.1</v>
      </c>
      <c r="F38" s="7"/>
    </row>
    <row r="39" spans="2:12">
      <c r="B39" s="27" t="s">
        <v>273</v>
      </c>
      <c r="C39" s="27"/>
      <c r="D39" s="27"/>
      <c r="E39" s="76">
        <v>0.3</v>
      </c>
      <c r="F39" s="7"/>
    </row>
    <row r="41" spans="2:12">
      <c r="B41" s="31" t="s">
        <v>274</v>
      </c>
      <c r="C41" s="31"/>
      <c r="D41" s="31"/>
      <c r="E41" s="31"/>
      <c r="F41" s="31"/>
      <c r="G41" s="31"/>
      <c r="H41" s="31"/>
      <c r="I41" s="31"/>
      <c r="J41" s="31"/>
      <c r="K41" s="31"/>
      <c r="L41" s="31"/>
    </row>
    <row r="42" spans="2:12" ht="20" customHeight="1">
      <c r="B42" s="33" t="s">
        <v>71</v>
      </c>
      <c r="C42" s="33" t="s">
        <v>72</v>
      </c>
    </row>
    <row r="43" spans="2:12">
      <c r="B43" s="72" t="s">
        <v>109</v>
      </c>
      <c r="C43" s="72" t="s">
        <v>275</v>
      </c>
    </row>
    <row r="44" spans="2:12">
      <c r="B44" s="72" t="s">
        <v>113</v>
      </c>
      <c r="C44" s="72" t="s">
        <v>275</v>
      </c>
    </row>
    <row r="46" spans="2:12">
      <c r="B46" s="31" t="s">
        <v>276</v>
      </c>
      <c r="C46" s="31"/>
      <c r="D46" s="31"/>
      <c r="E46" s="31"/>
      <c r="F46" s="31"/>
      <c r="G46" s="31"/>
      <c r="H46" s="31"/>
      <c r="I46" s="31"/>
      <c r="J46" s="31"/>
      <c r="K46" s="31"/>
      <c r="L46" s="31"/>
    </row>
    <row r="47" spans="2:12" ht="14" customHeight="1">
      <c r="B47" s="32"/>
      <c r="C47" s="32"/>
      <c r="D47" s="32" t="str">
        <f>Currency&amp;"/unit"</f>
        <v>USD/unit</v>
      </c>
    </row>
    <row r="48" spans="2:12" ht="32" customHeight="1">
      <c r="B48" s="33" t="s">
        <v>64</v>
      </c>
      <c r="C48" s="33" t="s">
        <v>69</v>
      </c>
      <c r="D48" s="33" t="s">
        <v>70</v>
      </c>
    </row>
    <row r="49" spans="2:18">
      <c r="B49" s="72" t="s">
        <v>277</v>
      </c>
      <c r="C49" s="72" t="s">
        <v>278</v>
      </c>
      <c r="D49" s="76">
        <v>1.1</v>
      </c>
    </row>
    <row r="50" spans="2:18">
      <c r="B50" s="72" t="s">
        <v>279</v>
      </c>
      <c r="C50" s="72" t="s">
        <v>280</v>
      </c>
      <c r="D50" s="76">
        <v>16.9</v>
      </c>
    </row>
    <row r="52" spans="2:18">
      <c r="B52" s="31" t="s">
        <v>281</v>
      </c>
      <c r="C52" s="31"/>
      <c r="D52" s="31"/>
      <c r="E52" s="31"/>
      <c r="F52" s="31"/>
      <c r="G52" s="31"/>
      <c r="H52" s="31"/>
      <c r="I52" s="31"/>
      <c r="J52" s="31"/>
      <c r="K52" s="31"/>
      <c r="L52" s="31"/>
    </row>
    <row r="53" spans="2:18" ht="14" customHeight="1">
      <c r="B53" s="32"/>
      <c r="C53" s="32"/>
      <c r="D53" s="32"/>
      <c r="E53" s="32"/>
      <c r="F53" s="32" t="s">
        <v>137</v>
      </c>
      <c r="G53" s="32" t="str">
        <f>Currency&amp;"/unit"</f>
        <v>USD/unit</v>
      </c>
      <c r="H53" s="32" t="str">
        <f>Currency&amp;"/unit"</f>
        <v>USD/unit</v>
      </c>
      <c r="I53" s="32" t="s">
        <v>86</v>
      </c>
      <c r="J53" s="32" t="s">
        <v>138</v>
      </c>
      <c r="K53" s="32" t="str">
        <f>Currency</f>
        <v>USD</v>
      </c>
      <c r="L53" s="32" t="str">
        <f>Currency</f>
        <v>USD</v>
      </c>
      <c r="M53" s="32" t="str">
        <f>Currency</f>
        <v>USD</v>
      </c>
      <c r="N53" s="32" t="str">
        <f>Currency</f>
        <v>USD</v>
      </c>
      <c r="O53" s="32" t="str">
        <f>Currency</f>
        <v>USD</v>
      </c>
      <c r="P53" s="32"/>
      <c r="Q53" s="32"/>
      <c r="R53" s="32"/>
    </row>
    <row r="54" spans="2:18" ht="32" customHeight="1">
      <c r="B54" s="33" t="s">
        <v>125</v>
      </c>
      <c r="C54" s="33" t="s">
        <v>64</v>
      </c>
      <c r="D54" s="33" t="s">
        <v>69</v>
      </c>
      <c r="E54" s="33" t="s">
        <v>71</v>
      </c>
      <c r="F54" s="33" t="s">
        <v>126</v>
      </c>
      <c r="G54" s="33" t="s">
        <v>67</v>
      </c>
      <c r="H54" s="33" t="s">
        <v>70</v>
      </c>
      <c r="I54" s="33" t="s">
        <v>66</v>
      </c>
      <c r="J54" s="33" t="s">
        <v>127</v>
      </c>
      <c r="K54" s="33" t="s">
        <v>128</v>
      </c>
      <c r="L54" s="33" t="s">
        <v>129</v>
      </c>
      <c r="M54" s="33" t="s">
        <v>130</v>
      </c>
      <c r="N54" s="33" t="s">
        <v>131</v>
      </c>
      <c r="O54" s="33" t="s">
        <v>132</v>
      </c>
      <c r="P54" s="33" t="s">
        <v>133</v>
      </c>
      <c r="Q54" s="33" t="s">
        <v>134</v>
      </c>
      <c r="R54" s="33" t="s">
        <v>135</v>
      </c>
    </row>
    <row r="55" spans="2:18">
      <c r="B55" s="83">
        <v>46027</v>
      </c>
      <c r="C55" s="72" t="s">
        <v>277</v>
      </c>
      <c r="D55" s="72" t="s">
        <v>278</v>
      </c>
      <c r="E55" s="72" t="s">
        <v>109</v>
      </c>
      <c r="F55" s="79">
        <v>42</v>
      </c>
      <c r="G55" s="76">
        <v>3.25</v>
      </c>
      <c r="H55" s="38">
        <f>IF(tblVerifyScrap[[#This Row],[Date]]="","",SUMIFS(tblVerifyStageCosts[Conversion to date],tblVerifyStageCosts[Part],tblVerifyScrap[[#This Row],[Part]],tblVerifyStageCosts[Operation],tblVerifyScrap[[#This Row],[Operation]]))</f>
        <v>1.1</v>
      </c>
      <c r="I55" s="84">
        <v>2</v>
      </c>
      <c r="J55" s="40">
        <f>IF(tblVerifyScrap[[#This Row],[Date]]="","",IF(tblVerifyScrap[[#This Row],[Mass]]="","",tblVerifyScrap[[#This Row],[Scrapped]]*tblVerifyScrap[[#This Row],[Mass]]))</f>
        <v>84</v>
      </c>
      <c r="K55" s="38">
        <f>IF(tblVerifyScrap[[#This Row],[Date]]="","",IF(tblVerifyScrap[[#This Row],[Material]]="","",tblVerifyScrap[[#This Row],[Scrapped]]*tblVerifyScrap[[#This Row],[Material]]))</f>
        <v>136.5</v>
      </c>
      <c r="L55" s="38">
        <f>IF(tblVerifyScrap[[#This Row],[Date]]="","",tblVerifyScrap[[#This Row],[Scrapped]]*tblVerifyScrap[[#This Row],[Conversion to date]])</f>
        <v>46.2</v>
      </c>
      <c r="M55" s="38">
        <f>IF(tblVerifyScrap[[#This Row],[Date]]="","",IF(tblVerifyScrap[[#This Row],[Mass]]="","",tblVerifyScrap[[#This Row],[Scrap mass]]*$E$39))</f>
        <v>25.2</v>
      </c>
      <c r="N55" s="38">
        <f>IF(tblVerifyScrap[[#This Row],[Date]]="","",IF(tblVerifyScrap[[#This Row],[Mass]]="","",tblVerifyScrap[[#This Row],[Scrap mass]]*$E$38))</f>
        <v>8.4</v>
      </c>
      <c r="O55" s="38">
        <f>IF(tblVerifyScrap[[#This Row],[Date]]="","",IF(tblVerifyScrap[[#This Row],[Material]]="","",tblVerifyScrap[[#This Row],[Material write-off]]+tblVerifyScrap[[#This Row],[Conversion write-off]]+tblVerifyScrap[[#This Row],[Disposal]]-tblVerifyScrap[[#This Row],[Recovery credit]]))</f>
        <v>199.5</v>
      </c>
      <c r="P55" s="41">
        <f>IF(tblVerifyScrap[[#This Row],[Date]]="","",IF(AND(tblVerifyScrap[[#This Row],[Date]]&gt;=$E$33,tblVerifyScrap[[#This Row],[Date]]&lt;=$E$34,OR($E$35="",tblVerifyScrap[[#This Row],[Part]]=$E$35)),tblVerifyScrap[[#This Row],[Date]],""))</f>
        <v>46027</v>
      </c>
      <c r="Q55" s="42" t="str">
        <f>IF(tblVerifyScrap[[#This Row],[Date]]="","",IF(tblVerifyScrap[[#This Row],[Part]]="","Missing part",IF(tblVerifyScrap[[#This Row],[Operation]]="","Missing operation",IF(tblVerifyScrap[[#This Row],[Reason]]="","Missing reason",IF(tblVerifyScrap[[#This Row],[Scrapped]]="","Missing scrapped",IF(tblVerifyScrap[[#This Row],[Material]]="","Part not on Setup list",IF(COUNTIF(tblVerifyReasons[Reason],tblVerifyScrap[[#This Row],[Reason]])=0,"Reason not on Setup list",IF(COUNTIFS(tblVerifyStageCosts[Part],tblVerifyScrap[[#This Row],[Part]],tblVerifyStageCosts[Operation],tblVerifyScrap[[#This Row],[Operation]])=0,"No cost for this part at this operation",IF(COUNTIFS(tblVerifyStageCosts[Part],tblVerifyScrap[[#This Row],[Part]],tblVerifyStageCosts[Operation],tblVerifyScrap[[#This Row],[Operation]])&gt;1,"Two cost rows for this part and operation",IF(COUNTIFS(tblVerifyProduction[Date],tblVerifyScrap[[#This Row],[Date]],tblVerifyProduction[Part],tblVerifyScrap[[#This Row],[Part]])=0,"No Production Log row for this date and part","OK"))))))))))</f>
        <v>OK</v>
      </c>
      <c r="R55" s="72"/>
    </row>
    <row r="56" spans="2:18">
      <c r="B56" s="83">
        <v>46027</v>
      </c>
      <c r="C56" s="72" t="s">
        <v>279</v>
      </c>
      <c r="D56" s="72" t="s">
        <v>280</v>
      </c>
      <c r="E56" s="72" t="s">
        <v>113</v>
      </c>
      <c r="F56" s="79">
        <v>10</v>
      </c>
      <c r="G56" s="76">
        <v>8.6</v>
      </c>
      <c r="H56" s="38">
        <f>IF(tblVerifyScrap[[#This Row],[Date]]="","",SUMIFS(tblVerifyStageCosts[Conversion to date],tblVerifyStageCosts[Part],tblVerifyScrap[[#This Row],[Part]],tblVerifyStageCosts[Operation],tblVerifyScrap[[#This Row],[Operation]]))</f>
        <v>16.9</v>
      </c>
      <c r="I56" s="84">
        <v>2.6</v>
      </c>
      <c r="J56" s="40">
        <f>IF(tblVerifyScrap[[#This Row],[Date]]="","",IF(tblVerifyScrap[[#This Row],[Mass]]="","",tblVerifyScrap[[#This Row],[Scrapped]]*tblVerifyScrap[[#This Row],[Mass]]))</f>
        <v>26</v>
      </c>
      <c r="K56" s="38">
        <f>IF(tblVerifyScrap[[#This Row],[Date]]="","",IF(tblVerifyScrap[[#This Row],[Material]]="","",tblVerifyScrap[[#This Row],[Scrapped]]*tblVerifyScrap[[#This Row],[Material]]))</f>
        <v>86</v>
      </c>
      <c r="L56" s="38">
        <f>IF(tblVerifyScrap[[#This Row],[Date]]="","",tblVerifyScrap[[#This Row],[Scrapped]]*tblVerifyScrap[[#This Row],[Conversion to date]])</f>
        <v>169</v>
      </c>
      <c r="M56" s="38">
        <f>IF(tblVerifyScrap[[#This Row],[Date]]="","",IF(tblVerifyScrap[[#This Row],[Mass]]="","",tblVerifyScrap[[#This Row],[Scrap mass]]*$E$39))</f>
        <v>7.8</v>
      </c>
      <c r="N56" s="38">
        <f>IF(tblVerifyScrap[[#This Row],[Date]]="","",IF(tblVerifyScrap[[#This Row],[Mass]]="","",tblVerifyScrap[[#This Row],[Scrap mass]]*$E$38))</f>
        <v>2.6</v>
      </c>
      <c r="O56" s="38">
        <f>IF(tblVerifyScrap[[#This Row],[Date]]="","",IF(tblVerifyScrap[[#This Row],[Material]]="","",tblVerifyScrap[[#This Row],[Material write-off]]+tblVerifyScrap[[#This Row],[Conversion write-off]]+tblVerifyScrap[[#This Row],[Disposal]]-tblVerifyScrap[[#This Row],[Recovery credit]]))</f>
        <v>260.2</v>
      </c>
      <c r="P56" s="41">
        <f>IF(tblVerifyScrap[[#This Row],[Date]]="","",IF(AND(tblVerifyScrap[[#This Row],[Date]]&gt;=$E$33,tblVerifyScrap[[#This Row],[Date]]&lt;=$E$34,OR($E$35="",tblVerifyScrap[[#This Row],[Part]]=$E$35)),tblVerifyScrap[[#This Row],[Date]],""))</f>
        <v>46027</v>
      </c>
      <c r="Q56" s="42" t="str">
        <f>IF(tblVerifyScrap[[#This Row],[Date]]="","",IF(tblVerifyScrap[[#This Row],[Part]]="","Missing part",IF(tblVerifyScrap[[#This Row],[Operation]]="","Missing operation",IF(tblVerifyScrap[[#This Row],[Reason]]="","Missing reason",IF(tblVerifyScrap[[#This Row],[Scrapped]]="","Missing scrapped",IF(tblVerifyScrap[[#This Row],[Material]]="","Part not on Setup list",IF(COUNTIF(tblVerifyReasons[Reason],tblVerifyScrap[[#This Row],[Reason]])=0,"Reason not on Setup list",IF(COUNTIFS(tblVerifyStageCosts[Part],tblVerifyScrap[[#This Row],[Part]],tblVerifyStageCosts[Operation],tblVerifyScrap[[#This Row],[Operation]])=0,"No cost for this part at this operation",IF(COUNTIFS(tblVerifyStageCosts[Part],tblVerifyScrap[[#This Row],[Part]],tblVerifyStageCosts[Operation],tblVerifyScrap[[#This Row],[Operation]])&gt;1,"Two cost rows for this part and operation",IF(COUNTIFS(tblVerifyProduction[Date],tblVerifyScrap[[#This Row],[Date]],tblVerifyProduction[Part],tblVerifyScrap[[#This Row],[Part]])=0,"No Production Log row for this date and part","OK"))))))))))</f>
        <v>OK</v>
      </c>
      <c r="R56" s="72"/>
    </row>
    <row r="57" spans="2:18">
      <c r="B57" s="83">
        <v>46028</v>
      </c>
      <c r="C57" s="72" t="s">
        <v>279</v>
      </c>
      <c r="D57" s="72" t="s">
        <v>278</v>
      </c>
      <c r="E57" s="72" t="s">
        <v>113</v>
      </c>
      <c r="F57" s="79">
        <v>8</v>
      </c>
      <c r="G57" s="76">
        <v>8.6</v>
      </c>
      <c r="H57" s="38">
        <f>IF(tblVerifyScrap[[#This Row],[Date]]="","",SUMIFS(tblVerifyStageCosts[Conversion to date],tblVerifyStageCosts[Part],tblVerifyScrap[[#This Row],[Part]],tblVerifyStageCosts[Operation],tblVerifyScrap[[#This Row],[Operation]]))</f>
        <v>0</v>
      </c>
      <c r="I57" s="84">
        <v>2.6</v>
      </c>
      <c r="J57" s="40">
        <f>IF(tblVerifyScrap[[#This Row],[Date]]="","",IF(tblVerifyScrap[[#This Row],[Mass]]="","",tblVerifyScrap[[#This Row],[Scrapped]]*tblVerifyScrap[[#This Row],[Mass]]))</f>
        <v>20.8</v>
      </c>
      <c r="K57" s="38">
        <f>IF(tblVerifyScrap[[#This Row],[Date]]="","",IF(tblVerifyScrap[[#This Row],[Material]]="","",tblVerifyScrap[[#This Row],[Scrapped]]*tblVerifyScrap[[#This Row],[Material]]))</f>
        <v>68.8</v>
      </c>
      <c r="L57" s="38">
        <f>IF(tblVerifyScrap[[#This Row],[Date]]="","",tblVerifyScrap[[#This Row],[Scrapped]]*tblVerifyScrap[[#This Row],[Conversion to date]])</f>
        <v>0</v>
      </c>
      <c r="M57" s="38">
        <f>IF(tblVerifyScrap[[#This Row],[Date]]="","",IF(tblVerifyScrap[[#This Row],[Mass]]="","",tblVerifyScrap[[#This Row],[Scrap mass]]*$E$39))</f>
        <v>6.24</v>
      </c>
      <c r="N57" s="38">
        <f>IF(tblVerifyScrap[[#This Row],[Date]]="","",IF(tblVerifyScrap[[#This Row],[Mass]]="","",tblVerifyScrap[[#This Row],[Scrap mass]]*$E$38))</f>
        <v>2.08</v>
      </c>
      <c r="O57" s="38">
        <f>IF(tblVerifyScrap[[#This Row],[Date]]="","",IF(tblVerifyScrap[[#This Row],[Material]]="","",tblVerifyScrap[[#This Row],[Material write-off]]+tblVerifyScrap[[#This Row],[Conversion write-off]]+tblVerifyScrap[[#This Row],[Disposal]]-tblVerifyScrap[[#This Row],[Recovery credit]]))</f>
        <v>72.96</v>
      </c>
      <c r="P57" s="41">
        <f>IF(tblVerifyScrap[[#This Row],[Date]]="","",IF(AND(tblVerifyScrap[[#This Row],[Date]]&gt;=$E$33,tblVerifyScrap[[#This Row],[Date]]&lt;=$E$34,OR($E$35="",tblVerifyScrap[[#This Row],[Part]]=$E$35)),tblVerifyScrap[[#This Row],[Date]],""))</f>
        <v>46028</v>
      </c>
      <c r="Q57" s="42" t="str">
        <f>IF(tblVerifyScrap[[#This Row],[Date]]="","",IF(tblVerifyScrap[[#This Row],[Part]]="","Missing part",IF(tblVerifyScrap[[#This Row],[Operation]]="","Missing operation",IF(tblVerifyScrap[[#This Row],[Reason]]="","Missing reason",IF(tblVerifyScrap[[#This Row],[Scrapped]]="","Missing scrapped",IF(tblVerifyScrap[[#This Row],[Material]]="","Part not on Setup list",IF(COUNTIF(tblVerifyReasons[Reason],tblVerifyScrap[[#This Row],[Reason]])=0,"Reason not on Setup list",IF(COUNTIFS(tblVerifyStageCosts[Part],tblVerifyScrap[[#This Row],[Part]],tblVerifyStageCosts[Operation],tblVerifyScrap[[#This Row],[Operation]])=0,"No cost for this part at this operation",IF(COUNTIFS(tblVerifyStageCosts[Part],tblVerifyScrap[[#This Row],[Part]],tblVerifyStageCosts[Operation],tblVerifyScrap[[#This Row],[Operation]])&gt;1,"Two cost rows for this part and operation",IF(COUNTIFS(tblVerifyProduction[Date],tblVerifyScrap[[#This Row],[Date]],tblVerifyProduction[Part],tblVerifyScrap[[#This Row],[Part]])=0,"No Production Log row for this date and part","OK"))))))))))</f>
        <v>No cost for this part at this operation</v>
      </c>
      <c r="R57" s="72"/>
    </row>
    <row r="59" spans="2:18">
      <c r="B59" s="31" t="s">
        <v>282</v>
      </c>
      <c r="C59" s="31"/>
      <c r="D59" s="31"/>
      <c r="E59" s="31"/>
      <c r="F59" s="31"/>
      <c r="G59" s="31"/>
      <c r="H59" s="31"/>
      <c r="I59" s="31"/>
      <c r="J59" s="31"/>
      <c r="K59" s="31"/>
      <c r="L59" s="31"/>
    </row>
    <row r="60" spans="2:18" ht="14" customHeight="1">
      <c r="B60" s="32"/>
      <c r="C60" s="32"/>
      <c r="D60" s="32" t="s">
        <v>137</v>
      </c>
      <c r="E60" s="32" t="str">
        <f>Currency&amp;"/unit"</f>
        <v>USD/unit</v>
      </c>
      <c r="F60" s="32" t="str">
        <f>Currency</f>
        <v>USD</v>
      </c>
      <c r="G60" s="32" t="s">
        <v>137</v>
      </c>
      <c r="H60" s="32" t="str">
        <f>Currency</f>
        <v>USD</v>
      </c>
      <c r="I60" s="32"/>
      <c r="J60" s="32"/>
      <c r="K60" s="32"/>
      <c r="L60" s="32" t="str">
        <f>Currency&amp;"/unit"</f>
        <v>USD/unit</v>
      </c>
      <c r="M60" s="32"/>
      <c r="N60" s="32"/>
      <c r="O60" s="32"/>
    </row>
    <row r="61" spans="2:18" ht="32" customHeight="1">
      <c r="B61" s="33" t="s">
        <v>125</v>
      </c>
      <c r="C61" s="33" t="s">
        <v>64</v>
      </c>
      <c r="D61" s="33" t="s">
        <v>142</v>
      </c>
      <c r="E61" s="33" t="s">
        <v>68</v>
      </c>
      <c r="F61" s="33" t="s">
        <v>143</v>
      </c>
      <c r="G61" s="33" t="s">
        <v>126</v>
      </c>
      <c r="H61" s="33" t="s">
        <v>132</v>
      </c>
      <c r="I61" s="33" t="s">
        <v>144</v>
      </c>
      <c r="J61" s="33" t="s">
        <v>145</v>
      </c>
      <c r="K61" s="33" t="s">
        <v>146</v>
      </c>
      <c r="L61" s="33" t="s">
        <v>147</v>
      </c>
      <c r="M61" s="33" t="s">
        <v>133</v>
      </c>
      <c r="N61" s="33" t="s">
        <v>134</v>
      </c>
      <c r="O61" s="33" t="s">
        <v>135</v>
      </c>
    </row>
    <row r="62" spans="2:18">
      <c r="B62" s="83">
        <v>46027</v>
      </c>
      <c r="C62" s="72" t="s">
        <v>277</v>
      </c>
      <c r="D62" s="79">
        <v>1000</v>
      </c>
      <c r="E62" s="76">
        <v>10</v>
      </c>
      <c r="F62" s="44">
        <f>IF(tblVerifyProduction[[#This Row],[Date]]="","",IF(tblVerifyProduction[[#This Row],[Standard cost]]="","",tblVerifyProduction[[#This Row],[Produced]]*tblVerifyProduction[[#This Row],[Standard cost]]))</f>
        <v>10000</v>
      </c>
      <c r="G62" s="44">
        <f>IF(tblVerifyProduction[[#This Row],[Date]]="","",SUMIFS(tblVerifyScrap[Scrapped],tblVerifyScrap[Date],tblVerifyProduction[[#This Row],[Date]],tblVerifyScrap[Part],tblVerifyProduction[[#This Row],[Part]]))</f>
        <v>42</v>
      </c>
      <c r="H62" s="38">
        <f>IF(tblVerifyProduction[[#This Row],[Date]]="","",SUMIFS(tblVerifyScrap[Net scrap cost],tblVerifyScrap[Date],tblVerifyProduction[[#This Row],[Date]],tblVerifyScrap[Part],tblVerifyProduction[[#This Row],[Part]]))</f>
        <v>199.5</v>
      </c>
      <c r="I62" s="45">
        <f>IF(tblVerifyProduction[[#This Row],[Date]]="","",IF(tblVerifyProduction[[#This Row],[Produced]]&gt;0,tblVerifyProduction[[#This Row],[Scrapped]]/tblVerifyProduction[[#This Row],[Produced]],""))</f>
        <v>0.042</v>
      </c>
      <c r="J62" s="46" t="str">
        <f>IF(NOT(ISNUMBER(tblVerifyProduction[[#This Row],[Scrap rate]])),"",IF(tblVerifyProduction[[#This Row],[Scrap rate]]&lt;=$E$36,"On target",IF(tblVerifyProduction[[#This Row],[Scrap rate]]&lt;=$E$36*(1+0.05),"Near target","Above target")))</f>
        <v>Above target</v>
      </c>
      <c r="K62" s="45">
        <f>IF(tblVerifyProduction[[#This Row],[Date]]="","",IF(N(tblVerifyProduction[[#This Row],[Production value]])&gt;0,tblVerifyProduction[[#This Row],[Net scrap cost]]/tblVerifyProduction[[#This Row],[Production value]],""))</f>
        <v>0.01995</v>
      </c>
      <c r="L62" s="47">
        <f>IF(tblVerifyProduction[[#This Row],[Date]]="","",IF(tblVerifyProduction[[#This Row],[Produced]]-tblVerifyProduction[[#This Row],[Scrapped]]&gt;0,tblVerifyProduction[[#This Row],[Net scrap cost]]/(tblVerifyProduction[[#This Row],[Produced]]-tblVerifyProduction[[#This Row],[Scrapped]]),""))</f>
        <v>0.208246346555324</v>
      </c>
      <c r="M62" s="41">
        <f>IF(tblVerifyProduction[[#This Row],[Date]]="","",IF(AND(tblVerifyProduction[[#This Row],[Date]]&gt;=$E$33,tblVerifyProduction[[#This Row],[Date]]&lt;=$E$34,OR($E$35="",tblVerifyProduction[[#This Row],[Part]]=$E$35)),tblVerifyProduction[[#This Row],[Date]],""))</f>
        <v>46027</v>
      </c>
      <c r="N62" s="42" t="str">
        <f>IF(tblVerifyProduction[[#This Row],[Date]]="","",IF(tblVerifyProduction[[#This Row],[Part]]="","Missing part",IF(tblVerifyProduction[[#This Row],[Produced]]="","Missing produced",IF(tblVerifyProduction[[#This Row],[Standard cost]]="","Part not on Setup list",IF(tblVerifyProduction[[#This Row],[Scrapped]]&gt;tblVerifyProduction[[#This Row],[Produced]],"Scrapped &gt; produced",IF(COUNTIFS(tblVerifyProduction[Date],tblVerifyProduction[[#This Row],[Date]],tblVerifyProduction[Part],tblVerifyProduction[[#This Row],[Part]])&gt;1,"Duplicate row for this date and part","OK"))))))</f>
        <v>OK</v>
      </c>
      <c r="O62" s="72"/>
    </row>
    <row r="63" spans="2:18">
      <c r="B63" s="83">
        <v>46027</v>
      </c>
      <c r="C63" s="72" t="s">
        <v>279</v>
      </c>
      <c r="D63" s="79">
        <v>400</v>
      </c>
      <c r="E63" s="76">
        <v>26</v>
      </c>
      <c r="F63" s="44">
        <f>IF(tblVerifyProduction[[#This Row],[Date]]="","",IF(tblVerifyProduction[[#This Row],[Standard cost]]="","",tblVerifyProduction[[#This Row],[Produced]]*tblVerifyProduction[[#This Row],[Standard cost]]))</f>
        <v>10400</v>
      </c>
      <c r="G63" s="44">
        <f>IF(tblVerifyProduction[[#This Row],[Date]]="","",SUMIFS(tblVerifyScrap[Scrapped],tblVerifyScrap[Date],tblVerifyProduction[[#This Row],[Date]],tblVerifyScrap[Part],tblVerifyProduction[[#This Row],[Part]]))</f>
        <v>10</v>
      </c>
      <c r="H63" s="38">
        <f>IF(tblVerifyProduction[[#This Row],[Date]]="","",SUMIFS(tblVerifyScrap[Net scrap cost],tblVerifyScrap[Date],tblVerifyProduction[[#This Row],[Date]],tblVerifyScrap[Part],tblVerifyProduction[[#This Row],[Part]]))</f>
        <v>260.2</v>
      </c>
      <c r="I63" s="45">
        <f>IF(tblVerifyProduction[[#This Row],[Date]]="","",IF(tblVerifyProduction[[#This Row],[Produced]]&gt;0,tblVerifyProduction[[#This Row],[Scrapped]]/tblVerifyProduction[[#This Row],[Produced]],""))</f>
        <v>0.025</v>
      </c>
      <c r="J63" s="46" t="str">
        <f>IF(NOT(ISNUMBER(tblVerifyProduction[[#This Row],[Scrap rate]])),"",IF(tblVerifyProduction[[#This Row],[Scrap rate]]&lt;=$E$36,"On target",IF(tblVerifyProduction[[#This Row],[Scrap rate]]&lt;=$E$36*(1+0.05),"Near target","Above target")))</f>
        <v>Above target</v>
      </c>
      <c r="K63" s="45">
        <f>IF(tblVerifyProduction[[#This Row],[Date]]="","",IF(N(tblVerifyProduction[[#This Row],[Production value]])&gt;0,tblVerifyProduction[[#This Row],[Net scrap cost]]/tblVerifyProduction[[#This Row],[Production value]],""))</f>
        <v>0.0250192307692308</v>
      </c>
      <c r="L63" s="47">
        <f>IF(tblVerifyProduction[[#This Row],[Date]]="","",IF(tblVerifyProduction[[#This Row],[Produced]]-tblVerifyProduction[[#This Row],[Scrapped]]&gt;0,tblVerifyProduction[[#This Row],[Net scrap cost]]/(tblVerifyProduction[[#This Row],[Produced]]-tblVerifyProduction[[#This Row],[Scrapped]]),""))</f>
        <v>0.667179487179487</v>
      </c>
      <c r="M63" s="41">
        <f>IF(tblVerifyProduction[[#This Row],[Date]]="","",IF(AND(tblVerifyProduction[[#This Row],[Date]]&gt;=$E$33,tblVerifyProduction[[#This Row],[Date]]&lt;=$E$34,OR($E$35="",tblVerifyProduction[[#This Row],[Part]]=$E$35)),tblVerifyProduction[[#This Row],[Date]],""))</f>
        <v>46027</v>
      </c>
      <c r="N63" s="42" t="str">
        <f>IF(tblVerifyProduction[[#This Row],[Date]]="","",IF(tblVerifyProduction[[#This Row],[Part]]="","Missing part",IF(tblVerifyProduction[[#This Row],[Produced]]="","Missing produced",IF(tblVerifyProduction[[#This Row],[Standard cost]]="","Part not on Setup list",IF(tblVerifyProduction[[#This Row],[Scrapped]]&gt;tblVerifyProduction[[#This Row],[Produced]],"Scrapped &gt; produced",IF(COUNTIFS(tblVerifyProduction[Date],tblVerifyProduction[[#This Row],[Date]],tblVerifyProduction[Part],tblVerifyProduction[[#This Row],[Part]])&gt;1,"Duplicate row for this date and part","OK"))))))</f>
        <v>OK</v>
      </c>
      <c r="O63" s="72"/>
    </row>
    <row r="64" spans="2:18">
      <c r="B64" s="83">
        <v>46028</v>
      </c>
      <c r="C64" s="72" t="s">
        <v>279</v>
      </c>
      <c r="D64" s="79">
        <v>5</v>
      </c>
      <c r="E64" s="76">
        <v>26</v>
      </c>
      <c r="F64" s="44">
        <f>IF(tblVerifyProduction[[#This Row],[Date]]="","",IF(tblVerifyProduction[[#This Row],[Standard cost]]="","",tblVerifyProduction[[#This Row],[Produced]]*tblVerifyProduction[[#This Row],[Standard cost]]))</f>
        <v>130</v>
      </c>
      <c r="G64" s="44">
        <f>IF(tblVerifyProduction[[#This Row],[Date]]="","",SUMIFS(tblVerifyScrap[Scrapped],tblVerifyScrap[Date],tblVerifyProduction[[#This Row],[Date]],tblVerifyScrap[Part],tblVerifyProduction[[#This Row],[Part]]))</f>
        <v>8</v>
      </c>
      <c r="H64" s="38">
        <f>IF(tblVerifyProduction[[#This Row],[Date]]="","",SUMIFS(tblVerifyScrap[Net scrap cost],tblVerifyScrap[Date],tblVerifyProduction[[#This Row],[Date]],tblVerifyScrap[Part],tblVerifyProduction[[#This Row],[Part]]))</f>
        <v>72.96</v>
      </c>
      <c r="I64" s="45">
        <f>IF(tblVerifyProduction[[#This Row],[Date]]="","",IF(tblVerifyProduction[[#This Row],[Produced]]&gt;0,tblVerifyProduction[[#This Row],[Scrapped]]/tblVerifyProduction[[#This Row],[Produced]],""))</f>
        <v>1.6</v>
      </c>
      <c r="J64" s="46" t="str">
        <f>IF(NOT(ISNUMBER(tblVerifyProduction[[#This Row],[Scrap rate]])),"",IF(tblVerifyProduction[[#This Row],[Scrap rate]]&lt;=$E$36,"On target",IF(tblVerifyProduction[[#This Row],[Scrap rate]]&lt;=$E$36*(1+0.05),"Near target","Above target")))</f>
        <v>Above target</v>
      </c>
      <c r="K64" s="45">
        <f>IF(tblVerifyProduction[[#This Row],[Date]]="","",IF(N(tblVerifyProduction[[#This Row],[Production value]])&gt;0,tblVerifyProduction[[#This Row],[Net scrap cost]]/tblVerifyProduction[[#This Row],[Production value]],""))</f>
        <v>0.561230769230769</v>
      </c>
      <c r="L64" s="47">
        <f>IF(tblVerifyProduction[[#This Row],[Date]]="","",IF(tblVerifyProduction[[#This Row],[Produced]]-tblVerifyProduction[[#This Row],[Scrapped]]&gt;0,tblVerifyProduction[[#This Row],[Net scrap cost]]/(tblVerifyProduction[[#This Row],[Produced]]-tblVerifyProduction[[#This Row],[Scrapped]]),""))</f>
        <v/>
      </c>
      <c r="M64" s="41">
        <f>IF(tblVerifyProduction[[#This Row],[Date]]="","",IF(AND(tblVerifyProduction[[#This Row],[Date]]&gt;=$E$33,tblVerifyProduction[[#This Row],[Date]]&lt;=$E$34,OR($E$35="",tblVerifyProduction[[#This Row],[Part]]=$E$35)),tblVerifyProduction[[#This Row],[Date]],""))</f>
        <v>46028</v>
      </c>
      <c r="N64" s="42" t="str">
        <f>IF(tblVerifyProduction[[#This Row],[Date]]="","",IF(tblVerifyProduction[[#This Row],[Part]]="","Missing part",IF(tblVerifyProduction[[#This Row],[Produced]]="","Missing produced",IF(tblVerifyProduction[[#This Row],[Standard cost]]="","Part not on Setup list",IF(tblVerifyProduction[[#This Row],[Scrapped]]&gt;tblVerifyProduction[[#This Row],[Produced]],"Scrapped &gt; produced",IF(COUNTIFS(tblVerifyProduction[Date],tblVerifyProduction[[#This Row],[Date]],tblVerifyProduction[Part],tblVerifyProduction[[#This Row],[Part]])&gt;1,"Duplicate row for this date and part","OK"))))))</f>
        <v>Scrapped &gt; produced</v>
      </c>
      <c r="O64" s="72"/>
    </row>
  </sheetData>
  <sheetProtection sheet="1" formatColumns="0" formatRows="0"/>
  <mergeCells count="40">
    <mergeCell ref="A1:R1"/>
    <mergeCell ref="B2:Q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B29:L29"/>
    <mergeCell ref="B31:L31"/>
    <mergeCell ref="B32:F32"/>
    <mergeCell ref="B33:D33"/>
    <mergeCell ref="B34:D34"/>
    <mergeCell ref="B35:D35"/>
    <mergeCell ref="E35:F35"/>
    <mergeCell ref="B36:D36"/>
    <mergeCell ref="B37:D37"/>
    <mergeCell ref="B38:D38"/>
    <mergeCell ref="B39:D39"/>
    <mergeCell ref="B41:L41"/>
    <mergeCell ref="B46:L46"/>
    <mergeCell ref="B52:L52"/>
    <mergeCell ref="B59:L59"/>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7">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N62:N64">
    <cfRule type="expression" dxfId="3" priority="43">
      <formula>$N62="OK"</formula>
    </cfRule>
    <cfRule type="expression" dxfId="1" priority="44">
      <formula>AND($N62&lt;&gt;"",$N62&lt;&gt;"OK")</formula>
    </cfRule>
  </conditionalFormatting>
  <conditionalFormatting sqref="Q55:Q57">
    <cfRule type="expression" dxfId="3" priority="41">
      <formula>$Q55="OK"</formula>
    </cfRule>
    <cfRule type="expression" dxfId="1" priority="42">
      <formula>AND($Q55&lt;&gt;"",$Q55&lt;&gt;"OK")</formula>
    </cfRule>
  </conditionalFormatting>
  <hyperlinks>
    <hyperlink ref="R2" r:id="rId1" tooltip="Free manufacturing calculators and templates"/>
  </hyperlinks>
  <printOptions horizontalCentered="1"/>
  <pageMargins left="0.4" right="0.4" top="0.7" bottom="0.65" header="0.3" footer="0.3"/>
  <pageSetup fitToHeight="0" orientation="landscape"/>
  <headerFooter>
    <oddHeader>&amp;L&amp;8MFG Calcs - Scrap Cost Tracker&amp;R&amp;8&amp;A</oddHeader>
    <oddFooter>&amp;L&amp;8mfgcalcs.com - free manufacturing templates&amp;R&amp;8Page &amp;P of &amp;N</oddFooter>
  </headerFooter>
  <rowBreaks count="1" manualBreakCount="1">
    <brk id="44" max="16383" man="1"/>
  </rowBreaks>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29</vt:i4>
      </vt:variant>
    </vt:vector>
  </HeadingPairs>
  <TitlesOfParts>
    <vt:vector size="36" baseType="lpstr">
      <vt:lpstr>Start Here</vt:lpstr>
      <vt:lpstr>Setup</vt:lpstr>
      <vt:lpstr>Scrap Log</vt:lpstr>
      <vt:lpstr>Production Log</vt:lpstr>
      <vt:lpstr>Dashboard</vt:lpstr>
      <vt:lpstr>Method</vt:lpstr>
      <vt:lpstr>Verify</vt:lpstr>
      <vt:lpstr>Currency</vt:lpstr>
      <vt:lpstr>DashFrom</vt:lpstr>
      <vt:lpstr>DashPart</vt:lpstr>
      <vt:lpstr>DashTo</vt:lpstr>
      <vt:lpstr>DisposalKg</vt:lpstr>
      <vt:lpstr>KpiKg</vt:lpstr>
      <vt:lpstr>KpiNet</vt:lpstr>
      <vt:lpstr>KpiPerGood</vt:lpstr>
      <vt:lpstr>KpiRate</vt:lpstr>
      <vt:lpstr>KpiRecovery</vt:lpstr>
      <vt:lpstr>KpiShare</vt:lpstr>
      <vt:lpstr>KpiTop</vt:lpstr>
      <vt:lpstr>KpiUnits</vt:lpstr>
      <vt:lpstr>PlantName</vt:lpstr>
      <vt:lpstr>Dashboard!Print_Area</vt:lpstr>
      <vt:lpstr>Method!Print_Area</vt:lpstr>
      <vt:lpstr>'Production Log'!Print_Area</vt:lpstr>
      <vt:lpstr>'Scrap Log'!Print_Area</vt:lpstr>
      <vt:lpstr>Setup!Print_Area</vt:lpstr>
      <vt:lpstr>'Start Here'!Print_Area</vt:lpstr>
      <vt:lpstr>Verify!Print_Area</vt:lpstr>
      <vt:lpstr>Method!Print_Titles</vt:lpstr>
      <vt:lpstr>'Production Log'!Print_Titles</vt:lpstr>
      <vt:lpstr>'Scrap Log'!Print_Titles</vt:lpstr>
      <vt:lpstr>RecoveryKg</vt:lpstr>
      <vt:lpstr>SelfCheck</vt:lpstr>
      <vt:lpstr>SelfCheckSummary</vt:lpstr>
      <vt:lpstr>TargetRate</vt:lpstr>
      <vt:lpstr>TargetShare</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Scrap Cost Tracker - free Excel template from MFG Calcs</dc:title>
  <dc:subject>Log scrap, cost each part at what had been spent on it so far, and see scrap cost, scrap rate and the costliest reasons.</dc:subject>
  <dc:creator>MFG Calcs</dc:creator>
  <cp:keywords>scrap cost, scrap rate, scrap log, cost of scrap, Pareto, quality cost, COPQ, recovery credit</cp:keywords>
  <dc:description>https://www.mfgcalcs.com/templates/scrap-cost-tracker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scrap-cost-tracker</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log</vt:lpwstr>
  </property>
  <property fmtid="{D5CDD505-2E9C-101B-9397-08002B2CF9AE}" pid="6" name="Template URL">
    <vt:lpwstr>https://www.mfgcalcs.com/templates/scrap-cost-tracker</vt:lpwstr>
  </property>
  <property fmtid="{D5CDD505-2E9C-101B-9397-08002B2CF9AE}" pid="7" name="Template sheet roles">
    <vt:lpwstr>Start Here=start;Setup=setup;Scrap Log=work;Production Log=work;Dashboard=dashboard;Method=method;Verify=verify</vt:lpwstr>
  </property>
</Properties>
</file>