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Estimate" sheetId="3" r:id="rId3"/>
    <sheet name="Dashboard" sheetId="4" r:id="rId4"/>
    <sheet name="Method" sheetId="5" r:id="rId5"/>
    <sheet name="Verify" sheetId="6" r:id="rId6"/>
  </sheets>
  <definedNames>
    <definedName name="BlankKg">Estimate!$C$32</definedName>
    <definedName name="BlankL">Estimate!$C$19</definedName>
    <definedName name="BlankW">Estimate!$C$20</definedName>
    <definedName name="BreakList">Estimate!$D$80:$H$80</definedName>
    <definedName name="BuyMarkup">Setup!$C$12</definedName>
    <definedName name="CoName">Setup!$C$6</definedName>
    <definedName name="Currency">Setup!$C$7</definedName>
    <definedName name="Customer">Estimate!$C$8</definedName>
    <definedName name="CutCost">Estimate!$C$47</definedName>
    <definedName name="CutLen">Estimate!$C$39</definedName>
    <definedName name="CutMachine">Estimate!$C$38</definedName>
    <definedName name="CutMin">Estimate!$C$46</definedName>
    <definedName name="CutRate">Estimate!$C$45</definedName>
    <definedName name="CutSetupCost">Estimate!$C$48</definedName>
    <definedName name="CutSetupH">Estimate!$C$44</definedName>
    <definedName name="CutSpeed">Estimate!$C$41</definedName>
    <definedName name="CycleMin">Estimate!$C$62</definedName>
    <definedName name="DashBreak">Dashboard!$C$4</definedName>
    <definedName name="Density">Estimate!$C$29</definedName>
    <definedName name="DimUnit">Estimate!$C$17</definedName>
    <definedName name="Edge">Estimate!$C$24</definedName>
    <definedName name="FPY">Setup!$C$14</definedName>
    <definedName name="Gap">Estimate!$C$23</definedName>
    <definedName name="HardwarePP">Estimate!$C$72</definedName>
    <definedName name="KpiCost">Dashboard!$D$8</definedName>
    <definedName name="KpiMargin">Dashboard!$G$8</definedName>
    <definedName name="KpiPPS">Dashboard!$J$8</definedName>
    <definedName name="KpiPrice">Dashboard!$B$8</definedName>
    <definedName name="Machines">tblMachines[Machine]</definedName>
    <definedName name="Margin">Setup!$C$13</definedName>
    <definedName name="Material">Estimate!$C$16</definedName>
    <definedName name="Materials">tblMaterials[Material]</definedName>
    <definedName name="NestCheck">Estimate!$C$34</definedName>
    <definedName name="NRot">Estimate!$C$26</definedName>
    <definedName name="NUnrot">Estimate!$C$25</definedName>
    <definedName name="Overhead">Setup!$C$11</definedName>
    <definedName name="PartDesc">Estimate!$C$10</definedName>
    <definedName name="PartNo">Estimate!$C$9</definedName>
    <definedName name="Pierces">Estimate!$C$40</definedName>
    <definedName name="PierceSec">Estimate!$C$42</definedName>
    <definedName name="PPS">Estimate!$C$27</definedName>
    <definedName name="PreparedBy">Estimate!$C$12</definedName>
    <definedName name="PriceKg">Estimate!$C$30</definedName>
    <definedName name="_xlnm.Print_Area" localSheetId="3">Dashboard!$A$1:$L$47</definedName>
    <definedName name="_xlnm.Print_Area" localSheetId="2">Estimate!$A$1:$L$94</definedName>
    <definedName name="_xlnm.Print_Area" localSheetId="4">Method!$A$1:$D$58</definedName>
    <definedName name="_xlnm.Print_Area" localSheetId="1">Setup!$A$1:$F$35</definedName>
    <definedName name="_xlnm.Print_Area" localSheetId="0">'Start Here'!$A$1:$F$56</definedName>
    <definedName name="_xlnm.Print_Area" localSheetId="5">Verify!$A$1:$L$115</definedName>
    <definedName name="_xlnm.Print_Titles" localSheetId="4">Method!$1:$2</definedName>
    <definedName name="QuoteDate">Estimate!$C$11</definedName>
    <definedName name="RoundStep">Setup!$C$15</definedName>
    <definedName name="RunCost">Estimate!$C$60</definedName>
    <definedName name="SelfCheck">Verify!$D$4</definedName>
    <definedName name="SelfCheckSummary">Verify!$F$4</definedName>
    <definedName name="SelIdx">IFERROR(MATCH(DashBreak,Estimate!$D$80:$H$80,0),1)</definedName>
    <definedName name="SetupCost">Estimate!$C$59</definedName>
    <definedName name="SetupHours">Estimate!$C$61</definedName>
    <definedName name="SheetCost">Estimate!$C$33</definedName>
    <definedName name="SheetKg">Estimate!$C$31</definedName>
    <definedName name="SheetL">Estimate!$C$21</definedName>
    <definedName name="SheetMin">Estimate!$C$43</definedName>
    <definedName name="SheetW">Estimate!$C$22</definedName>
    <definedName name="SheetYield">Estimate!$C$28</definedName>
    <definedName name="Thick">Estimate!$C$18</definedName>
  </definedNames>
  <calcPr calcId="124519" fullCalcOnLoad="1"/>
</workbook>
</file>

<file path=xl/sharedStrings.xml><?xml version="1.0" encoding="utf-8"?>
<sst xmlns="http://schemas.openxmlformats.org/spreadsheetml/2006/main" count="543" uniqueCount="308">
  <si>
    <t>Sheet Metal Part Cost Estimator</t>
  </si>
  <si>
    <t>Read this first: what the workbook does and how to use it.</t>
  </si>
  <si>
    <t>mfgcalcs.com</t>
  </si>
  <si>
    <t>Estimate a sheet metal part from its flat blank: parts per sheet, material, laser time, bends, hardware and finishing, priced for five quantities.</t>
  </si>
  <si>
    <t>For: Estimators, sales engineers and owners of sheet metal and fabrication shops, and buyers checking a fabricated-part quote.</t>
  </si>
  <si>
    <t>Version 1.0.0  ·  updated 15 October 2026</t>
  </si>
  <si>
    <t>Quick start</t>
  </si>
  <si>
    <t>1.</t>
  </si>
  <si>
    <t>On Setup, type your company name, currency, costing defaults, machine rates and sheet material prices.</t>
  </si>
  <si>
    <t>2.</t>
  </si>
  <si>
    <t>On Estimate, choose the material and thickness, enter the flat-blank and sheet sizes, part spacing and edge margin.</t>
  </si>
  <si>
    <t>3.</t>
  </si>
  <si>
    <t>Enter the cut length, pierces and cutting speed, then the bends and secondary operations, hardware and outside finishing.</t>
  </si>
  <si>
    <t>4.</t>
  </si>
  <si>
    <t>Type five quantities and read whole sheets to buy, cost per part, unit price and margin for each.</t>
  </si>
  <si>
    <t>5.</t>
  </si>
  <si>
    <t>On the Dashboard, pick a quantity to see the tiles, the two charts and where the cost goes.</t>
  </si>
  <si>
    <t>What is in this workbook</t>
  </si>
  <si>
    <t>Start Here</t>
  </si>
  <si>
    <t>Setup</t>
  </si>
  <si>
    <t>Your company, currency, costing defaults, machine rates and sheet material prices.</t>
  </si>
  <si>
    <t>Estimate</t>
  </si>
  <si>
    <t>The part, nest, laser time, forming and secondary operations, hardware, finishing and five quantities.</t>
  </si>
  <si>
    <t>Dashboard</t>
  </si>
  <si>
    <t>Unit price, cost and margin at the quantity you pick, the nest, and where the cost of a sheet metal part goes.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</si>
  <si>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</si>
  <si>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</si>
  <si>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</si>
  <si>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</si>
  <si>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</si>
  <si>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</si>
  <si>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</si>
  <si>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</si>
  <si>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</si>
  <si>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</si>
  <si>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</si>
  <si>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</si>
  <si>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</si>
  <si>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</si>
  <si>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</si>
  <si>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</si>
  <si>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</si>
  <si>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</si>
  <si>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</si>
  <si>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</si>
  <si>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Rectangular Blank Layout Calculator on mfgcalcs.com</t>
  </si>
  <si>
    <t>Latest version</t>
  </si>
  <si>
    <t>mfgcalcs.com/templates/sheet-metal-cost</t>
  </si>
  <si>
    <t>More free templates</t>
  </si>
  <si>
    <t>mfgcalcs.com/templates</t>
  </si>
  <si>
    <t>Version</t>
  </si>
  <si>
    <t>1.0.0 (updated 15 October 2026)</t>
  </si>
  <si>
    <t>About the example data</t>
  </si>
  <si>
    <t>Every number already in this workbook is example data for Ironbridge Fabrication, a fictional business invented for this template, so the dashboard and charts show something meaningful on day one. The example costs a 2 mm steel mounting bracket with four bends, two self-clinching nuts and powder coat for a fictional customer; all prices, rates and process data are invented for the example. To start with your own data, overwrite the yellow cells.</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</si>
  <si>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</si>
  <si>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</si>
  <si>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</si>
  <si>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</si>
  <si>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</si>
  <si>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</si>
  <si>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</si>
  <si>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</si>
  <si>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Machine</t>
  </si>
  <si>
    <t>Rate per hour</t>
  </si>
  <si>
    <t>Notes</t>
  </si>
  <si>
    <t>Material</t>
  </si>
  <si>
    <t>Density (g/cm3)</t>
  </si>
  <si>
    <t>Price</t>
  </si>
  <si>
    <t>Per</t>
  </si>
  <si>
    <t>Company and currency</t>
  </si>
  <si>
    <t>Company name</t>
  </si>
  <si>
    <t>Ironbridge Fabrication (example)</t>
  </si>
  <si>
    <t>Currency label</t>
  </si>
  <si>
    <t>USD</t>
  </si>
  <si>
    <t>Costing defaults</t>
  </si>
  <si>
    <t>Overhead on machine time and setup</t>
  </si>
  <si>
    <t>Markup on sheet material and outside finishing</t>
  </si>
  <si>
    <t>Target margin on price</t>
  </si>
  <si>
    <t>First-pass yield</t>
  </si>
  <si>
    <t>Round unit prices up to the nearest</t>
  </si>
  <si>
    <t>Machines and sheet materials</t>
  </si>
  <si>
    <t>Machines (example rates)</t>
  </si>
  <si>
    <t>Fiber laser 4 kW</t>
  </si>
  <si>
    <t>Includes operator and assist gas</t>
  </si>
  <si>
    <t>Turret punch</t>
  </si>
  <si>
    <t/>
  </si>
  <si>
    <t>Press brake 100 t</t>
  </si>
  <si>
    <t>Fastener insertion press</t>
  </si>
  <si>
    <t>Deburr machine</t>
  </si>
  <si>
    <t>Wide-belt deburr</t>
  </si>
  <si>
    <t>Spot welder</t>
  </si>
  <si>
    <t>Sheet materials (example prices)</t>
  </si>
  <si>
    <t>Cold-rolled steel</t>
  </si>
  <si>
    <t>kg</t>
  </si>
  <si>
    <t>Example price; use your supplier's quote</t>
  </si>
  <si>
    <t>Galvanised steel</t>
  </si>
  <si>
    <t>Example price</t>
  </si>
  <si>
    <t>Stainless 304 2B</t>
  </si>
  <si>
    <t>Aluminium 5052-H32</t>
  </si>
  <si>
    <t>lb</t>
  </si>
  <si>
    <t>Example price per pound</t>
  </si>
  <si>
    <t>Operation</t>
  </si>
  <si>
    <t>Setup (h)</t>
  </si>
  <si>
    <t>Count per part</t>
  </si>
  <si>
    <t>Seconds per count</t>
  </si>
  <si>
    <t>Handling (s/part)</t>
  </si>
  <si>
    <t>Rate</t>
  </si>
  <si>
    <t>Cycle (min/part)</t>
  </si>
  <si>
    <t>Setup cost</t>
  </si>
  <si>
    <t>Run cost</t>
  </si>
  <si>
    <t>Check</t>
  </si>
  <si>
    <t>Item</t>
  </si>
  <si>
    <t>Qty per part</t>
  </si>
  <si>
    <t>Unit price</t>
  </si>
  <si>
    <t>Cost per part</t>
  </si>
  <si>
    <t>Process</t>
  </si>
  <si>
    <t>Supplier</t>
  </si>
  <si>
    <t>Price per part</t>
  </si>
  <si>
    <t>Lot charge</t>
  </si>
  <si>
    <t>Example for Ironbridge Fabrication (fictional). Overwrite the yellow cells with your part; edit or delete the example table rows. Blue cells calculate. The Dashboard fills from here.</t>
  </si>
  <si>
    <t>Part and quote</t>
  </si>
  <si>
    <t>Customer</t>
  </si>
  <si>
    <t>Lindqvist Electrical (example)</t>
  </si>
  <si>
    <t>Part number</t>
  </si>
  <si>
    <t>LE-BRK-0217</t>
  </si>
  <si>
    <t>Part description</t>
  </si>
  <si>
    <t>Mounting bracket, 2 mm steel, 4 bends, 2 nuts, powder coated</t>
  </si>
  <si>
    <t>Date</t>
  </si>
  <si>
    <t>Prepared by</t>
  </si>
  <si>
    <t>Estimating</t>
  </si>
  <si>
    <t>Flat blank and nest</t>
  </si>
  <si>
    <t>Dimensions in</t>
  </si>
  <si>
    <t>mm</t>
  </si>
  <si>
    <t>Thickness</t>
  </si>
  <si>
    <t>Flat blank length</t>
  </si>
  <si>
    <t>Flat blank width</t>
  </si>
  <si>
    <t>Sheet length</t>
  </si>
  <si>
    <t>Sheet width</t>
  </si>
  <si>
    <t>Spacing between parts</t>
  </si>
  <si>
    <t>Margin at each sheet edge</t>
  </si>
  <si>
    <t>Parts per sheet, as drawn</t>
  </si>
  <si>
    <t>parts</t>
  </si>
  <si>
    <t>Parts per sheet, rotated 90 degrees</t>
  </si>
  <si>
    <t>Parts per sheet (best)</t>
  </si>
  <si>
    <t>Sheet yield (blank area / sheet area)</t>
  </si>
  <si>
    <t>%</t>
  </si>
  <si>
    <t>Density</t>
  </si>
  <si>
    <t>g/cm3</t>
  </si>
  <si>
    <t>Sheet price</t>
  </si>
  <si>
    <t>Sheet mass</t>
  </si>
  <si>
    <t>Flat blank mass</t>
  </si>
  <si>
    <t>Cost per sheet</t>
  </si>
  <si>
    <t>Nest check</t>
  </si>
  <si>
    <t>Laser cutting</t>
  </si>
  <si>
    <t>Cutting machine</t>
  </si>
  <si>
    <t>Cut length per part, outline and holes</t>
  </si>
  <si>
    <t>Pierces per part</t>
  </si>
  <si>
    <t>Average cutting speed</t>
  </si>
  <si>
    <t>Time per pierce</t>
  </si>
  <si>
    <t>s</t>
  </si>
  <si>
    <t>Sheet load and unload, per sheet</t>
  </si>
  <si>
    <t>min</t>
  </si>
  <si>
    <t>Nest programming and setup, per batch</t>
  </si>
  <si>
    <t>h</t>
  </si>
  <si>
    <t>Machine rate</t>
  </si>
  <si>
    <t>Cutting time per part</t>
  </si>
  <si>
    <t>min/part</t>
  </si>
  <si>
    <t>Cutting cost per part started</t>
  </si>
  <si>
    <t>Cutting setup cost per batch</t>
  </si>
  <si>
    <t>Forming and secondary operations (one row per operation)</t>
  </si>
  <si>
    <t>Bend 4 x 90 degrees</t>
  </si>
  <si>
    <t>Insert 2 self-clinching nuts</t>
  </si>
  <si>
    <t>Deburr both faces</t>
  </si>
  <si>
    <t>Operation totals</t>
  </si>
  <si>
    <t>Setup cost per batch, cutting included</t>
  </si>
  <si>
    <t>Forming and secondary cost per part started</t>
  </si>
  <si>
    <t>Setup hours per batch, cutting included</t>
  </si>
  <si>
    <t>Machine time per part, cutting included</t>
  </si>
  <si>
    <t>Hardware and outside finishing</t>
  </si>
  <si>
    <t>Self-clinching nut M5</t>
  </si>
  <si>
    <t>Part label</t>
  </si>
  <si>
    <t>Hardware total</t>
  </si>
  <si>
    <t>Hardware per part started</t>
  </si>
  <si>
    <t>Powder coat, light grey</t>
  </si>
  <si>
    <t>Example Coaters</t>
  </si>
  <si>
    <t>Cost and price by quantity</t>
  </si>
  <si>
    <t>Quantity (good parts)</t>
  </si>
  <si>
    <t>Unit</t>
  </si>
  <si>
    <t>Parts to start (yield)</t>
  </si>
  <si>
    <t>Whole sheets to buy</t>
  </si>
  <si>
    <t>sheets</t>
  </si>
  <si>
    <t>Sheet material incl. markup</t>
  </si>
  <si>
    <t>Forming and secondary</t>
  </si>
  <si>
    <t>Hardware</t>
  </si>
  <si>
    <t>Setup, spread over the quantity</t>
  </si>
  <si>
    <t>Outside finishing incl. markup</t>
  </si>
  <si>
    <t>Overhead</t>
  </si>
  <si>
    <t>Total cost per part</t>
  </si>
  <si>
    <t>Extended price</t>
  </si>
  <si>
    <t>Margin achieved</t>
  </si>
  <si>
    <t>% of price</t>
  </si>
  <si>
    <t>Machine hours</t>
  </si>
  <si>
    <t>Quantity shown</t>
  </si>
  <si>
    <t>MARGIN ACHIEVED</t>
  </si>
  <si>
    <t>PARTS PER SHEET</t>
  </si>
  <si>
    <t>Rounded up to your price step</t>
  </si>
  <si>
    <t>All lines, before margin</t>
  </si>
  <si>
    <t>Cost build-up at the quantity shown</t>
  </si>
  <si>
    <t>Cost line</t>
  </si>
  <si>
    <t>Per part</t>
  </si>
  <si>
    <t>Share of cost</t>
  </si>
  <si>
    <t>For the order</t>
  </si>
  <si>
    <t>Sheet material</t>
  </si>
  <si>
    <t>Forming, secondary</t>
  </si>
  <si>
    <t>Finishing (outside)</t>
  </si>
  <si>
    <t>Chart data: cost per part by group</t>
  </si>
  <si>
    <t>Quantity</t>
  </si>
  <si>
    <t>Cutting, forming, overhead</t>
  </si>
  <si>
    <t>Outside finishing</t>
  </si>
  <si>
    <t>What this workbook calculates</t>
  </si>
  <si>
    <t>The part is costed from its flat blank. The nest gives parts per sheet and whole sheets are bought, so material per part steps with the quantity. Laser time comes from cut length, pierces and the sheet handling shared across the nest; forming and secondary operations from counts and seconds; then hardware, outside finishing, setup and overhead. The price is the cost marked up to the target margin on price and rounded up to your price step.</t>
  </si>
  <si>
    <t>Calculations</t>
  </si>
  <si>
    <t>How it is calculated</t>
  </si>
  <si>
    <t>Units</t>
  </si>
  <si>
    <t>Parts per sheet</t>
  </si>
  <si>
    <t>Usable = sheet - 2 x edge margin; along each side INT((usable + spacing) / (blank + spacing)); as drawn and rotated 90 degrees; the larger count.</t>
  </si>
  <si>
    <t>Sheet yield</t>
  </si>
  <si>
    <t>Parts per sheet x blank length x width / sheet length x width.</t>
  </si>
  <si>
    <t>Sheet mass and cost</t>
  </si>
  <si>
    <t>Length x width x thickness (mm3 x 0.001 or in3 x 16.387064 = cm3) x density / 1000; x price per kg (a price per lb / 0.45359237).</t>
  </si>
  <si>
    <t>kg, currency</t>
  </si>
  <si>
    <t>Cutting time</t>
  </si>
  <si>
    <t>Cut length / speed + pierces x seconds per pierce / 60 + sheet load and unload / parts per sheet.</t>
  </si>
  <si>
    <t>Operation cycle</t>
  </si>
  <si>
    <t>(Count per part x seconds per count + handling) / 60; run cost = cycle / 60 x rate; setup cost = setup hours x rate.</t>
  </si>
  <si>
    <t>min, currency</t>
  </si>
  <si>
    <t>Parts and sheets</t>
  </si>
  <si>
    <t>Parts to start = CEILING(quantity / first-pass yield); sheets = CEILING(parts to start / parts per sheet).</t>
  </si>
  <si>
    <t>parts, sheets</t>
  </si>
  <si>
    <t>Cost lines</t>
  </si>
  <si>
    <t>Material = sheets x sheet cost x (1 + markup) / quantity. Cutting, forming and hardware x parts to start / quantity. Setup / quantity.</t>
  </si>
  <si>
    <t>currency/part</t>
  </si>
  <si>
    <t>Per process the larger of lot charge and price x quantity, summed, / quantity, x (1 + markup).</t>
  </si>
  <si>
    <t>(Cutting + forming + setup per part) x overhead %.</t>
  </si>
  <si>
    <t>CEILING(total cost / (1 - target margin), price step). Margin achieved = (price - cost) / price.</t>
  </si>
  <si>
    <t>Setup hours (cutting included) + parts to start x machine minutes per part / 60.</t>
  </si>
  <si>
    <t>Assumptions</t>
  </si>
  <si>
    <t>Blanks nest as rectangles in a uniform grid of one orientation; true-shape or mixed nesting can fit more.</t>
  </si>
  <si>
    <t>Whole sheets are bought for each quantity; the skeleton and the unused part of the last sheet are scrap with no credit.</t>
  </si>
  <si>
    <t>Scrapped parts are remade, so they use material, machine time and hardware; finishing is charged on the quoted quantity.</t>
  </si>
  <si>
    <t>The cutting speed you type is the average you achieve, corners and lead-ins included; the laser rate includes assist gas.</t>
  </si>
  <si>
    <t>Limitations</t>
  </si>
  <si>
    <t>Common-line cutting, remnant reuse and scrap credit are not modelled; subtract a scrap credit from the sheet price if you sell the skeleton.</t>
  </si>
  <si>
    <t>Bend allowance is not calculated: enter the flat-blank size from your CAD flat pattern.</t>
  </si>
  <si>
    <t>Welding and assembly beyond simple spot welds belong in the Welding Cost Estimator template.</t>
  </si>
  <si>
    <t>No taxes, duties, freight, currency conversion or payment discounts are calculated.</t>
  </si>
  <si>
    <t>Agreement with the live calculator</t>
  </si>
  <si>
    <t>The nest block is the live Rectangular Blank Layout calculator's model (usable dimension, blanks along each side, both orientations, best count, purchased-sheet yield); the build checks the calculator's own example (2400 x 1200 mm sheet, 460 x 280 mm blanks, 5 mm gap, 10 mm edge) and the example part against its engine. The price before rounding is the Quote Margin calculator's price for a target margin, cost / (1 - margin), also checked. Laser time, operations, hardware, finishing and the price build-up are this template's own.</t>
  </si>
  <si>
    <t>Open the Rectangular Blank Layout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</si>
  <si>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</si>
  <si>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</si>
  <si>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Fabrication costing practice: material by whole sheets, machine time at hourly rates, setup per batch, margin on price.</t>
  </si>
  <si>
    <t>Unit conversions: 1 lb = 0.45359237 kg and 1 in = 2.54 cm exactly (international yard and pound agreement, 1959).</t>
  </si>
  <si>
    <t>MFG Calcs Rectangular Blank Layout and Quote Margin calculators: the nest count and the price for a target margin.</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</si>
  <si>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</si>
  <si>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</si>
  <si>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</si>
  <si>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</si>
  <si>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</si>
  <si>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</si>
  <si>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</si>
  <si>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</si>
  <si>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</si>
  <si>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</si>
  <si>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</si>
  <si>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</si>
  <si>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</si>
  <si>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</si>
  <si>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</si>
  <si>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Parts per sheet, rotated</t>
  </si>
  <si>
    <t>Cutting time per part (min)</t>
  </si>
  <si>
    <t>Bend row: cycle (min/part)</t>
  </si>
  <si>
    <t>Test row: Check asks for a time</t>
  </si>
  <si>
    <t>Enter a time</t>
  </si>
  <si>
    <t>exact</t>
  </si>
  <si>
    <t>Qty 25: whole sheets</t>
  </si>
  <si>
    <t>Qty 25: total cost per part</t>
  </si>
  <si>
    <t>Qty 25: unit price</t>
  </si>
  <si>
    <t>Qty 250: whole sheets</t>
  </si>
  <si>
    <t>Qty 250: total cost per part</t>
  </si>
  <si>
    <t>Qty 250: unit price</t>
  </si>
  <si>
    <t>Qty 1000: whole sheets</t>
  </si>
  <si>
    <t>Qty 1000: total cost per part</t>
  </si>
  <si>
    <t>Qty 1000: unit price</t>
  </si>
  <si>
    <t>Fixed test inputs</t>
  </si>
  <si>
    <t>White cells are fixed test inputs; blue cells are the workbook's formulas evaluated on them.</t>
  </si>
  <si>
    <t>Parameters</t>
  </si>
  <si>
    <t>Markup on material and finishing</t>
  </si>
  <si>
    <t>Price rounding step</t>
  </si>
  <si>
    <t>Test table: Ops</t>
  </si>
  <si>
    <t>Test: no time entered</t>
  </si>
  <si>
    <t>Test table: Hardware</t>
  </si>
  <si>
    <t>Test table: Outside</t>
  </si>
  <si>
    <t>Test flat blank and nest (the example part)</t>
  </si>
  <si>
    <t>Test laser cutting</t>
  </si>
  <si>
    <t>Test operation totals</t>
  </si>
  <si>
    <t>Test hardware total</t>
  </si>
  <si>
    <t>Test cost and price by quantity (same formulas as the Estimate sheet)</t>
  </si>
</sst>
</file>

<file path=xl/styles.xml><?xml version="1.0" encoding="utf-8"?>
<styleSheet xmlns="http://schemas.openxmlformats.org/spreadsheetml/2006/main">
  <numFmts count="11">
    <numFmt numFmtId="164" formatCode="0.0%"/>
    <numFmt numFmtId="165" formatCode="#,##0.00"/>
    <numFmt numFmtId="166" formatCode="d mmm yyyy"/>
    <numFmt numFmtId="167" formatCode="#,##0.0"/>
    <numFmt numFmtId="168" formatCode="#,##0"/>
    <numFmt numFmtId="169" formatCode="#,##0.000"/>
    <numFmt numFmtId="170" formatCode="#,##0.0000"/>
    <numFmt numFmtId="171" formatCode="&quot;Target &quot;0.0%"/>
    <numFmt numFmtId="172" formatCode="0.0E+00"/>
    <numFmt numFmtId="173" formatCode="0.00%"/>
    <numFmt numFmtId="174" formatCode="0.0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C7D4EE"/>
      </left>
      <right style="thin">
        <color rgb="FFC7D4EE"/>
      </right>
      <top style="medium">
        <color rgb="FF14386C"/>
      </top>
      <bottom style="thin">
        <color rgb="FFC7D4EE"/>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4">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20"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6" fontId="10" fillId="3" borderId="2" xfId="0" applyNumberFormat="1" applyFont="1" applyFill="1" applyBorder="1" applyAlignment="1" applyProtection="1">
      <alignment horizontal="left" vertical="center"/>
      <protection locked="0"/>
    </xf>
    <xf numFmtId="167"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168" fontId="9"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65" fontId="9" fillId="4" borderId="3" xfId="0" applyNumberFormat="1" applyFont="1" applyFill="1" applyBorder="1" applyAlignment="1">
      <alignment vertical="center"/>
    </xf>
    <xf numFmtId="0" fontId="10" fillId="4" borderId="3" xfId="0" applyFont="1" applyFill="1" applyBorder="1" applyAlignment="1">
      <alignment vertical="center"/>
    </xf>
    <xf numFmtId="168" fontId="10" fillId="3" borderId="2" xfId="0" applyNumberFormat="1" applyFont="1" applyFill="1" applyBorder="1" applyAlignment="1" applyProtection="1">
      <alignment vertical="center"/>
      <protection locked="0"/>
    </xf>
    <xf numFmtId="169" fontId="9"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0" fontId="21" fillId="4" borderId="3" xfId="0" applyFont="1" applyFill="1" applyBorder="1" applyAlignment="1">
      <alignment vertical="center"/>
    </xf>
    <xf numFmtId="170" fontId="10" fillId="3" borderId="2" xfId="0" applyNumberFormat="1" applyFont="1" applyFill="1" applyBorder="1" applyAlignment="1" applyProtection="1">
      <alignment vertical="center"/>
      <protection locked="0"/>
    </xf>
    <xf numFmtId="0" fontId="19" fillId="2" borderId="5" xfId="0" applyFont="1" applyFill="1" applyBorder="1" applyAlignment="1">
      <alignment horizontal="left" vertical="center" wrapText="1"/>
    </xf>
    <xf numFmtId="168" fontId="10" fillId="3" borderId="2" xfId="0" applyNumberFormat="1" applyFont="1" applyFill="1" applyBorder="1" applyAlignment="1" applyProtection="1">
      <alignment horizontal="center" vertical="center"/>
      <protection locked="0"/>
    </xf>
    <xf numFmtId="165" fontId="9" fillId="4" borderId="6" xfId="0" applyNumberFormat="1" applyFont="1" applyFill="1" applyBorder="1" applyAlignment="1">
      <alignment vertical="center"/>
    </xf>
    <xf numFmtId="165" fontId="15" fillId="4" borderId="3" xfId="0" applyNumberFormat="1" applyFont="1" applyFill="1" applyBorder="1" applyAlignment="1">
      <alignment horizontal="center" vertical="center"/>
    </xf>
    <xf numFmtId="167" fontId="9" fillId="4" borderId="3" xfId="0" applyNumberFormat="1" applyFont="1" applyFill="1" applyBorder="1" applyAlignment="1">
      <alignment vertical="center"/>
    </xf>
    <xf numFmtId="0" fontId="18" fillId="0" borderId="0" xfId="0" applyFont="1" applyAlignment="1">
      <alignment vertical="center"/>
    </xf>
    <xf numFmtId="0" fontId="22" fillId="9" borderId="7" xfId="0" applyFont="1" applyFill="1" applyBorder="1" applyAlignment="1">
      <alignment vertical="center" wrapText="1"/>
    </xf>
    <xf numFmtId="165" fontId="4" fillId="9" borderId="8" xfId="0" applyNumberFormat="1" applyFont="1" applyFill="1" applyBorder="1" applyAlignment="1">
      <alignment horizontal="left" vertical="center"/>
    </xf>
    <xf numFmtId="164" fontId="4" fillId="9" borderId="8" xfId="0" applyNumberFormat="1" applyFont="1" applyFill="1" applyBorder="1" applyAlignment="1">
      <alignment horizontal="left" vertical="center"/>
    </xf>
    <xf numFmtId="168" fontId="4" fillId="9" borderId="8" xfId="0" applyNumberFormat="1" applyFont="1" applyFill="1" applyBorder="1" applyAlignment="1">
      <alignment horizontal="left" vertical="center"/>
    </xf>
    <xf numFmtId="0" fontId="23" fillId="9" borderId="8" xfId="0" applyFont="1" applyFill="1" applyBorder="1" applyAlignment="1">
      <alignment vertical="center"/>
    </xf>
    <xf numFmtId="171" fontId="23" fillId="9" borderId="8" xfId="0" applyNumberFormat="1" applyFont="1" applyFill="1" applyBorder="1" applyAlignment="1">
      <alignment horizontal="left" vertical="center"/>
    </xf>
    <xf numFmtId="0" fontId="22" fillId="9" borderId="9" xfId="0" applyFont="1" applyFill="1" applyBorder="1" applyAlignment="1">
      <alignment vertical="center"/>
    </xf>
    <xf numFmtId="0" fontId="9" fillId="0" borderId="10" xfId="0" applyFont="1" applyBorder="1" applyAlignment="1">
      <alignment vertical="center"/>
    </xf>
    <xf numFmtId="168" fontId="9" fillId="0" borderId="10" xfId="0" applyNumberFormat="1" applyFont="1" applyBorder="1" applyAlignment="1">
      <alignment horizontal="center" vertical="center"/>
    </xf>
    <xf numFmtId="0" fontId="9" fillId="0" borderId="10" xfId="0" applyFont="1" applyBorder="1" applyAlignment="1">
      <alignment vertical="top" wrapText="1"/>
    </xf>
    <xf numFmtId="0" fontId="10" fillId="0" borderId="10" xfId="0" applyFont="1" applyBorder="1" applyAlignment="1">
      <alignment vertical="top" wrapText="1"/>
    </xf>
    <xf numFmtId="0" fontId="10" fillId="0" borderId="10" xfId="0" applyFont="1" applyBorder="1" applyAlignment="1">
      <alignment horizontal="center" vertical="top"/>
    </xf>
    <xf numFmtId="0" fontId="10" fillId="0" borderId="10" xfId="0" applyFont="1" applyBorder="1" applyAlignment="1">
      <alignment vertical="center"/>
    </xf>
    <xf numFmtId="0" fontId="10" fillId="0" borderId="10" xfId="0" applyFont="1" applyBorder="1" applyAlignment="1">
      <alignment vertical="center" wrapText="1"/>
    </xf>
    <xf numFmtId="0" fontId="10" fillId="0" borderId="10" xfId="0" applyFont="1" applyBorder="1" applyAlignment="1">
      <alignment horizontal="center" vertical="center"/>
    </xf>
    <xf numFmtId="0" fontId="8" fillId="0" borderId="0" xfId="0" applyFont="1" applyAlignment="1">
      <alignment vertical="center"/>
    </xf>
    <xf numFmtId="168" fontId="10" fillId="0" borderId="10"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10" xfId="0" applyNumberFormat="1" applyFont="1" applyBorder="1" applyAlignment="1">
      <alignment vertical="center"/>
    </xf>
    <xf numFmtId="0" fontId="10" fillId="4" borderId="3" xfId="0" applyFont="1" applyFill="1" applyBorder="1" applyAlignment="1">
      <alignment horizontal="center" vertical="center"/>
    </xf>
    <xf numFmtId="173" fontId="10" fillId="0" borderId="10" xfId="0" applyNumberFormat="1" applyFont="1" applyBorder="1" applyAlignment="1">
      <alignment vertical="center"/>
    </xf>
    <xf numFmtId="173" fontId="10" fillId="4" borderId="3" xfId="0" applyNumberFormat="1" applyFont="1" applyFill="1" applyBorder="1" applyAlignment="1">
      <alignment vertical="center"/>
    </xf>
    <xf numFmtId="170" fontId="10" fillId="0" borderId="10" xfId="0" applyNumberFormat="1" applyFont="1" applyBorder="1" applyAlignment="1">
      <alignment vertical="center"/>
    </xf>
    <xf numFmtId="174" fontId="10" fillId="0" borderId="10" xfId="0" applyNumberFormat="1" applyFont="1" applyBorder="1" applyAlignment="1">
      <alignment vertical="center"/>
    </xf>
    <xf numFmtId="174" fontId="10" fillId="4" borderId="3" xfId="0" applyNumberFormat="1" applyFont="1" applyFill="1" applyBorder="1" applyAlignment="1">
      <alignment vertical="center"/>
    </xf>
    <xf numFmtId="165" fontId="10" fillId="0" borderId="10" xfId="0" applyNumberFormat="1" applyFont="1" applyBorder="1" applyAlignment="1">
      <alignment vertical="center"/>
    </xf>
    <xf numFmtId="164" fontId="10" fillId="0" borderId="10" xfId="0" applyNumberFormat="1" applyFont="1" applyBorder="1" applyAlignment="1">
      <alignment vertical="center"/>
    </xf>
    <xf numFmtId="167" fontId="10" fillId="0" borderId="10"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Unit price and cost by quantity</a:t>
            </a:r>
          </a:p>
        </c:rich>
      </c:tx>
      <c:layout/>
    </c:title>
    <c:plotArea>
      <c:layout/>
      <c:barChart>
        <c:barDir val="col"/>
        <c:grouping val="clustered"/>
        <c:ser>
          <c:idx val="0"/>
          <c:order val="0"/>
          <c:tx>
            <c:v>Unit price</c:v>
          </c:tx>
          <c:spPr>
            <a:solidFill>
              <a:srgbClr val="3B64D8"/>
            </a:solidFill>
            <a:ln w="9525">
              <a:solidFill>
                <a:srgbClr val="FFFFFF"/>
              </a:solidFill>
            </a:ln>
          </c:spPr>
          <c:dLbls>
            <c:numFmt formatCode="#,##0.00" sourceLinked="0"/>
            <c:txPr>
              <a:bodyPr/>
              <a:lstStyle/>
              <a:p>
                <a:pPr>
                  <a:defRPr sz="800" b="1" baseline="0">
                    <a:solidFill>
                      <a:srgbClr val="FFFFFF"/>
                    </a:solidFill>
                    <a:latin typeface="Calibri"/>
                  </a:defRPr>
                </a:pPr>
                <a:endParaRPr lang="en-US"/>
              </a:p>
            </c:txPr>
            <c:dLblPos val="inBase"/>
            <c:showVal val="1"/>
          </c:dLbls>
          <c:cat>
            <c:numRef>
              <c:f>Dashboard!$E$42:$I$42</c:f>
              <c:numCache>
                <c:formatCode>General</c:formatCode>
                <c:ptCount val="5"/>
                <c:pt idx="0">
                  <c:v>25</c:v>
                </c:pt>
                <c:pt idx="1">
                  <c:v>100</c:v>
                </c:pt>
                <c:pt idx="2">
                  <c:v>250</c:v>
                </c:pt>
                <c:pt idx="3">
                  <c:v>500</c:v>
                </c:pt>
                <c:pt idx="4">
                  <c:v>1000</c:v>
                </c:pt>
              </c:numCache>
            </c:numRef>
          </c:cat>
          <c:val>
            <c:numRef>
              <c:f>Estimate!$D$91:$H$91</c:f>
              <c:numCache>
                <c:formatCode>General</c:formatCode>
                <c:ptCount val="5"/>
                <c:pt idx="0">
                  <c:v>19.51</c:v>
                </c:pt>
                <c:pt idx="1">
                  <c:v>9.36</c:v>
                </c:pt>
                <c:pt idx="2">
                  <c:v>7.97</c:v>
                </c:pt>
                <c:pt idx="3">
                  <c:v>7.45</c:v>
                </c:pt>
                <c:pt idx="4">
                  <c:v>7.18</c:v>
                </c:pt>
              </c:numCache>
            </c:numRef>
          </c:val>
        </c:ser>
        <c:gapWidth val="60"/>
        <c:overlap val="-10"/>
        <c:axId val="50010001"/>
        <c:axId val="50010002"/>
      </c:barChart>
      <c:lineChart>
        <c:grouping val="standard"/>
        <c:ser>
          <c:idx val="1"/>
          <c:order val="1"/>
          <c:tx>
            <c:v>Cost per part</c:v>
          </c:tx>
          <c:spPr>
            <a:ln w="28575">
              <a:solidFill>
                <a:srgbClr val="E8702A"/>
              </a:solidFill>
            </a:ln>
          </c:spPr>
          <c:marker>
            <c:symbol val="circle"/>
            <c:size val="5"/>
            <c:spPr>
              <a:solidFill>
                <a:srgbClr val="E8702A"/>
              </a:solidFill>
              <a:ln>
                <a:solidFill>
                  <a:srgbClr val="E8702A"/>
                </a:solidFill>
              </a:ln>
            </c:spPr>
          </c:marker>
          <c:cat>
            <c:numRef>
              <c:f>Dashboard!$E$42:$I$42</c:f>
              <c:numCache>
                <c:formatCode>General</c:formatCode>
                <c:ptCount val="5"/>
                <c:pt idx="0">
                  <c:v>25</c:v>
                </c:pt>
                <c:pt idx="1">
                  <c:v>100</c:v>
                </c:pt>
                <c:pt idx="2">
                  <c:v>250</c:v>
                </c:pt>
                <c:pt idx="3">
                  <c:v>500</c:v>
                </c:pt>
                <c:pt idx="4">
                  <c:v>1000</c:v>
                </c:pt>
              </c:numCache>
            </c:numRef>
          </c:cat>
          <c:val>
            <c:numRef>
              <c:f>Estimate!$D$90:$H$90</c:f>
              <c:numCache>
                <c:formatCode>General</c:formatCode>
                <c:ptCount val="5"/>
                <c:pt idx="0">
                  <c:v>15.2162289111111</c:v>
                </c:pt>
                <c:pt idx="1">
                  <c:v>7.29930723888889</c:v>
                </c:pt>
                <c:pt idx="2">
                  <c:v>6.21169673555556</c:v>
                </c:pt>
                <c:pt idx="3">
                  <c:v>5.80391240111111</c:v>
                </c:pt>
                <c:pt idx="4">
                  <c:v>5.60002023388889</c:v>
                </c:pt>
              </c:numCache>
            </c:numRef>
          </c:val>
        </c:ser>
        <c:marker val="1"/>
        <c:axId val="50010001"/>
        <c:axId val="50010002"/>
      </c:lineChart>
      <c:catAx>
        <c:axId val="50010001"/>
        <c:scaling>
          <c:orientation val="minMax"/>
        </c:scaling>
        <c:axPos val="b"/>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cost per part goes</a:t>
            </a:r>
          </a:p>
        </c:rich>
      </c:tx>
      <c:layout/>
    </c:title>
    <c:plotArea>
      <c:layout/>
      <c:barChart>
        <c:barDir val="col"/>
        <c:grouping val="stacked"/>
        <c:ser>
          <c:idx val="0"/>
          <c:order val="0"/>
          <c:tx>
            <c:v>Sheet material</c:v>
          </c:tx>
          <c:spPr>
            <a:solidFill>
              <a:srgbClr val="3B64D8"/>
            </a:solidFill>
            <a:ln w="9525">
              <a:solidFill>
                <a:srgbClr val="FFFFFF"/>
              </a:solidFill>
            </a:ln>
          </c:spPr>
          <c:cat>
            <c:numRef>
              <c:f>Dashboard!$E$42:$I$42</c:f>
              <c:numCache>
                <c:formatCode>General</c:formatCode>
                <c:ptCount val="5"/>
                <c:pt idx="0">
                  <c:v>25</c:v>
                </c:pt>
                <c:pt idx="1">
                  <c:v>100</c:v>
                </c:pt>
                <c:pt idx="2">
                  <c:v>250</c:v>
                </c:pt>
                <c:pt idx="3">
                  <c:v>500</c:v>
                </c:pt>
                <c:pt idx="4">
                  <c:v>1000</c:v>
                </c:pt>
              </c:numCache>
            </c:numRef>
          </c:cat>
          <c:val>
            <c:numRef>
              <c:f>Dashboard!$E$43:$I$43</c:f>
              <c:numCache>
                <c:formatCode>General</c:formatCode>
                <c:ptCount val="5"/>
                <c:pt idx="0">
                  <c:v>2.437425</c:v>
                </c:pt>
                <c:pt idx="1">
                  <c:v>1.82806875</c:v>
                </c:pt>
                <c:pt idx="2">
                  <c:v>1.7061975</c:v>
                </c:pt>
                <c:pt idx="3">
                  <c:v>1.58432625</c:v>
                </c:pt>
                <c:pt idx="4">
                  <c:v>1.523390625</c:v>
                </c:pt>
              </c:numCache>
            </c:numRef>
          </c:val>
        </c:ser>
        <c:ser>
          <c:idx val="1"/>
          <c:order val="1"/>
          <c:tx>
            <c:v>Cutting, forming, overhead</c:v>
          </c:tx>
          <c:spPr>
            <a:solidFill>
              <a:srgbClr val="E8702A"/>
            </a:solidFill>
            <a:ln w="9525">
              <a:solidFill>
                <a:srgbClr val="FFFFFF"/>
              </a:solidFill>
            </a:ln>
          </c:spPr>
          <c:cat>
            <c:numRef>
              <c:f>Dashboard!$E$42:$I$42</c:f>
              <c:numCache>
                <c:formatCode>General</c:formatCode>
                <c:ptCount val="5"/>
                <c:pt idx="0">
                  <c:v>25</c:v>
                </c:pt>
                <c:pt idx="1">
                  <c:v>100</c:v>
                </c:pt>
                <c:pt idx="2">
                  <c:v>250</c:v>
                </c:pt>
                <c:pt idx="3">
                  <c:v>500</c:v>
                </c:pt>
                <c:pt idx="4">
                  <c:v>1000</c:v>
                </c:pt>
              </c:numCache>
            </c:numRef>
          </c:cat>
          <c:val>
            <c:numRef>
              <c:f>Dashboard!$E$44:$I$44</c:f>
              <c:numCache>
                <c:formatCode>General</c:formatCode>
                <c:ptCount val="5"/>
                <c:pt idx="0">
                  <c:v>3.52920391111111</c:v>
                </c:pt>
                <c:pt idx="1">
                  <c:v>3.05103848888889</c:v>
                </c:pt>
                <c:pt idx="2">
                  <c:v>2.94413923555556</c:v>
                </c:pt>
                <c:pt idx="3">
                  <c:v>2.90850615111111</c:v>
                </c:pt>
                <c:pt idx="4">
                  <c:v>2.89068960888889</c:v>
                </c:pt>
              </c:numCache>
            </c:numRef>
          </c:val>
        </c:ser>
        <c:ser>
          <c:idx val="2"/>
          <c:order val="2"/>
          <c:tx>
            <c:v>Hardware</c:v>
          </c:tx>
          <c:spPr>
            <a:solidFill>
              <a:srgbClr val="1BA37A"/>
            </a:solidFill>
            <a:ln w="9525">
              <a:solidFill>
                <a:srgbClr val="FFFFFF"/>
              </a:solidFill>
            </a:ln>
          </c:spPr>
          <c:cat>
            <c:numRef>
              <c:f>Dashboard!$E$42:$I$42</c:f>
              <c:numCache>
                <c:formatCode>General</c:formatCode>
                <c:ptCount val="5"/>
                <c:pt idx="0">
                  <c:v>25</c:v>
                </c:pt>
                <c:pt idx="1">
                  <c:v>100</c:v>
                </c:pt>
                <c:pt idx="2">
                  <c:v>250</c:v>
                </c:pt>
                <c:pt idx="3">
                  <c:v>500</c:v>
                </c:pt>
                <c:pt idx="4">
                  <c:v>1000</c:v>
                </c:pt>
              </c:numCache>
            </c:numRef>
          </c:cat>
          <c:val>
            <c:numRef>
              <c:f>Dashboard!$E$45:$I$45</c:f>
              <c:numCache>
                <c:formatCode>General</c:formatCode>
                <c:ptCount val="5"/>
                <c:pt idx="0">
                  <c:v>0.1456</c:v>
                </c:pt>
                <c:pt idx="1">
                  <c:v>0.1442</c:v>
                </c:pt>
                <c:pt idx="2">
                  <c:v>0.14336</c:v>
                </c:pt>
                <c:pt idx="3">
                  <c:v>0.14308</c:v>
                </c:pt>
                <c:pt idx="4">
                  <c:v>0.14294</c:v>
                </c:pt>
              </c:numCache>
            </c:numRef>
          </c:val>
        </c:ser>
        <c:ser>
          <c:idx val="3"/>
          <c:order val="3"/>
          <c:tx>
            <c:v>Setup</c:v>
          </c:tx>
          <c:spPr>
            <a:solidFill>
              <a:srgbClr val="E0A100"/>
            </a:solidFill>
            <a:ln w="9525">
              <a:solidFill>
                <a:srgbClr val="FFFFFF"/>
              </a:solidFill>
            </a:ln>
          </c:spPr>
          <c:cat>
            <c:numRef>
              <c:f>Dashboard!$E$42:$I$42</c:f>
              <c:numCache>
                <c:formatCode>General</c:formatCode>
                <c:ptCount val="5"/>
                <c:pt idx="0">
                  <c:v>25</c:v>
                </c:pt>
                <c:pt idx="1">
                  <c:v>100</c:v>
                </c:pt>
                <c:pt idx="2">
                  <c:v>250</c:v>
                </c:pt>
                <c:pt idx="3">
                  <c:v>500</c:v>
                </c:pt>
                <c:pt idx="4">
                  <c:v>1000</c:v>
                </c:pt>
              </c:numCache>
            </c:numRef>
          </c:cat>
          <c:val>
            <c:numRef>
              <c:f>Dashboard!$E$46:$I$46</c:f>
              <c:numCache>
                <c:formatCode>General</c:formatCode>
                <c:ptCount val="5"/>
                <c:pt idx="0">
                  <c:v>5</c:v>
                </c:pt>
                <c:pt idx="1">
                  <c:v>1.25</c:v>
                </c:pt>
                <c:pt idx="2">
                  <c:v>0.5</c:v>
                </c:pt>
                <c:pt idx="3">
                  <c:v>0.25</c:v>
                </c:pt>
                <c:pt idx="4">
                  <c:v>0.125</c:v>
                </c:pt>
              </c:numCache>
            </c:numRef>
          </c:val>
        </c:ser>
        <c:ser>
          <c:idx val="4"/>
          <c:order val="4"/>
          <c:tx>
            <c:v>Outside finishing</c:v>
          </c:tx>
          <c:spPr>
            <a:solidFill>
              <a:srgbClr val="D0558A"/>
            </a:solidFill>
            <a:ln w="9525">
              <a:solidFill>
                <a:srgbClr val="FFFFFF"/>
              </a:solidFill>
            </a:ln>
          </c:spPr>
          <c:cat>
            <c:numRef>
              <c:f>Dashboard!$E$42:$I$42</c:f>
              <c:numCache>
                <c:formatCode>General</c:formatCode>
                <c:ptCount val="5"/>
                <c:pt idx="0">
                  <c:v>25</c:v>
                </c:pt>
                <c:pt idx="1">
                  <c:v>100</c:v>
                </c:pt>
                <c:pt idx="2">
                  <c:v>250</c:v>
                </c:pt>
                <c:pt idx="3">
                  <c:v>500</c:v>
                </c:pt>
                <c:pt idx="4">
                  <c:v>1000</c:v>
                </c:pt>
              </c:numCache>
            </c:numRef>
          </c:cat>
          <c:val>
            <c:numRef>
              <c:f>Dashboard!$E$47:$I$47</c:f>
              <c:numCache>
                <c:formatCode>General</c:formatCode>
                <c:ptCount val="5"/>
                <c:pt idx="0">
                  <c:v>4.104</c:v>
                </c:pt>
                <c:pt idx="1">
                  <c:v>1.026</c:v>
                </c:pt>
                <c:pt idx="2">
                  <c:v>0.918</c:v>
                </c:pt>
                <c:pt idx="3">
                  <c:v>0.918</c:v>
                </c:pt>
                <c:pt idx="4">
                  <c:v>0.918</c:v>
                </c:pt>
              </c:numCache>
            </c:numRef>
          </c:val>
        </c:ser>
        <c:gapWidth val="60"/>
        <c:overlap val="100"/>
        <c:axId val="50020001"/>
        <c:axId val="50020002"/>
      </c:barChart>
      <c:catAx>
        <c:axId val="50020001"/>
        <c:scaling>
          <c:orientation val="minMax"/>
        </c:scaling>
        <c:axPos val="b"/>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Column chart of the unit price at each quantity with the cost per part as a line; setup and the finishing lot charge spread over larger quantities so both fall."/>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Stacked column chart of cost per part at each quantity, split into sheet material, machine time with overhead, hardware, setup and outside finishing."/>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Machines" displayName="tblMachines" ref="B21:D27" totalsRowShown="0">
  <autoFilter ref="B21:D27"/>
  <tableColumns count="3">
    <tableColumn id="1" name="Machine"/>
    <tableColumn id="2" name="Rate per hour"/>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Materials" displayName="tblMaterials" ref="B31:F35" totalsRowShown="0">
  <autoFilter ref="B31:F35"/>
  <tableColumns count="5">
    <tableColumn id="1" name="Material"/>
    <tableColumn id="2" name="Density (g/cm3)"/>
    <tableColumn id="3" name="Price"/>
    <tableColumn id="4" name="Per"/>
    <tableColumn id="5" name="Notes"/>
  </tableColumns>
  <tableStyleInfo name="TableStyleLight1" showFirstColumn="0" showLastColumn="0" showRowStripes="0" showColumnStripes="0"/>
</table>
</file>

<file path=xl/tables/table3.xml><?xml version="1.0" encoding="utf-8"?>
<table xmlns="http://schemas.openxmlformats.org/spreadsheetml/2006/main" id="3" name="tblOps" displayName="tblOps" ref="B53:L56" totalsRowShown="0">
  <autoFilter ref="B53:L56"/>
  <tableColumns count="11">
    <tableColumn id="1" name="Operation"/>
    <tableColumn id="2" name="Machine"/>
    <tableColumn id="3" name="Setup (h)"/>
    <tableColumn id="4" name="Count per part"/>
    <tableColumn id="5" name="Seconds per count"/>
    <tableColumn id="6" name="Handling (s/part)"/>
    <tableColumn id="7" name="Rate">
      <calculatedColumnFormula>IF(tblOps[[#This Row],[Operation]]="","",IFERROR(INDEX(tblMachines[Rate per hour],MATCH(tblOps[[#This Row],[Machine]],tblMachines[Machine],0)),""))</calculatedColumnFormula>
    </tableColumn>
    <tableColumn id="8" name="Cycle (min/part)">
      <calculatedColumnFormula>IF(tblOps[[#This Row],[Operation]]="","",(tblOps[[#This Row],[Count per part]]*tblOps[[#This Row],[Seconds per count]]+tblOps[[#This Row],[Handling (s/part)]])/60)</calculatedColumnFormula>
    </tableColumn>
    <tableColumn id="9" name="Setup cost">
      <calculatedColumnFormula>IF(tblOps[[#This Row],[Operation]]="","",IF(tblOps[[#This Row],[Rate]]="","",tblOps[[#This Row],[Setup (h)]]*tblOps[[#This Row],[Rate]]))</calculatedColumnFormula>
    </tableColumn>
    <tableColumn id="10" name="Run cost">
      <calculatedColumnFormula>IF(tblOps[[#This Row],[Operation]]="","",IF(tblOps[[#This Row],[Rate]]="","",tblOps[[#This Row],[Cycle (min/part)]]/60*tblOps[[#This Row],[Rate]]))</calculatedColumnFormula>
    </tableColumn>
    <tableColumn id="11" name="Check">
      <calculatedColumnFormula>IF(tblOps[[#This Row],[Operation]]="","",IF(tblOps[[#This Row],[Machine]]="","Missing machine",IF(tblOps[[#This Row],[Rate]]="","Machine not on Setup list",IF(tblOps[[#This Row],[Cycle (min/part)]]=0,"Enter a time","OK"))))</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Hardware" displayName="tblHardware" ref="B67:E69" totalsRowShown="0">
  <autoFilter ref="B67:E69"/>
  <tableColumns count="4">
    <tableColumn id="1" name="Item"/>
    <tableColumn id="2" name="Qty per part"/>
    <tableColumn id="3" name="Unit price"/>
    <tableColumn id="4" name="Cost per part">
      <calculatedColumnFormula>IF(tblHardware[[#This Row],[Item]]="","",tblHardware[[#This Row],[Qty per part]]*tblHardware[[#This Row],[Unit price]])</calculatedColumnFormula>
    </tableColumn>
  </tableColumns>
  <tableStyleInfo name="TableStyleLight1" showFirstColumn="0" showLastColumn="0" showRowStripes="0" showColumnStripes="0"/>
</table>
</file>

<file path=xl/tables/table5.xml><?xml version="1.0" encoding="utf-8"?>
<table xmlns="http://schemas.openxmlformats.org/spreadsheetml/2006/main" id="5" name="tblOutside" displayName="tblOutside" ref="B75:E76" totalsRowShown="0">
  <autoFilter ref="B75:E76"/>
  <tableColumns count="4">
    <tableColumn id="1" name="Process"/>
    <tableColumn id="2" name="Supplier"/>
    <tableColumn id="3" name="Price per part"/>
    <tableColumn id="4" name="Lot charge"/>
  </tableColumns>
  <tableStyleInfo name="TableStyleLight1" showFirstColumn="0" showLastColumn="0" showRowStripes="0" showColumnStripes="0"/>
</table>
</file>

<file path=xl/tables/table6.xml><?xml version="1.0" encoding="utf-8"?>
<table xmlns="http://schemas.openxmlformats.org/spreadsheetml/2006/main" id="6" name="tblVerifyOps" displayName="tblVerifyOps" ref="B40:L44" totalsRowShown="0">
  <tableColumns count="11">
    <tableColumn id="1" name="Operation"/>
    <tableColumn id="2" name="Machine"/>
    <tableColumn id="3" name="Setup (h)"/>
    <tableColumn id="4" name="Count per part"/>
    <tableColumn id="5" name="Seconds per count"/>
    <tableColumn id="6" name="Handling (s/part)"/>
    <tableColumn id="7" name="Rate"/>
    <tableColumn id="8" name="Cycle (min/part)">
      <calculatedColumnFormula>IF(tblVerifyOps[[#This Row],[Operation]]="","",(tblVerifyOps[[#This Row],[Count per part]]*tblVerifyOps[[#This Row],[Seconds per count]]+tblVerifyOps[[#This Row],[Handling (s/part)]])/60)</calculatedColumnFormula>
    </tableColumn>
    <tableColumn id="9" name="Setup cost">
      <calculatedColumnFormula>IF(tblVerifyOps[[#This Row],[Operation]]="","",IF(tblVerifyOps[[#This Row],[Rate]]="","",tblVerifyOps[[#This Row],[Setup (h)]]*tblVerifyOps[[#This Row],[Rate]]))</calculatedColumnFormula>
    </tableColumn>
    <tableColumn id="10" name="Run cost">
      <calculatedColumnFormula>IF(tblVerifyOps[[#This Row],[Operation]]="","",IF(tblVerifyOps[[#This Row],[Rate]]="","",tblVerifyOps[[#This Row],[Cycle (min/part)]]/60*tblVerifyOps[[#This Row],[Rate]]))</calculatedColumnFormula>
    </tableColumn>
    <tableColumn id="11" name="Check">
      <calculatedColumnFormula>IF(tblVerifyOps[[#This Row],[Operation]]="","",IF(tblVerifyOps[[#This Row],[Machine]]="","Missing machine",IF(tblVerifyOps[[#This Row],[Rate]]="","Machine not on Setup list",IF(tblVerifyOps[[#This Row],[Cycle (min/part)]]=0,"Enter a time","OK"))))</calculatedColumnFormula>
    </tableColumn>
  </tableColumns>
  <tableStyleInfo name="TableStyleLight1" showFirstColumn="0" showLastColumn="0" showRowStripes="0" showColumnStripes="0"/>
</table>
</file>

<file path=xl/tables/table7.xml><?xml version="1.0" encoding="utf-8"?>
<table xmlns="http://schemas.openxmlformats.org/spreadsheetml/2006/main" id="7" name="tblVerifyHardware" displayName="tblVerifyHardware" ref="B48:E50" totalsRowShown="0">
  <tableColumns count="4">
    <tableColumn id="1" name="Item"/>
    <tableColumn id="2" name="Qty per part"/>
    <tableColumn id="3" name="Unit price"/>
    <tableColumn id="4" name="Cost per part">
      <calculatedColumnFormula>IF(tblVerifyHardware[[#This Row],[Item]]="","",tblVerifyHardware[[#This Row],[Qty per part]]*tblVerifyHardware[[#This Row],[Unit price]])</calculatedColumnFormula>
    </tableColumn>
  </tableColumns>
  <tableStyleInfo name="TableStyleLight1" showFirstColumn="0" showLastColumn="0" showRowStripes="0" showColumnStripes="0"/>
</table>
</file>

<file path=xl/tables/table8.xml><?xml version="1.0" encoding="utf-8"?>
<table xmlns="http://schemas.openxmlformats.org/spreadsheetml/2006/main" id="8" name="tblVerifyOutside" displayName="tblVerifyOutside" ref="B54:E55" totalsRowShown="0">
  <tableColumns count="4">
    <tableColumn id="1" name="Process"/>
    <tableColumn id="2" name="Supplier"/>
    <tableColumn id="3" name="Price per part"/>
    <tableColumn id="4" name="Lot charg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eet-metal-cost" TargetMode="External"/><Relationship Id="rId2" Type="http://schemas.openxmlformats.org/officeDocument/2006/relationships/hyperlink" Target="https://www.mfgcalcs.com/calculators/sheet-metal-stamping-press-lines/blank-size-optimization?utm_source=mfgcalcs-template&amp;utm_medium=xlsx&amp;utm_campaign=sheet-metal-cost" TargetMode="External"/><Relationship Id="rId3" Type="http://schemas.openxmlformats.org/officeDocument/2006/relationships/hyperlink" Target="https://www.mfgcalcs.com/templates/sheet-metal-cost?utm_source=mfgcalcs-template&amp;utm_medium=xlsx&amp;utm_campaign=sheet-metal-cost" TargetMode="External"/><Relationship Id="rId4" Type="http://schemas.openxmlformats.org/officeDocument/2006/relationships/hyperlink" Target="https://www.mfgcalcs.com/templates?utm_source=mfgcalcs-template&amp;utm_medium=xlsx&amp;utm_campaign=sheet-metal-co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eet-metal-cost"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eet-metal-cost" TargetMode="External"/><Relationship Id="rId2" Type="http://schemas.openxmlformats.org/officeDocument/2006/relationships/table" Target="../tables/table3.xml"/><Relationship Id="rId3" Type="http://schemas.openxmlformats.org/officeDocument/2006/relationships/table" Target="../tables/table4.xml"/><Relationship Id="rId4"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eet-metal-cos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eet-metal-cost" TargetMode="External"/><Relationship Id="rId2" Type="http://schemas.openxmlformats.org/officeDocument/2006/relationships/hyperlink" Target="https://www.mfgcalcs.com/calculators/sheet-metal-stamping-press-lines/blank-size-optimization?utm_source=mfgcalcs-template&amp;utm_medium=xlsx&amp;utm_campaign=sheet-metal-cos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eet-metal-cost" TargetMode="External"/><Relationship Id="rId2" Type="http://schemas.openxmlformats.org/officeDocument/2006/relationships/table" Target="../tables/table6.xml"/><Relationship Id="rId3" Type="http://schemas.openxmlformats.org/officeDocument/2006/relationships/table" Target="../tables/table7.xm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16 of 16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61.8"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Estimate!A1" tooltip="Go to Estimate" display="Estimate"/>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Sheet Metal Part Cost Estimator&amp;R&amp;8&amp;A</oddHeader>
    <oddFooter>&amp;L&amp;8mfgcalcs.com - free manufacturing templates&amp;R&amp;8Page &amp;P of &amp;N</oddFooter>
  </headerFooter>
  <rowBreaks count="1" manualBreakCount="1">
    <brk id="34"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35"/>
  <sheetViews>
    <sheetView showGridLines="0" workbookViewId="0"/>
  </sheetViews>
  <sheetFormatPr defaultRowHeight="15"/>
  <cols>
    <col min="1" max="1" width="2.7109375" customWidth="1"/>
    <col min="2" max="2" width="36.7109375" customWidth="1"/>
    <col min="3" max="3" width="14.7109375" customWidth="1"/>
    <col min="4" max="4" width="22.7109375" customWidth="1"/>
    <col min="5" max="5" width="10.7109375" customWidth="1"/>
    <col min="6" max="6" width="30.7109375" customWidth="1"/>
  </cols>
  <sheetData>
    <row r="1" spans="1:6" ht="30" customHeight="1">
      <c r="A1" s="1" t="s">
        <v>0</v>
      </c>
      <c r="B1" s="1"/>
      <c r="C1" s="1"/>
      <c r="D1" s="1"/>
      <c r="E1" s="1"/>
      <c r="F1" s="1"/>
    </row>
    <row r="2" spans="1:6" ht="21" customHeight="1">
      <c r="B2" s="2" t="s">
        <v>20</v>
      </c>
      <c r="C2" s="2"/>
      <c r="D2" s="2"/>
      <c r="E2" s="2"/>
      <c r="F2" s="3" t="s">
        <v>2</v>
      </c>
    </row>
    <row r="3" spans="1:6" ht="6" customHeight="1"/>
    <row r="4" spans="1:6" ht="21" customHeight="1">
      <c r="B4" s="8" t="s">
        <v>69</v>
      </c>
      <c r="C4" s="8"/>
      <c r="D4" s="8"/>
      <c r="E4" s="8"/>
      <c r="F4" s="8"/>
    </row>
    <row r="5" spans="1:6" ht="5" customHeight="1"/>
    <row r="6" spans="1:6">
      <c r="B6" s="27" t="s">
        <v>70</v>
      </c>
      <c r="C6" s="28" t="s">
        <v>71</v>
      </c>
      <c r="D6" s="28"/>
    </row>
    <row r="7" spans="1:6">
      <c r="B7" s="27" t="s">
        <v>72</v>
      </c>
      <c r="C7" s="28" t="s">
        <v>73</v>
      </c>
      <c r="D7" s="28"/>
    </row>
    <row r="9" spans="1:6" ht="21" customHeight="1">
      <c r="B9" s="8" t="s">
        <v>74</v>
      </c>
      <c r="C9" s="8"/>
      <c r="D9" s="8"/>
      <c r="E9" s="8"/>
      <c r="F9" s="8"/>
    </row>
    <row r="10" spans="1:6" ht="5" customHeight="1"/>
    <row r="11" spans="1:6">
      <c r="B11" s="27" t="s">
        <v>75</v>
      </c>
      <c r="C11" s="29">
        <v>0.12</v>
      </c>
      <c r="D11" s="7"/>
    </row>
    <row r="12" spans="1:6">
      <c r="B12" s="27" t="s">
        <v>76</v>
      </c>
      <c r="C12" s="29">
        <v>0.08</v>
      </c>
      <c r="D12" s="7"/>
    </row>
    <row r="13" spans="1:6">
      <c r="B13" s="27" t="s">
        <v>77</v>
      </c>
      <c r="C13" s="29">
        <v>0.22</v>
      </c>
      <c r="D13" s="7"/>
    </row>
    <row r="14" spans="1:6">
      <c r="B14" s="27" t="s">
        <v>78</v>
      </c>
      <c r="C14" s="29">
        <v>0.98</v>
      </c>
      <c r="D14" s="7"/>
    </row>
    <row r="15" spans="1:6">
      <c r="B15" s="27" t="s">
        <v>79</v>
      </c>
      <c r="C15" s="30">
        <v>0.01</v>
      </c>
      <c r="D15" s="7" t="str">
        <f>Currency</f>
        <v>USD</v>
      </c>
    </row>
    <row r="17" spans="2:6" ht="21" customHeight="1">
      <c r="B17" s="8" t="s">
        <v>80</v>
      </c>
      <c r="C17" s="8"/>
      <c r="D17" s="8"/>
      <c r="E17" s="8"/>
      <c r="F17" s="8"/>
    </row>
    <row r="18" spans="2:6" ht="5" customHeight="1"/>
    <row r="19" spans="2:6">
      <c r="B19" s="31" t="s">
        <v>81</v>
      </c>
      <c r="C19" s="31"/>
      <c r="D19" s="31"/>
    </row>
    <row r="20" spans="2:6" ht="14" customHeight="1">
      <c r="B20" s="32"/>
      <c r="C20" s="32" t="str">
        <f>Currency&amp;"/h"</f>
        <v>USD/h</v>
      </c>
      <c r="D20" s="32"/>
    </row>
    <row r="21" spans="2:6" ht="20" customHeight="1">
      <c r="B21" s="33" t="s">
        <v>62</v>
      </c>
      <c r="C21" s="33" t="s">
        <v>63</v>
      </c>
      <c r="D21" s="33" t="s">
        <v>64</v>
      </c>
    </row>
    <row r="22" spans="2:6">
      <c r="B22" s="28" t="s">
        <v>82</v>
      </c>
      <c r="C22" s="30">
        <v>120</v>
      </c>
      <c r="D22" s="28" t="s">
        <v>83</v>
      </c>
    </row>
    <row r="23" spans="2:6">
      <c r="B23" s="28" t="s">
        <v>84</v>
      </c>
      <c r="C23" s="30">
        <v>95</v>
      </c>
      <c r="D23" s="28" t="s">
        <v>85</v>
      </c>
    </row>
    <row r="24" spans="2:6">
      <c r="B24" s="28" t="s">
        <v>86</v>
      </c>
      <c r="C24" s="30">
        <v>70</v>
      </c>
      <c r="D24" s="28" t="s">
        <v>85</v>
      </c>
    </row>
    <row r="25" spans="2:6">
      <c r="B25" s="28" t="s">
        <v>87</v>
      </c>
      <c r="C25" s="30">
        <v>50</v>
      </c>
      <c r="D25" s="28" t="s">
        <v>85</v>
      </c>
    </row>
    <row r="26" spans="2:6">
      <c r="B26" s="28" t="s">
        <v>88</v>
      </c>
      <c r="C26" s="30">
        <v>55</v>
      </c>
      <c r="D26" s="28" t="s">
        <v>89</v>
      </c>
    </row>
    <row r="27" spans="2:6">
      <c r="B27" s="28" t="s">
        <v>90</v>
      </c>
      <c r="C27" s="30">
        <v>60</v>
      </c>
      <c r="D27" s="28" t="s">
        <v>85</v>
      </c>
    </row>
    <row r="29" spans="2:6">
      <c r="B29" s="31" t="s">
        <v>91</v>
      </c>
      <c r="C29" s="31"/>
      <c r="D29" s="31"/>
      <c r="E29" s="31"/>
      <c r="F29" s="31"/>
    </row>
    <row r="30" spans="2:6" ht="14" customHeight="1">
      <c r="B30" s="32"/>
      <c r="C30" s="32"/>
      <c r="D30" s="32" t="str">
        <f>Currency</f>
        <v>USD</v>
      </c>
      <c r="E30" s="32"/>
      <c r="F30" s="32"/>
    </row>
    <row r="31" spans="2:6" ht="32" customHeight="1">
      <c r="B31" s="33" t="s">
        <v>65</v>
      </c>
      <c r="C31" s="33" t="s">
        <v>66</v>
      </c>
      <c r="D31" s="33" t="s">
        <v>67</v>
      </c>
      <c r="E31" s="33" t="s">
        <v>68</v>
      </c>
      <c r="F31" s="33" t="s">
        <v>64</v>
      </c>
    </row>
    <row r="32" spans="2:6">
      <c r="B32" s="28" t="s">
        <v>92</v>
      </c>
      <c r="C32" s="30">
        <v>7.85</v>
      </c>
      <c r="D32" s="30">
        <v>1.15</v>
      </c>
      <c r="E32" s="28" t="s">
        <v>93</v>
      </c>
      <c r="F32" s="28" t="s">
        <v>94</v>
      </c>
    </row>
    <row r="33" spans="2:6">
      <c r="B33" s="28" t="s">
        <v>95</v>
      </c>
      <c r="C33" s="30">
        <v>7.85</v>
      </c>
      <c r="D33" s="30">
        <v>1.3</v>
      </c>
      <c r="E33" s="28" t="s">
        <v>93</v>
      </c>
      <c r="F33" s="28" t="s">
        <v>96</v>
      </c>
    </row>
    <row r="34" spans="2:6">
      <c r="B34" s="28" t="s">
        <v>97</v>
      </c>
      <c r="C34" s="30">
        <v>7.93</v>
      </c>
      <c r="D34" s="30">
        <v>4.2</v>
      </c>
      <c r="E34" s="28" t="s">
        <v>93</v>
      </c>
      <c r="F34" s="28" t="s">
        <v>96</v>
      </c>
    </row>
    <row r="35" spans="2:6">
      <c r="B35" s="28" t="s">
        <v>98</v>
      </c>
      <c r="C35" s="30">
        <v>2.68</v>
      </c>
      <c r="D35" s="30">
        <v>2.55</v>
      </c>
      <c r="E35" s="28" t="s">
        <v>99</v>
      </c>
      <c r="F35" s="28" t="s">
        <v>100</v>
      </c>
    </row>
  </sheetData>
  <mergeCells count="9">
    <mergeCell ref="A1:F1"/>
    <mergeCell ref="B2:E2"/>
    <mergeCell ref="B4:F4"/>
    <mergeCell ref="C6:D6"/>
    <mergeCell ref="C7:D7"/>
    <mergeCell ref="B9:F9"/>
    <mergeCell ref="B17:F17"/>
    <mergeCell ref="B19:D19"/>
    <mergeCell ref="B29:F29"/>
  </mergeCells>
  <dataValidations count="15">
    <dataValidation type="textLength" allowBlank="1" showInputMessage="1" showErrorMessage="1" errorTitle="Check this entry" error="Text up to 80 characters." promptTitle="Company name" prompt="Text up to 80 characters." sqref="C6">
      <formula1>0</formula1>
      <formula2>80</formula2>
    </dataValidation>
    <dataValidation type="textLength" allowBlank="1" showInputMessage="1" showErrorMessage="1" errorTitle="Check this entry" error="Text up to 12 characters." promptTitle="Currency label" prompt="Text shown with every price, e.g. USD, INR, GBP, EUR, MXN. No exchange rate is applied. Text up to 12 characters." sqref="C7">
      <formula1>0</formula1>
      <formula2>12</formula2>
    </dataValidation>
    <dataValidation type="decimal" allowBlank="1" showInputMessage="1" showErrorMessage="1" errorTitle="Check this entry" error="Enter a percentage from 0% to 500% (type 85% or 0.85)." promptTitle="Overhead on machine time and ..." prompt="Set to 0% if your machine rates already include overhead (fully burdened rates). Enter a percentage from 0% to 500% (type 85% or 0.85)." sqref="C11">
      <formula1>0</formula1>
      <formula2>5</formula2>
    </dataValidation>
    <dataValidation type="decimal" allowBlank="1" showInputMessage="1" showErrorMessage="1" errorTitle="Check this entry" error="Enter a percentage from 0% to 500% (type 85% or 0.85)." promptTitle="Markup on sheet material and ..." prompt="Handling and stocking markup on bought-in sheet and outside processes. Enter a percentage from 0% to 500% (type 85% or 0.85)." sqref="C12">
      <formula1>0</formula1>
      <formula2>5</formula2>
    </dataValidation>
    <dataValidation type="decimal" allowBlank="1" showInputMessage="1" showErrorMessage="1" errorTitle="Check this entry" error="Enter a percentage from 0% to 95% (type 85% or 0.85)." promptTitle="Target margin on price" prompt="Margin on selling price: price = cost / (1 - margin). 22% margin is a 28.2% markup on cost. Enter a percentage from 0% to 95% (type 85% or 0.85)." sqref="C13">
      <formula1>0</formula1>
      <formula2>0.95</formula2>
    </dataValidation>
    <dataValidation type="decimal" allowBlank="1" showInputMessage="1" showErrorMessage="1" errorTitle="Check this entry" error="Enter a percentage from 1% to 100% (type 85% or 0.85)." promptTitle="First-pass yield" prompt="Good parts / parts started on similar jobs. Scrap is remade, so material, machine time and hardware are costed on parts started. Enter a percentage from 1% to 100% (type 85% or 0.85)." sqref="C14">
      <formula1>0.01</formula1>
      <formula2>1</formula2>
    </dataValidation>
    <dataValidation type="decimal" allowBlank="1" showInputMessage="1" showErrorMessage="1" errorTitle="Check this entry" error="Enter a number from 0.0001 to 1,000." promptTitle="Round unit prices up to the n..." prompt="Enter a number from 0.0001 to 1,000." sqref="C15">
      <formula1>0.0001</formula1>
      <formula2>1000</formula2>
    </dataValidation>
    <dataValidation type="textLength" allowBlank="1" showInputMessage="1" showErrorMessage="1" errorTitle="Check this entry" error="Text up to 40 characters." promptTitle="Machine" prompt="Text up to 40 characters." sqref="B22:B127">
      <formula1>0</formula1>
      <formula2>40</formula2>
    </dataValidation>
    <dataValidation type="decimal" allowBlank="1" showInputMessage="1" showErrorMessage="1" errorTitle="Check this entry" error="Enter a number from 0 to 100,000." promptTitle="Rate per hour" prompt="Your hourly rate for this machine: machine plus operator (and assist gas for a laser), with or without overhead. Enter a number from 0 to 100,000." sqref="C22:C127">
      <formula1>0</formula1>
      <formula2>100000</formula2>
    </dataValidation>
    <dataValidation type="textLength" allowBlank="1" showInputMessage="1" showErrorMessage="1" errorTitle="Check this entry" error="Text up to 120 characters." promptTitle="Notes" prompt="Text up to 120 characters." sqref="D22:D127">
      <formula1>0</formula1>
      <formula2>120</formula2>
    </dataValidation>
    <dataValidation type="textLength" allowBlank="1" showInputMessage="1" showErrorMessage="1" errorTitle="Check this entry" error="Text up to 60 characters." promptTitle="Material" prompt="Text up to 60 characters." sqref="B32:B135">
      <formula1>0</formula1>
      <formula2>60</formula2>
    </dataValidation>
    <dataValidation type="decimal" allowBlank="1" showInputMessage="1" showErrorMessage="1" errorTitle="Check this entry" error="Enter a number from 0.1 to 25." promptTitle="Density (g/cm3)" prompt="Nominal density; check your supplier's data sheet. Enter a number from 0.1 to 25." sqref="C32:C135">
      <formula1>0.1</formula1>
      <formula2>25</formula2>
    </dataValidation>
    <dataValidation type="decimal" allowBlank="1" showInputMessage="1" showErrorMessage="1" errorTitle="Check this entry" error="Enter a number from 0 to 1,000,000." promptTitle="Price" prompt="Sheet price per kg or per lb, as set in the Per column. Enter a number from 0 to 1,000,000." sqref="D32:D135">
      <formula1>0</formula1>
      <formula2>1000000.0</formula2>
    </dataValidation>
    <dataValidation type="list" allowBlank="1" showInputMessage="1" showErrorMessage="1" errorTitle="Check this entry" error="Pick one of: kg, lb." promptTitle="Per" prompt="Pick one of: kg, lb." sqref="E32:E135">
      <formula1>"kg,lb"</formula1>
    </dataValidation>
    <dataValidation type="textLength" allowBlank="1" showInputMessage="1" showErrorMessage="1" errorTitle="Check this entry" error="Text up to 120 characters." promptTitle="Notes" prompt="Text up to 120 characters." sqref="F32:F135">
      <formula1>0</formula1>
      <formula2>120</formula2>
    </dataValidation>
  </dataValidations>
  <hyperlinks>
    <hyperlink ref="F2" r:id="rId1" tooltip="Free manufacturing calculators and templates"/>
  </hyperlinks>
  <pageMargins left="0.4" right="0.4" top="0.7" bottom="0.65" header="0.3" footer="0.3"/>
  <pageSetup fitToHeight="0" orientation="portrait"/>
  <headerFooter>
    <oddHeader>&amp;L&amp;8MFG Calcs - Sheet Metal Part Cost Estimator&amp;R&amp;8&amp;A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L94"/>
  <sheetViews>
    <sheetView showGridLines="0" workbookViewId="0"/>
  </sheetViews>
  <sheetFormatPr defaultRowHeight="15"/>
  <cols>
    <col min="1" max="1" width="2.7109375" customWidth="1"/>
    <col min="2" max="2" width="34.7109375" customWidth="1"/>
    <col min="3" max="3" width="22.7109375" customWidth="1"/>
    <col min="4" max="10" width="12.7109375" customWidth="1"/>
    <col min="11" max="11" width="20.7109375" customWidth="1"/>
    <col min="12" max="12" width="22.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2"/>
      <c r="L2" s="3" t="s">
        <v>2</v>
      </c>
    </row>
    <row r="3" spans="1:12" ht="6" customHeight="1"/>
    <row r="4" spans="1:12" ht="21" customHeight="1">
      <c r="B4" s="34" t="s">
        <v>119</v>
      </c>
      <c r="C4" s="34"/>
      <c r="D4" s="34"/>
      <c r="E4" s="34"/>
      <c r="F4" s="34"/>
      <c r="G4" s="34"/>
      <c r="H4" s="34"/>
      <c r="I4" s="34"/>
      <c r="J4" s="34"/>
      <c r="K4" s="34"/>
    </row>
    <row r="6" spans="1:12" ht="21" customHeight="1">
      <c r="B6" s="8" t="s">
        <v>120</v>
      </c>
      <c r="C6" s="8"/>
      <c r="D6" s="8"/>
      <c r="E6" s="8"/>
      <c r="F6" s="8"/>
      <c r="G6" s="8"/>
      <c r="H6" s="8"/>
      <c r="I6" s="8"/>
      <c r="J6" s="8"/>
      <c r="K6" s="8"/>
    </row>
    <row r="7" spans="1:12" ht="5" customHeight="1"/>
    <row r="8" spans="1:12">
      <c r="B8" s="27" t="s">
        <v>121</v>
      </c>
      <c r="C8" s="35" t="s">
        <v>122</v>
      </c>
      <c r="D8" s="35"/>
      <c r="E8" s="35"/>
    </row>
    <row r="9" spans="1:12">
      <c r="B9" s="27" t="s">
        <v>123</v>
      </c>
      <c r="C9" s="35" t="s">
        <v>124</v>
      </c>
      <c r="D9" s="35"/>
      <c r="E9" s="35"/>
    </row>
    <row r="10" spans="1:12">
      <c r="B10" s="27" t="s">
        <v>125</v>
      </c>
      <c r="C10" s="35" t="s">
        <v>126</v>
      </c>
      <c r="D10" s="35"/>
      <c r="E10" s="35"/>
    </row>
    <row r="11" spans="1:12">
      <c r="B11" s="27" t="s">
        <v>127</v>
      </c>
      <c r="C11" s="36">
        <v>46308</v>
      </c>
      <c r="D11" s="36"/>
      <c r="E11" s="36"/>
    </row>
    <row r="12" spans="1:12">
      <c r="B12" s="27" t="s">
        <v>128</v>
      </c>
      <c r="C12" s="35" t="s">
        <v>129</v>
      </c>
      <c r="D12" s="35"/>
      <c r="E12" s="35"/>
    </row>
    <row r="14" spans="1:12" ht="21" customHeight="1">
      <c r="B14" s="8" t="s">
        <v>130</v>
      </c>
      <c r="C14" s="8"/>
      <c r="D14" s="8"/>
      <c r="E14" s="8"/>
      <c r="F14" s="8"/>
      <c r="G14" s="8"/>
      <c r="H14" s="8"/>
      <c r="I14" s="8"/>
      <c r="J14" s="8"/>
      <c r="K14" s="8"/>
    </row>
    <row r="15" spans="1:12" ht="5" customHeight="1"/>
    <row r="16" spans="1:12">
      <c r="B16" s="27" t="s">
        <v>65</v>
      </c>
      <c r="C16" s="28" t="s">
        <v>92</v>
      </c>
      <c r="D16" s="28"/>
    </row>
    <row r="17" spans="2:4">
      <c r="B17" s="27" t="s">
        <v>131</v>
      </c>
      <c r="C17" s="28" t="s">
        <v>132</v>
      </c>
      <c r="D17" s="28"/>
    </row>
    <row r="18" spans="2:4">
      <c r="B18" s="27" t="s">
        <v>133</v>
      </c>
      <c r="C18" s="30">
        <v>2</v>
      </c>
      <c r="D18" s="7" t="str">
        <f>DimUnit</f>
        <v>mm</v>
      </c>
    </row>
    <row r="19" spans="2:4">
      <c r="B19" s="27" t="s">
        <v>134</v>
      </c>
      <c r="C19" s="37">
        <v>312</v>
      </c>
      <c r="D19" s="7" t="str">
        <f>DimUnit</f>
        <v>mm</v>
      </c>
    </row>
    <row r="20" spans="2:4">
      <c r="B20" s="27" t="s">
        <v>135</v>
      </c>
      <c r="C20" s="37">
        <v>186</v>
      </c>
      <c r="D20" s="7" t="str">
        <f>DimUnit</f>
        <v>mm</v>
      </c>
    </row>
    <row r="21" spans="2:4">
      <c r="B21" s="27" t="s">
        <v>136</v>
      </c>
      <c r="C21" s="37">
        <v>2500</v>
      </c>
      <c r="D21" s="7" t="str">
        <f>DimUnit</f>
        <v>mm</v>
      </c>
    </row>
    <row r="22" spans="2:4">
      <c r="B22" s="27" t="s">
        <v>137</v>
      </c>
      <c r="C22" s="37">
        <v>1250</v>
      </c>
      <c r="D22" s="7" t="str">
        <f>DimUnit</f>
        <v>mm</v>
      </c>
    </row>
    <row r="23" spans="2:4">
      <c r="B23" s="27" t="s">
        <v>138</v>
      </c>
      <c r="C23" s="37">
        <v>8</v>
      </c>
      <c r="D23" s="7" t="str">
        <f>DimUnit</f>
        <v>mm</v>
      </c>
    </row>
    <row r="24" spans="2:4">
      <c r="B24" s="27" t="s">
        <v>139</v>
      </c>
      <c r="C24" s="37">
        <v>10</v>
      </c>
      <c r="D24" s="7" t="str">
        <f>DimUnit</f>
        <v>mm</v>
      </c>
    </row>
    <row r="25" spans="2:4">
      <c r="B25" s="27" t="s">
        <v>140</v>
      </c>
      <c r="C25" s="38">
        <f>IF(AND(SheetL-2*Edge&gt;0,SheetW-2*Edge&gt;0),INT((SheetL-2*Edge+Gap)/(BlankL+Gap))*INT((SheetW-2*Edge+Gap)/(BlankW+Gap)),0)</f>
        <v>42</v>
      </c>
      <c r="D25" s="7" t="s">
        <v>141</v>
      </c>
    </row>
    <row r="26" spans="2:4">
      <c r="B26" s="27" t="s">
        <v>142</v>
      </c>
      <c r="C26" s="38">
        <f>IF(AND(SheetL-2*Edge&gt;0,SheetW-2*Edge&gt;0),INT((SheetL-2*Edge+Gap)/(BlankW+Gap))*INT((SheetW-2*Edge+Gap)/(BlankL+Gap)),0)</f>
        <v>36</v>
      </c>
      <c r="D26" s="7" t="s">
        <v>141</v>
      </c>
    </row>
    <row r="27" spans="2:4">
      <c r="B27" s="17" t="s">
        <v>143</v>
      </c>
      <c r="C27" s="39">
        <f>MAX(NUnrot,NRot)</f>
        <v>42</v>
      </c>
      <c r="D27" s="7" t="s">
        <v>141</v>
      </c>
    </row>
    <row r="28" spans="2:4">
      <c r="B28" s="27" t="s">
        <v>144</v>
      </c>
      <c r="C28" s="40">
        <f>IF(SheetL*SheetW&gt;0,PPS*BlankL*BlankW/(SheetL*SheetW),"")</f>
        <v>0.77995008</v>
      </c>
      <c r="D28" s="7" t="s">
        <v>145</v>
      </c>
    </row>
    <row r="29" spans="2:4">
      <c r="B29" s="27" t="s">
        <v>146</v>
      </c>
      <c r="C29" s="41">
        <f>IFERROR(INDEX(tblMaterials[Density (g/cm3)],MATCH(Material,tblMaterials[Material],0)),"")</f>
        <v>7.85</v>
      </c>
      <c r="D29" s="7" t="s">
        <v>147</v>
      </c>
    </row>
    <row r="30" spans="2:4">
      <c r="B30" s="27" t="s">
        <v>148</v>
      </c>
      <c r="C30" s="41">
        <f>IFERROR(INDEX(tblMaterials[Price],MATCH(Material,tblMaterials[Material],0))/IF(INDEX(tblMaterials[Per],MATCH(Material,tblMaterials[Material],0))="lb",0.45359237,1),"")</f>
        <v>1.15</v>
      </c>
      <c r="D30" s="7" t="str">
        <f>Currency&amp;"/kg"</f>
        <v>USD/kg</v>
      </c>
    </row>
    <row r="31" spans="2:4">
      <c r="B31" s="27" t="s">
        <v>149</v>
      </c>
      <c r="C31" s="41">
        <f>IF(Density="","",SheetL*SheetW*Thick*IF(DimUnit="in",16.387064,0.001)*Density/1000)</f>
        <v>49.0625</v>
      </c>
      <c r="D31" s="7" t="s">
        <v>93</v>
      </c>
    </row>
    <row r="32" spans="2:4">
      <c r="B32" s="27" t="s">
        <v>150</v>
      </c>
      <c r="C32" s="42">
        <f>IF(Density="","",BlankL*BlankW*Thick*IF(DimUnit="in",16.387064,0.001)*Density/1000)</f>
        <v>0.9111024</v>
      </c>
      <c r="D32" s="7" t="s">
        <v>93</v>
      </c>
    </row>
    <row r="33" spans="2:11">
      <c r="B33" s="17" t="s">
        <v>151</v>
      </c>
      <c r="C33" s="43">
        <f>IF(OR(SheetKg="",PriceKg=""),"",SheetKg*PriceKg)</f>
        <v>56.421875</v>
      </c>
      <c r="D33" s="7" t="str">
        <f>Currency</f>
        <v>USD</v>
      </c>
    </row>
    <row r="34" spans="2:11">
      <c r="B34" s="27" t="s">
        <v>152</v>
      </c>
      <c r="C34" s="44" t="str">
        <f>IF(Density="","Material not on Setup list",IF(PPS=0,"Blank does not fit the sheet","OK"))</f>
        <v>OK</v>
      </c>
      <c r="D34" s="44"/>
    </row>
    <row r="36" spans="2:11" ht="21" customHeight="1">
      <c r="B36" s="8" t="s">
        <v>153</v>
      </c>
      <c r="C36" s="8"/>
      <c r="D36" s="8"/>
      <c r="E36" s="8"/>
      <c r="F36" s="8"/>
      <c r="G36" s="8"/>
      <c r="H36" s="8"/>
      <c r="I36" s="8"/>
      <c r="J36" s="8"/>
      <c r="K36" s="8"/>
    </row>
    <row r="37" spans="2:11" ht="5" customHeight="1"/>
    <row r="38" spans="2:11">
      <c r="B38" s="27" t="s">
        <v>154</v>
      </c>
      <c r="C38" s="28" t="s">
        <v>82</v>
      </c>
      <c r="D38" s="28"/>
    </row>
    <row r="39" spans="2:11">
      <c r="B39" s="27" t="s">
        <v>155</v>
      </c>
      <c r="C39" s="45">
        <v>1356</v>
      </c>
      <c r="D39" s="7" t="str">
        <f>DimUnit</f>
        <v>mm</v>
      </c>
    </row>
    <row r="40" spans="2:11">
      <c r="B40" s="27" t="s">
        <v>156</v>
      </c>
      <c r="C40" s="45">
        <v>14</v>
      </c>
      <c r="D40" s="7"/>
    </row>
    <row r="41" spans="2:11">
      <c r="B41" s="27" t="s">
        <v>157</v>
      </c>
      <c r="C41" s="45">
        <v>4500</v>
      </c>
      <c r="D41" s="7" t="str">
        <f>DimUnit&amp;"/min"</f>
        <v>mm/min</v>
      </c>
    </row>
    <row r="42" spans="2:11">
      <c r="B42" s="27" t="s">
        <v>158</v>
      </c>
      <c r="C42" s="30">
        <v>0.5</v>
      </c>
      <c r="D42" s="7" t="s">
        <v>159</v>
      </c>
    </row>
    <row r="43" spans="2:11">
      <c r="B43" s="27" t="s">
        <v>160</v>
      </c>
      <c r="C43" s="37">
        <v>6</v>
      </c>
      <c r="D43" s="7" t="s">
        <v>161</v>
      </c>
    </row>
    <row r="44" spans="2:11">
      <c r="B44" s="27" t="s">
        <v>162</v>
      </c>
      <c r="C44" s="30">
        <v>0.5</v>
      </c>
      <c r="D44" s="7" t="s">
        <v>163</v>
      </c>
    </row>
    <row r="45" spans="2:11">
      <c r="B45" s="27" t="s">
        <v>164</v>
      </c>
      <c r="C45" s="41">
        <f>IFERROR(INDEX(tblMachines[Rate per hour],MATCH(CutMachine,tblMachines[Machine],0)),"")</f>
        <v>120</v>
      </c>
      <c r="D45" s="7" t="str">
        <f>Currency&amp;"/h"</f>
        <v>USD/h</v>
      </c>
    </row>
    <row r="46" spans="2:11">
      <c r="B46" s="17" t="s">
        <v>165</v>
      </c>
      <c r="C46" s="46">
        <f>IF(PPS=0,"",CutLen/CutSpeed+Pierces*PierceSec/60+SheetMin/PPS)</f>
        <v>0.560857142857143</v>
      </c>
      <c r="D46" s="7" t="s">
        <v>166</v>
      </c>
    </row>
    <row r="47" spans="2:11">
      <c r="B47" s="27" t="s">
        <v>167</v>
      </c>
      <c r="C47" s="47">
        <f>IF(OR(CutRate="",CutMin=""),"",CutMin/60*CutRate)</f>
        <v>1.12171428571429</v>
      </c>
      <c r="D47" s="7" t="str">
        <f>Currency&amp;"/part"</f>
        <v>USD/part</v>
      </c>
    </row>
    <row r="48" spans="2:11">
      <c r="B48" s="27" t="s">
        <v>168</v>
      </c>
      <c r="C48" s="41">
        <f>IF(CutRate="","",CutSetupH*CutRate)</f>
        <v>60</v>
      </c>
      <c r="D48" s="7" t="str">
        <f>Currency</f>
        <v>USD</v>
      </c>
    </row>
    <row r="50" spans="2:12" ht="21" customHeight="1">
      <c r="B50" s="8" t="s">
        <v>169</v>
      </c>
      <c r="C50" s="8"/>
      <c r="D50" s="8"/>
      <c r="E50" s="8"/>
      <c r="F50" s="8"/>
      <c r="G50" s="8"/>
      <c r="H50" s="8"/>
      <c r="I50" s="8"/>
      <c r="J50" s="8"/>
      <c r="K50" s="8"/>
    </row>
    <row r="51" spans="2:12" ht="5" customHeight="1"/>
    <row r="52" spans="2:12" ht="14" customHeight="1">
      <c r="B52" s="32"/>
      <c r="C52" s="32"/>
      <c r="D52" s="32"/>
      <c r="E52" s="32"/>
      <c r="F52" s="32"/>
      <c r="G52" s="32"/>
      <c r="H52" s="32" t="str">
        <f>Currency&amp;"/h"</f>
        <v>USD/h</v>
      </c>
      <c r="I52" s="32"/>
      <c r="J52" s="32" t="str">
        <f>Currency&amp;"/batch"</f>
        <v>USD/batch</v>
      </c>
      <c r="K52" s="32" t="str">
        <f>Currency&amp;"/part"</f>
        <v>USD/part</v>
      </c>
      <c r="L52" s="32"/>
    </row>
    <row r="53" spans="2:12" ht="32" customHeight="1">
      <c r="B53" s="33" t="s">
        <v>101</v>
      </c>
      <c r="C53" s="33" t="s">
        <v>62</v>
      </c>
      <c r="D53" s="33" t="s">
        <v>102</v>
      </c>
      <c r="E53" s="33" t="s">
        <v>103</v>
      </c>
      <c r="F53" s="33" t="s">
        <v>104</v>
      </c>
      <c r="G53" s="33" t="s">
        <v>105</v>
      </c>
      <c r="H53" s="33" t="s">
        <v>106</v>
      </c>
      <c r="I53" s="33" t="s">
        <v>107</v>
      </c>
      <c r="J53" s="33" t="s">
        <v>108</v>
      </c>
      <c r="K53" s="33" t="s">
        <v>109</v>
      </c>
      <c r="L53" s="33" t="s">
        <v>110</v>
      </c>
    </row>
    <row r="54" spans="2:12">
      <c r="B54" s="28" t="s">
        <v>170</v>
      </c>
      <c r="C54" s="28" t="s">
        <v>86</v>
      </c>
      <c r="D54" s="30">
        <v>0.75</v>
      </c>
      <c r="E54" s="37">
        <v>4</v>
      </c>
      <c r="F54" s="37">
        <v>8</v>
      </c>
      <c r="G54" s="37">
        <v>10</v>
      </c>
      <c r="H54" s="41">
        <f>IF(tblOps[[#This Row],[Operation]]="","",IFERROR(INDEX(tblMachines[Rate per hour],MATCH(tblOps[[#This Row],[Machine]],tblMachines[Machine],0)),""))</f>
        <v>70</v>
      </c>
      <c r="I54" s="42">
        <f>IF(tblOps[[#This Row],[Operation]]="","",(tblOps[[#This Row],[Count per part]]*tblOps[[#This Row],[Seconds per count]]+tblOps[[#This Row],[Handling (s/part)]])/60)</f>
        <v>0.7</v>
      </c>
      <c r="J54" s="41">
        <f>IF(tblOps[[#This Row],[Operation]]="","",IF(tblOps[[#This Row],[Rate]]="","",tblOps[[#This Row],[Setup (h)]]*tblOps[[#This Row],[Rate]]))</f>
        <v>52.5</v>
      </c>
      <c r="K54" s="47">
        <f>IF(tblOps[[#This Row],[Operation]]="","",IF(tblOps[[#This Row],[Rate]]="","",tblOps[[#This Row],[Cycle (min/part)]]/60*tblOps[[#This Row],[Rate]]))</f>
        <v>0.816666666666667</v>
      </c>
      <c r="L54" s="48" t="str">
        <f>IF(tblOps[[#This Row],[Operation]]="","",IF(tblOps[[#This Row],[Machine]]="","Missing machine",IF(tblOps[[#This Row],[Rate]]="","Machine not on Setup list",IF(tblOps[[#This Row],[Cycle (min/part)]]=0,"Enter a time","OK"))))</f>
        <v>OK</v>
      </c>
    </row>
    <row r="55" spans="2:12">
      <c r="B55" s="28" t="s">
        <v>171</v>
      </c>
      <c r="C55" s="28" t="s">
        <v>87</v>
      </c>
      <c r="D55" s="30">
        <v>0.25</v>
      </c>
      <c r="E55" s="37">
        <v>2</v>
      </c>
      <c r="F55" s="37">
        <v>4</v>
      </c>
      <c r="G55" s="37">
        <v>6</v>
      </c>
      <c r="H55" s="41">
        <f>IF(tblOps[[#This Row],[Operation]]="","",IFERROR(INDEX(tblMachines[Rate per hour],MATCH(tblOps[[#This Row],[Machine]],tblMachines[Machine],0)),""))</f>
        <v>50</v>
      </c>
      <c r="I55" s="42">
        <f>IF(tblOps[[#This Row],[Operation]]="","",(tblOps[[#This Row],[Count per part]]*tblOps[[#This Row],[Seconds per count]]+tblOps[[#This Row],[Handling (s/part)]])/60)</f>
        <v>0.233333333333333</v>
      </c>
      <c r="J55" s="41">
        <f>IF(tblOps[[#This Row],[Operation]]="","",IF(tblOps[[#This Row],[Rate]]="","",tblOps[[#This Row],[Setup (h)]]*tblOps[[#This Row],[Rate]]))</f>
        <v>12.5</v>
      </c>
      <c r="K55" s="47">
        <f>IF(tblOps[[#This Row],[Operation]]="","",IF(tblOps[[#This Row],[Rate]]="","",tblOps[[#This Row],[Cycle (min/part)]]/60*tblOps[[#This Row],[Rate]]))</f>
        <v>0.194444444444444</v>
      </c>
      <c r="L55" s="48" t="str">
        <f>IF(tblOps[[#This Row],[Operation]]="","",IF(tblOps[[#This Row],[Machine]]="","Missing machine",IF(tblOps[[#This Row],[Rate]]="","Machine not on Setup list",IF(tblOps[[#This Row],[Cycle (min/part)]]=0,"Enter a time","OK"))))</f>
        <v>OK</v>
      </c>
    </row>
    <row r="56" spans="2:12">
      <c r="B56" s="28" t="s">
        <v>172</v>
      </c>
      <c r="C56" s="28" t="s">
        <v>88</v>
      </c>
      <c r="D56" s="30">
        <v>0</v>
      </c>
      <c r="E56" s="37">
        <v>1</v>
      </c>
      <c r="F56" s="37">
        <v>20</v>
      </c>
      <c r="G56" s="37">
        <v>5</v>
      </c>
      <c r="H56" s="41">
        <f>IF(tblOps[[#This Row],[Operation]]="","",IFERROR(INDEX(tblMachines[Rate per hour],MATCH(tblOps[[#This Row],[Machine]],tblMachines[Machine],0)),""))</f>
        <v>55</v>
      </c>
      <c r="I56" s="42">
        <f>IF(tblOps[[#This Row],[Operation]]="","",(tblOps[[#This Row],[Count per part]]*tblOps[[#This Row],[Seconds per count]]+tblOps[[#This Row],[Handling (s/part)]])/60)</f>
        <v>0.416666666666667</v>
      </c>
      <c r="J56" s="41">
        <f>IF(tblOps[[#This Row],[Operation]]="","",IF(tblOps[[#This Row],[Rate]]="","",tblOps[[#This Row],[Setup (h)]]*tblOps[[#This Row],[Rate]]))</f>
        <v>0</v>
      </c>
      <c r="K56" s="47">
        <f>IF(tblOps[[#This Row],[Operation]]="","",IF(tblOps[[#This Row],[Rate]]="","",tblOps[[#This Row],[Cycle (min/part)]]/60*tblOps[[#This Row],[Rate]]))</f>
        <v>0.381944444444445</v>
      </c>
      <c r="L56" s="48" t="str">
        <f>IF(tblOps[[#This Row],[Operation]]="","",IF(tblOps[[#This Row],[Machine]]="","Missing machine",IF(tblOps[[#This Row],[Rate]]="","Machine not on Setup list",IF(tblOps[[#This Row],[Cycle (min/part)]]=0,"Enter a time","OK"))))</f>
        <v>OK</v>
      </c>
    </row>
    <row r="58" spans="2:12">
      <c r="B58" s="31" t="s">
        <v>173</v>
      </c>
      <c r="C58" s="31"/>
      <c r="D58" s="31"/>
    </row>
    <row r="59" spans="2:12">
      <c r="B59" s="27" t="s">
        <v>174</v>
      </c>
      <c r="C59" s="41">
        <f>SUM(tblOps[Setup cost])+N(CutSetupCost)</f>
        <v>125</v>
      </c>
      <c r="D59" s="7" t="str">
        <f>Currency</f>
        <v>USD</v>
      </c>
    </row>
    <row r="60" spans="2:12">
      <c r="B60" s="27" t="s">
        <v>175</v>
      </c>
      <c r="C60" s="47">
        <f>SUM(tblOps[Run cost])</f>
        <v>1.39305555555556</v>
      </c>
      <c r="D60" s="7" t="str">
        <f>Currency&amp;"/part"</f>
        <v>USD/part</v>
      </c>
    </row>
    <row r="61" spans="2:12">
      <c r="B61" s="27" t="s">
        <v>176</v>
      </c>
      <c r="C61" s="41">
        <f>SUM(tblOps[Setup (h)])+CutSetupH</f>
        <v>1.5</v>
      </c>
      <c r="D61" s="7" t="s">
        <v>163</v>
      </c>
    </row>
    <row r="62" spans="2:12">
      <c r="B62" s="17" t="s">
        <v>177</v>
      </c>
      <c r="C62" s="46">
        <f>SUM(tblOps[Cycle (min/part)])+N(CutMin)</f>
        <v>1.91085714285714</v>
      </c>
      <c r="D62" s="7" t="s">
        <v>166</v>
      </c>
    </row>
    <row r="64" spans="2:12" ht="21" customHeight="1">
      <c r="B64" s="8" t="s">
        <v>178</v>
      </c>
      <c r="C64" s="8"/>
      <c r="D64" s="8"/>
      <c r="E64" s="8"/>
      <c r="F64" s="8"/>
      <c r="G64" s="8"/>
      <c r="H64" s="8"/>
      <c r="I64" s="8"/>
      <c r="J64" s="8"/>
      <c r="K64" s="8"/>
    </row>
    <row r="65" spans="2:11" ht="5" customHeight="1"/>
    <row r="66" spans="2:11" ht="14" customHeight="1">
      <c r="B66" s="32"/>
      <c r="C66" s="32"/>
      <c r="D66" s="32" t="str">
        <f>Currency&amp;"/each"</f>
        <v>USD/each</v>
      </c>
      <c r="E66" s="32" t="str">
        <f>Currency&amp;"/part"</f>
        <v>USD/part</v>
      </c>
    </row>
    <row r="67" spans="2:11" ht="32" customHeight="1">
      <c r="B67" s="33" t="s">
        <v>111</v>
      </c>
      <c r="C67" s="33" t="s">
        <v>112</v>
      </c>
      <c r="D67" s="33" t="s">
        <v>113</v>
      </c>
      <c r="E67" s="33" t="s">
        <v>114</v>
      </c>
    </row>
    <row r="68" spans="2:11">
      <c r="B68" s="28" t="s">
        <v>179</v>
      </c>
      <c r="C68" s="37">
        <v>2</v>
      </c>
      <c r="D68" s="49">
        <v>0.06</v>
      </c>
      <c r="E68" s="47">
        <f>IF(tblHardware[[#This Row],[Item]]="","",tblHardware[[#This Row],[Qty per part]]*tblHardware[[#This Row],[Unit price]])</f>
        <v>0.12</v>
      </c>
    </row>
    <row r="69" spans="2:11">
      <c r="B69" s="28" t="s">
        <v>180</v>
      </c>
      <c r="C69" s="37">
        <v>1</v>
      </c>
      <c r="D69" s="49">
        <v>0.02</v>
      </c>
      <c r="E69" s="47">
        <f>IF(tblHardware[[#This Row],[Item]]="","",tblHardware[[#This Row],[Qty per part]]*tblHardware[[#This Row],[Unit price]])</f>
        <v>0.02</v>
      </c>
    </row>
    <row r="71" spans="2:11">
      <c r="B71" s="31" t="s">
        <v>181</v>
      </c>
      <c r="C71" s="31"/>
      <c r="D71" s="31"/>
    </row>
    <row r="72" spans="2:11">
      <c r="B72" s="27" t="s">
        <v>182</v>
      </c>
      <c r="C72" s="47">
        <f>SUM(tblHardware[Cost per part])</f>
        <v>0.14</v>
      </c>
      <c r="D72" s="7" t="str">
        <f>Currency&amp;"/part"</f>
        <v>USD/part</v>
      </c>
    </row>
    <row r="74" spans="2:11" ht="14" customHeight="1">
      <c r="B74" s="32"/>
      <c r="C74" s="32"/>
      <c r="D74" s="32" t="str">
        <f>Currency&amp;"/part"</f>
        <v>USD/part</v>
      </c>
      <c r="E74" s="32" t="str">
        <f>Currency&amp;"/lot"</f>
        <v>USD/lot</v>
      </c>
    </row>
    <row r="75" spans="2:11" ht="32" customHeight="1">
      <c r="B75" s="33" t="s">
        <v>115</v>
      </c>
      <c r="C75" s="33" t="s">
        <v>116</v>
      </c>
      <c r="D75" s="33" t="s">
        <v>117</v>
      </c>
      <c r="E75" s="33" t="s">
        <v>118</v>
      </c>
    </row>
    <row r="76" spans="2:11">
      <c r="B76" s="28" t="s">
        <v>183</v>
      </c>
      <c r="C76" s="28" t="s">
        <v>184</v>
      </c>
      <c r="D76" s="30">
        <v>0.85</v>
      </c>
      <c r="E76" s="30">
        <v>95</v>
      </c>
    </row>
    <row r="78" spans="2:11" ht="21" customHeight="1">
      <c r="B78" s="8" t="s">
        <v>185</v>
      </c>
      <c r="C78" s="8"/>
      <c r="D78" s="8"/>
      <c r="E78" s="8"/>
      <c r="F78" s="8"/>
      <c r="G78" s="8"/>
      <c r="H78" s="8"/>
      <c r="I78" s="8"/>
      <c r="J78" s="8"/>
      <c r="K78" s="8"/>
    </row>
    <row r="79" spans="2:11" ht="5" customHeight="1"/>
    <row r="80" spans="2:11">
      <c r="B80" s="50" t="s">
        <v>186</v>
      </c>
      <c r="C80" s="33" t="s">
        <v>187</v>
      </c>
      <c r="D80" s="51">
        <v>25</v>
      </c>
      <c r="E80" s="51">
        <v>100</v>
      </c>
      <c r="F80" s="51">
        <v>250</v>
      </c>
      <c r="G80" s="51">
        <v>500</v>
      </c>
      <c r="H80" s="51">
        <v>1000</v>
      </c>
    </row>
    <row r="81" spans="2:8">
      <c r="B81" s="27" t="s">
        <v>188</v>
      </c>
      <c r="C81" s="7" t="s">
        <v>141</v>
      </c>
      <c r="D81" s="38">
        <f>CEILING($D$80/FPY,1)</f>
        <v>26</v>
      </c>
      <c r="E81" s="38">
        <f>CEILING($E$80/FPY,1)</f>
        <v>103</v>
      </c>
      <c r="F81" s="38">
        <f>CEILING($F$80/FPY,1)</f>
        <v>256</v>
      </c>
      <c r="G81" s="38">
        <f>CEILING($G$80/FPY,1)</f>
        <v>511</v>
      </c>
      <c r="H81" s="38">
        <f>CEILING($H$80/FPY,1)</f>
        <v>1021</v>
      </c>
    </row>
    <row r="82" spans="2:8">
      <c r="B82" s="27" t="s">
        <v>189</v>
      </c>
      <c r="C82" s="7" t="s">
        <v>190</v>
      </c>
      <c r="D82" s="38">
        <f>CEILING($D$81/PPS,1)</f>
        <v>1</v>
      </c>
      <c r="E82" s="38">
        <f>CEILING($E$81/PPS,1)</f>
        <v>3</v>
      </c>
      <c r="F82" s="38">
        <f>CEILING($F$81/PPS,1)</f>
        <v>7</v>
      </c>
      <c r="G82" s="38">
        <f>CEILING($G$81/PPS,1)</f>
        <v>13</v>
      </c>
      <c r="H82" s="38">
        <f>CEILING($H$81/PPS,1)</f>
        <v>25</v>
      </c>
    </row>
    <row r="83" spans="2:8">
      <c r="B83" s="27" t="s">
        <v>191</v>
      </c>
      <c r="C83" s="7" t="str">
        <f>Currency&amp;"/part"</f>
        <v>USD/part</v>
      </c>
      <c r="D83" s="41">
        <f>$D$82*SheetCost*(1+BuyMarkup)/$D$80</f>
        <v>2.437425</v>
      </c>
      <c r="E83" s="41">
        <f>$E$82*SheetCost*(1+BuyMarkup)/$E$80</f>
        <v>1.82806875</v>
      </c>
      <c r="F83" s="41">
        <f>$F$82*SheetCost*(1+BuyMarkup)/$F$80</f>
        <v>1.7061975</v>
      </c>
      <c r="G83" s="41">
        <f>$G$82*SheetCost*(1+BuyMarkup)/$G$80</f>
        <v>1.58432625</v>
      </c>
      <c r="H83" s="41">
        <f>$H$82*SheetCost*(1+BuyMarkup)/$H$80</f>
        <v>1.523390625</v>
      </c>
    </row>
    <row r="84" spans="2:8">
      <c r="B84" s="27" t="s">
        <v>153</v>
      </c>
      <c r="C84" s="7" t="str">
        <f>Currency&amp;"/part"</f>
        <v>USD/part</v>
      </c>
      <c r="D84" s="41">
        <f>CutCost*$D$81/$D$80</f>
        <v>1.16658285714286</v>
      </c>
      <c r="E84" s="41">
        <f>CutCost*$E$81/$E$80</f>
        <v>1.15536571428571</v>
      </c>
      <c r="F84" s="41">
        <f>CutCost*$F$81/$F$80</f>
        <v>1.14863542857143</v>
      </c>
      <c r="G84" s="41">
        <f>CutCost*$G$81/$G$80</f>
        <v>1.146392</v>
      </c>
      <c r="H84" s="41">
        <f>CutCost*$H$81/$H$80</f>
        <v>1.14527028571429</v>
      </c>
    </row>
    <row r="85" spans="2:8">
      <c r="B85" s="27" t="s">
        <v>192</v>
      </c>
      <c r="C85" s="7" t="str">
        <f>Currency&amp;"/part"</f>
        <v>USD/part</v>
      </c>
      <c r="D85" s="41">
        <f>RunCost*$D$81/$D$80</f>
        <v>1.44877777777778</v>
      </c>
      <c r="E85" s="41">
        <f>RunCost*$E$81/$E$80</f>
        <v>1.43484722222222</v>
      </c>
      <c r="F85" s="41">
        <f>RunCost*$F$81/$F$80</f>
        <v>1.42648888888889</v>
      </c>
      <c r="G85" s="41">
        <f>RunCost*$G$81/$G$80</f>
        <v>1.42370277777778</v>
      </c>
      <c r="H85" s="41">
        <f>RunCost*$H$81/$H$80</f>
        <v>1.42230972222222</v>
      </c>
    </row>
    <row r="86" spans="2:8">
      <c r="B86" s="27" t="s">
        <v>193</v>
      </c>
      <c r="C86" s="7" t="str">
        <f>Currency&amp;"/part"</f>
        <v>USD/part</v>
      </c>
      <c r="D86" s="41">
        <f>HardwarePP*$D$81/$D$80</f>
        <v>0.1456</v>
      </c>
      <c r="E86" s="41">
        <f>HardwarePP*$E$81/$E$80</f>
        <v>0.1442</v>
      </c>
      <c r="F86" s="41">
        <f>HardwarePP*$F$81/$F$80</f>
        <v>0.14336</v>
      </c>
      <c r="G86" s="41">
        <f>HardwarePP*$G$81/$G$80</f>
        <v>0.14308</v>
      </c>
      <c r="H86" s="41">
        <f>HardwarePP*$H$81/$H$80</f>
        <v>0.14294</v>
      </c>
    </row>
    <row r="87" spans="2:8">
      <c r="B87" s="27" t="s">
        <v>194</v>
      </c>
      <c r="C87" s="7" t="str">
        <f>Currency&amp;"/part"</f>
        <v>USD/part</v>
      </c>
      <c r="D87" s="41">
        <f>SetupCost/$D$80</f>
        <v>5</v>
      </c>
      <c r="E87" s="41">
        <f>SetupCost/$E$80</f>
        <v>1.25</v>
      </c>
      <c r="F87" s="41">
        <f>SetupCost/$F$80</f>
        <v>0.5</v>
      </c>
      <c r="G87" s="41">
        <f>SetupCost/$G$80</f>
        <v>0.25</v>
      </c>
      <c r="H87" s="41">
        <f>SetupCost/$H$80</f>
        <v>0.125</v>
      </c>
    </row>
    <row r="88" spans="2:8">
      <c r="B88" s="27" t="s">
        <v>195</v>
      </c>
      <c r="C88" s="7" t="str">
        <f>Currency&amp;"/part"</f>
        <v>USD/part</v>
      </c>
      <c r="D88" s="41">
        <f>(SUMPRODUCT((tblOutside[Lot charge]&gt;tblOutside[Price per part]*$D$80)*tblOutside[Lot charge])+SUMPRODUCT((tblOutside[Lot charge]&lt;=tblOutside[Price per part]*$D$80)*tblOutside[Price per part])*$D$80)/$D$80*(1+BuyMarkup)</f>
        <v>4.104</v>
      </c>
      <c r="E88" s="41">
        <f>(SUMPRODUCT((tblOutside[Lot charge]&gt;tblOutside[Price per part]*$E$80)*tblOutside[Lot charge])+SUMPRODUCT((tblOutside[Lot charge]&lt;=tblOutside[Price per part]*$E$80)*tblOutside[Price per part])*$E$80)/$E$80*(1+BuyMarkup)</f>
        <v>1.026</v>
      </c>
      <c r="F88" s="41">
        <f>(SUMPRODUCT((tblOutside[Lot charge]&gt;tblOutside[Price per part]*$F$80)*tblOutside[Lot charge])+SUMPRODUCT((tblOutside[Lot charge]&lt;=tblOutside[Price per part]*$F$80)*tblOutside[Price per part])*$F$80)/$F$80*(1+BuyMarkup)</f>
        <v>0.918</v>
      </c>
      <c r="G88" s="41">
        <f>(SUMPRODUCT((tblOutside[Lot charge]&gt;tblOutside[Price per part]*$G$80)*tblOutside[Lot charge])+SUMPRODUCT((tblOutside[Lot charge]&lt;=tblOutside[Price per part]*$G$80)*tblOutside[Price per part])*$G$80)/$G$80*(1+BuyMarkup)</f>
        <v>0.918</v>
      </c>
      <c r="H88" s="41">
        <f>(SUMPRODUCT((tblOutside[Lot charge]&gt;tblOutside[Price per part]*$H$80)*tblOutside[Lot charge])+SUMPRODUCT((tblOutside[Lot charge]&lt;=tblOutside[Price per part]*$H$80)*tblOutside[Price per part])*$H$80)/$H$80*(1+BuyMarkup)</f>
        <v>0.918</v>
      </c>
    </row>
    <row r="89" spans="2:8">
      <c r="B89" s="27" t="s">
        <v>196</v>
      </c>
      <c r="C89" s="7" t="str">
        <f>Currency&amp;"/part"</f>
        <v>USD/part</v>
      </c>
      <c r="D89" s="41">
        <f>($D$84+$D$85+$D$87)*Overhead</f>
        <v>0.913843276190476</v>
      </c>
      <c r="E89" s="41">
        <f>($E$84+$E$85+$E$87)*Overhead</f>
        <v>0.460825552380952</v>
      </c>
      <c r="F89" s="41">
        <f>($F$84+$F$85+$F$87)*Overhead</f>
        <v>0.369014918095238</v>
      </c>
      <c r="G89" s="41">
        <f>($G$84+$G$85+$G$87)*Overhead</f>
        <v>0.338411373333333</v>
      </c>
      <c r="H89" s="41">
        <f>($H$84+$H$85+$H$87)*Overhead</f>
        <v>0.323109600952381</v>
      </c>
    </row>
    <row r="90" spans="2:8">
      <c r="B90" s="17" t="s">
        <v>197</v>
      </c>
      <c r="C90" s="7" t="str">
        <f>Currency&amp;"/part"</f>
        <v>USD/part</v>
      </c>
      <c r="D90" s="52">
        <f>$D$83+$D$84+$D$85+$D$86+$D$87+$D$88+$D$89</f>
        <v>15.2162289111111</v>
      </c>
      <c r="E90" s="52">
        <f>$E$83+$E$84+$E$85+$E$86+$E$87+$E$88+$E$89</f>
        <v>7.29930723888889</v>
      </c>
      <c r="F90" s="52">
        <f>$F$83+$F$84+$F$85+$F$86+$F$87+$F$88+$F$89</f>
        <v>6.21169673555556</v>
      </c>
      <c r="G90" s="52">
        <f>$G$83+$G$84+$G$85+$G$86+$G$87+$G$88+$G$89</f>
        <v>5.80391240111111</v>
      </c>
      <c r="H90" s="52">
        <f>$H$83+$H$84+$H$85+$H$86+$H$87+$H$88+$H$89</f>
        <v>5.60002023388889</v>
      </c>
    </row>
    <row r="91" spans="2:8">
      <c r="B91" s="27" t="s">
        <v>113</v>
      </c>
      <c r="C91" s="7" t="str">
        <f>Currency&amp;"/part"</f>
        <v>USD/part</v>
      </c>
      <c r="D91" s="53">
        <f>CEILING($D$90/(1-Margin),RoundStep)</f>
        <v>19.51</v>
      </c>
      <c r="E91" s="53">
        <f>CEILING($E$90/(1-Margin),RoundStep)</f>
        <v>9.36</v>
      </c>
      <c r="F91" s="53">
        <f>CEILING($F$90/(1-Margin),RoundStep)</f>
        <v>7.97</v>
      </c>
      <c r="G91" s="53">
        <f>CEILING($G$90/(1-Margin),RoundStep)</f>
        <v>7.45</v>
      </c>
      <c r="H91" s="53">
        <f>CEILING($H$90/(1-Margin),RoundStep)</f>
        <v>7.18</v>
      </c>
    </row>
    <row r="92" spans="2:8">
      <c r="B92" s="27" t="s">
        <v>198</v>
      </c>
      <c r="C92" s="7" t="str">
        <f>Currency</f>
        <v>USD</v>
      </c>
      <c r="D92" s="41">
        <f>$D$91*$D$80</f>
        <v>487.75</v>
      </c>
      <c r="E92" s="41">
        <f>$E$91*$E$80</f>
        <v>936</v>
      </c>
      <c r="F92" s="41">
        <f>$F$91*$F$80</f>
        <v>1992.5</v>
      </c>
      <c r="G92" s="41">
        <f>$G$91*$G$80</f>
        <v>3725</v>
      </c>
      <c r="H92" s="41">
        <f>$H$91*$H$80</f>
        <v>7180</v>
      </c>
    </row>
    <row r="93" spans="2:8">
      <c r="B93" s="27" t="s">
        <v>199</v>
      </c>
      <c r="C93" s="7" t="s">
        <v>200</v>
      </c>
      <c r="D93" s="40">
        <f>($D$91-$D$90)/$D$91</f>
        <v>0.220080527364884</v>
      </c>
      <c r="E93" s="40">
        <f>($E$91-$E$90)/$E$91</f>
        <v>0.220159483024691</v>
      </c>
      <c r="F93" s="40">
        <f>($F$91-$F$90)/$F$91</f>
        <v>0.220615215112226</v>
      </c>
      <c r="G93" s="40">
        <f>($G$91-$G$90)/$G$91</f>
        <v>0.220951355555556</v>
      </c>
      <c r="H93" s="40">
        <f>($H$91-$H$90)/$H$91</f>
        <v>0.220052892216032</v>
      </c>
    </row>
    <row r="94" spans="2:8">
      <c r="B94" s="27" t="s">
        <v>201</v>
      </c>
      <c r="C94" s="7" t="s">
        <v>163</v>
      </c>
      <c r="D94" s="54">
        <f>SetupHours+$D$81*CycleMin/60</f>
        <v>2.3280380952381</v>
      </c>
      <c r="E94" s="54">
        <f>SetupHours+$E$81*CycleMin/60</f>
        <v>4.78030476190476</v>
      </c>
      <c r="F94" s="54">
        <f>SetupHours+$F$81*CycleMin/60</f>
        <v>9.65299047619048</v>
      </c>
      <c r="G94" s="54">
        <f>SetupHours+$G$81*CycleMin/60</f>
        <v>17.7741333333333</v>
      </c>
      <c r="H94" s="54">
        <f>SetupHours+$H$81*CycleMin/60</f>
        <v>34.0164190476191</v>
      </c>
    </row>
  </sheetData>
  <mergeCells count="20">
    <mergeCell ref="A1:L1"/>
    <mergeCell ref="B2:K2"/>
    <mergeCell ref="B4:K4"/>
    <mergeCell ref="B6:K6"/>
    <mergeCell ref="C8:E8"/>
    <mergeCell ref="C9:E9"/>
    <mergeCell ref="C10:E10"/>
    <mergeCell ref="C11:E11"/>
    <mergeCell ref="C12:E12"/>
    <mergeCell ref="B14:K14"/>
    <mergeCell ref="C16:D16"/>
    <mergeCell ref="C17:D17"/>
    <mergeCell ref="C34:D34"/>
    <mergeCell ref="B36:K36"/>
    <mergeCell ref="C38:D38"/>
    <mergeCell ref="B50:K50"/>
    <mergeCell ref="B58:D58"/>
    <mergeCell ref="B64:K64"/>
    <mergeCell ref="B71:D71"/>
    <mergeCell ref="B78:K78"/>
  </mergeCells>
  <conditionalFormatting sqref="C34">
    <cfRule type="expression" dxfId="3" priority="1">
      <formula>$C34="OK"</formula>
    </cfRule>
    <cfRule type="expression" dxfId="1" priority="2">
      <formula>AND($C34&lt;&gt;"",$C34&lt;&gt;"OK")</formula>
    </cfRule>
  </conditionalFormatting>
  <conditionalFormatting sqref="L54:L86">
    <cfRule type="expression" dxfId="3" priority="3">
      <formula>$L54="OK"</formula>
    </cfRule>
    <cfRule type="expression" dxfId="1" priority="4">
      <formula>AND($L54&lt;&gt;"",$L54&lt;&gt;"OK")</formula>
    </cfRule>
  </conditionalFormatting>
  <dataValidations count="39">
    <dataValidation type="textLength" allowBlank="1" showInputMessage="1" showErrorMessage="1" errorTitle="Check this entry" error="Text up to 80 characters." promptTitle="Customer" prompt="Text up to 80 characters." sqref="C8">
      <formula1>0</formula1>
      <formula2>80</formula2>
    </dataValidation>
    <dataValidation type="textLength" allowBlank="1" showInputMessage="1" showErrorMessage="1" errorTitle="Check this entry" error="Text up to 40 characters." promptTitle="Part number" prompt="Text up to 40 characters." sqref="C9">
      <formula1>0</formula1>
      <formula2>40</formula2>
    </dataValidation>
    <dataValidation type="textLength" allowBlank="1" showInputMessage="1" showErrorMessage="1" errorTitle="Check this entry" error="Text up to 120 characters." promptTitle="Part description" prompt="Text up to 120 characters." sqref="C10">
      <formula1>0</formula1>
      <formula2>120</formula2>
    </dataValidation>
    <dataValidation type="date" allowBlank="1" showInputMessage="1" showErrorMessage="1" errorTitle="Check this entry" error="Enter a date between 01 Jan 2000 and 31 Dec 2100." promptTitle="Date" prompt="Enter a date between 01 Jan 2000 and 31 Dec 2100." sqref="C11">
      <formula1>36526</formula1>
      <formula2>73415</formula2>
    </dataValidation>
    <dataValidation type="textLength" allowBlank="1" showInputMessage="1" showErrorMessage="1" errorTitle="Check this entry" error="Text up to 60 characters." promptTitle="Prepared by" prompt="Text up to 60 characters." sqref="C12">
      <formula1>0</formula1>
      <formula2>60</formula2>
    </dataValidation>
    <dataValidation type="list" allowBlank="1" showInputMessage="1" showErrorMessage="1" errorTitle="Check this entry" error="Pick from the list (edit the list on Setup: Materials)." promptTitle="Material" prompt="Pick from the list (edit the list on Setup: Materials)." sqref="C16">
      <formula1>Materials</formula1>
    </dataValidation>
    <dataValidation type="list" allowBlank="1" showInputMessage="1" showErrorMessage="1" errorTitle="Check this entry" error="Pick one of: mm, in." promptTitle="Dimensions in" prompt="Unit for thickness, blank, sheet, spacing and edge margin, and for cut length and speed below. Pick one of: mm, in." sqref="C17">
      <formula1>"mm,in"</formula1>
    </dataValidation>
    <dataValidation type="decimal" allowBlank="1" showInputMessage="1" showErrorMessage="1" errorTitle="Check this entry" error="Enter a number from 0.01 to 100." promptTitle="Thickness" prompt="Enter a number from 0.01 to 100." sqref="C18">
      <formula1>0.01</formula1>
      <formula2>100</formula2>
    </dataValidation>
    <dataValidation type="decimal" allowBlank="1" showInputMessage="1" showErrorMessage="1" errorTitle="Check this entry" error="Enter a number from 0.01 to 100,000." promptTitle="Flat blank length" prompt="Bounding rectangle of the flat pattern. Enter a number from 0.01 to 100,000." sqref="C19">
      <formula1>0.01</formula1>
      <formula2>100000</formula2>
    </dataValidation>
    <dataValidation type="decimal" allowBlank="1" showInputMessage="1" showErrorMessage="1" errorTitle="Check this entry" error="Enter a number from 0.01 to 100,000." promptTitle="Flat blank width" prompt="Enter a number from 0.01 to 100,000." sqref="C20">
      <formula1>0.01</formula1>
      <formula2>100000</formula2>
    </dataValidation>
    <dataValidation type="decimal" allowBlank="1" showInputMessage="1" showErrorMessage="1" errorTitle="Check this entry" error="Enter a number from 0.01 to 100,000." promptTitle="Sheet length" prompt="Enter a number from 0.01 to 100,000." sqref="C21">
      <formula1>0.01</formula1>
      <formula2>100000</formula2>
    </dataValidation>
    <dataValidation type="decimal" allowBlank="1" showInputMessage="1" showErrorMessage="1" errorTitle="Check this entry" error="Enter a number from 0.01 to 100,000." promptTitle="Sheet width" prompt="Enter a number from 0.01 to 100,000." sqref="C22">
      <formula1>0.01</formula1>
      <formula2>100000</formula2>
    </dataValidation>
    <dataValidation type="decimal" allowBlank="1" showInputMessage="1" showErrorMessage="1" errorTitle="Check this entry" error="Enter a number from 0 to 1,000." promptTitle="Spacing between parts" prompt="Enter a number from 0 to 1,000." sqref="C23">
      <formula1>0</formula1>
      <formula2>1000</formula2>
    </dataValidation>
    <dataValidation type="decimal" allowBlank="1" showInputMessage="1" showErrorMessage="1" errorTitle="Check this entry" error="Enter a number from 0 to 1,000." promptTitle="Margin at each sheet edge" prompt="Enter a number from 0 to 1,000." sqref="C24">
      <formula1>0</formula1>
      <formula2>1000</formula2>
    </dataValidation>
    <dataValidation type="list" allowBlank="1" showInputMessage="1" showErrorMessage="1" errorTitle="Check this entry" error="Pick from the list (edit the list on Setup: Machines)." promptTitle="Cutting machine" prompt="Pick from the list (edit the list on Setup: Machines)." sqref="C38">
      <formula1>Machines</formula1>
    </dataValidation>
    <dataValidation type="decimal" allowBlank="1" showInputMessage="1" showErrorMessage="1" errorTitle="Check this entry" error="Enter a number from 0 to 100,000,000." promptTitle="Cut length per part, outline ..." prompt="Total cut path per part from your CAD or nesting software. Enter a number from 0 to 100,000,000." sqref="C39">
      <formula1>0</formula1>
      <formula2>100000000.0</formula2>
    </dataValidation>
    <dataValidation type="whole" allowBlank="1" showInputMessage="1" showErrorMessage="1" errorTitle="Check this entry" error="Enter a whole number from 0 to 100,000." promptTitle="Pierces per part" prompt="Enter a whole number from 0 to 100,000." sqref="C40">
      <formula1>0</formula1>
      <formula2>100000</formula2>
    </dataValidation>
    <dataValidation type="decimal" allowBlank="1" showInputMessage="1" showErrorMessage="1" errorTitle="Check this entry" error="Enter a number from 0.01 to 1,000,000." promptTitle="Average cutting speed" prompt="The speed you achieve on this material and thickness, corners and lead-ins included. Enter a number from 0.01 to 1,000,000." sqref="C41">
      <formula1>0.01</formula1>
      <formula2>1000000.0</formula2>
    </dataValidation>
    <dataValidation type="decimal" allowBlank="1" showInputMessage="1" showErrorMessage="1" errorTitle="Check this entry" error="Enter a number from 0 to 600." promptTitle="Time per pierce" prompt="Enter a number from 0 to 600." sqref="C42">
      <formula1>0</formula1>
      <formula2>600</formula2>
    </dataValidation>
    <dataValidation type="decimal" allowBlank="1" showInputMessage="1" showErrorMessage="1" errorTitle="Check this entry" error="Enter a number from 0 to 600." promptTitle="Sheet load and unload, per sheet" prompt="Shared by the parts on the sheet. Enter a number from 0 to 600." sqref="C43">
      <formula1>0</formula1>
      <formula2>600</formula2>
    </dataValidation>
    <dataValidation type="decimal" allowBlank="1" showInputMessage="1" showErrorMessage="1" errorTitle="Check this entry" error="Enter a number from 0 to 1,000." promptTitle="Nest programming and setup, p..." prompt="Enter a number from 0 to 1,000." sqref="C44">
      <formula1>0</formula1>
      <formula2>1000</formula2>
    </dataValidation>
    <dataValidation type="textLength" allowBlank="1" showInputMessage="1" showErrorMessage="1" errorTitle="Check this entry" error="Text up to 80 characters." promptTitle="Operation" prompt="Text up to 80 characters." sqref="B54:B86">
      <formula1>0</formula1>
      <formula2>80</formula2>
    </dataValidation>
    <dataValidation type="list" allowBlank="1" showInputMessage="1" showErrorMessage="1" errorTitle="Check this entry" error="Pick from the list (edit the list on Setup: Machines)." promptTitle="Machine" prompt="Pick from the list (edit the list on Setup: Machines)." sqref="C54:C86">
      <formula1>Machines</formula1>
    </dataValidation>
    <dataValidation type="decimal" allowBlank="1" showInputMessage="1" showErrorMessage="1" errorTitle="Check this entry" error="Enter a number from 0 to 1,000." promptTitle="Setup (h)" prompt="Tooling setup and first-off check for this operation, per batch. Enter a number from 0 to 1,000." sqref="D54:D86">
      <formula1>0</formula1>
      <formula2>1000</formula2>
    </dataValidation>
    <dataValidation type="decimal" allowBlank="1" showInputMessage="1" showErrorMessage="1" errorTitle="Check this entry" error="Enter a number from 0 to 10,000." promptTitle="Count per part" prompt="Bends, inserts, welds or passes per part. Enter a number from 0 to 10,000." sqref="E54:E86">
      <formula1>0</formula1>
      <formula2>10000</formula2>
    </dataValidation>
    <dataValidation type="decimal" allowBlank="1" showInputMessage="1" showErrorMessage="1" errorTitle="Check this entry" error="Enter a number from 0 to 36,000." promptTitle="Seconds per count" prompt="Time for one bend, insert or weld, including repositioning. Enter a number from 0 to 36,000." sqref="F54:F86">
      <formula1>0</formula1>
      <formula2>36000</formula2>
    </dataValidation>
    <dataValidation type="decimal" allowBlank="1" showInputMessage="1" showErrorMessage="1" errorTitle="Check this entry" error="Enter a number from 0 to 36,000." promptTitle="Handling (s/part)" prompt="Pick up, place, inspect and stack, per part. Enter a number from 0 to 36,000." sqref="G54:G86">
      <formula1>0</formula1>
      <formula2>36000</formula2>
    </dataValidation>
    <dataValidation type="textLength" allowBlank="1" showInputMessage="1" showErrorMessage="1" errorTitle="Check this entry" error="Text up to 80 characters." promptTitle="Item" prompt="Text up to 80 characters." sqref="B68:B99">
      <formula1>0</formula1>
      <formula2>80</formula2>
    </dataValidation>
    <dataValidation type="decimal" allowBlank="1" showInputMessage="1" showErrorMessage="1" errorTitle="Check this entry" error="Enter a number from 0 to 10,000." promptTitle="Qty per part" prompt="Enter a number from 0 to 10,000." sqref="C68:C99">
      <formula1>0</formula1>
      <formula2>10000</formula2>
    </dataValidation>
    <dataValidation type="decimal" allowBlank="1" showInputMessage="1" showErrorMessage="1" errorTitle="Check this entry" error="Enter a number from 0 to 1,000,000." promptTitle="Unit price" prompt="Enter a number from 0 to 1,000,000." sqref="D68:D99">
      <formula1>0</formula1>
      <formula2>1000000.0</formula2>
    </dataValidation>
    <dataValidation type="textLength" allowBlank="1" showInputMessage="1" showErrorMessage="1" errorTitle="Check this entry" error="Text up to 80 characters." promptTitle="Process" prompt="Text up to 80 characters." sqref="B76:B96">
      <formula1>0</formula1>
      <formula2>80</formula2>
    </dataValidation>
    <dataValidation type="textLength" allowBlank="1" showInputMessage="1" showErrorMessage="1" errorTitle="Check this entry" error="Text up to 60 characters." promptTitle="Supplier" prompt="Text up to 60 characters." sqref="C76:C96">
      <formula1>0</formula1>
      <formula2>60</formula2>
    </dataValidation>
    <dataValidation type="decimal" allowBlank="1" showInputMessage="1" showErrorMessage="1" errorTitle="Check this entry" error="Enter a number from 0 to 1,000,000." promptTitle="Price per part" prompt="Enter a number from 0 to 1,000,000." sqref="D76:D96">
      <formula1>0</formula1>
      <formula2>1000000.0</formula2>
    </dataValidation>
    <dataValidation type="decimal" allowBlank="1" showInputMessage="1" showErrorMessage="1" errorTitle="Check this entry" error="Enter a number from 0 to 10,000,000." promptTitle="Lot charge" prompt="The supplier's minimum charge per lot. You pay the larger of this and price x quantity. Enter a number from 0 to 10,000,000." sqref="E76:E96">
      <formula1>0</formula1>
      <formula2>10000000.0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D80">
      <formula1>1</formula1>
      <formula2>10000000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E80">
      <formula1>1</formula1>
      <formula2>10000000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F80">
      <formula1>1</formula1>
      <formula2>10000000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G80">
      <formula1>1</formula1>
      <formula2>10000000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H80">
      <formula1>1</formula1>
      <formula2>10000000</formula2>
    </dataValidation>
  </dataValidations>
  <hyperlinks>
    <hyperlink ref="L2" r:id="rId1" tooltip="Free manufacturing calculators and templates"/>
  </hyperlinks>
  <pageMargins left="0.4" right="0.4" top="0.7" bottom="0.65" header="0.3" footer="0.3"/>
  <pageSetup fitToHeight="0" orientation="landscape"/>
  <headerFooter>
    <oddHeader>&amp;L&amp;8MFG Calcs - Sheet Metal Part Cost Estimator&amp;R&amp;8&amp;A</oddHeader>
    <oddFooter>&amp;L&amp;8mfgcalcs.com - free manufacturing templates&amp;R&amp;8Page &amp;P of &amp;N</oddFooter>
  </headerFooter>
  <rowBreaks count="2" manualBreakCount="2">
    <brk id="35" max="16383" man="1"/>
    <brk id="76" max="16383" man="1"/>
  </rowBreaks>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47"/>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202</v>
      </c>
      <c r="C4" s="45">
        <v>250</v>
      </c>
    </row>
    <row r="5" spans="1:12" x14ac:dyDescent="0.25">
      <c r="B5" s="55" t="str">
        <f>"Showing "&amp;TEXT(INDEX(Estimate!$D$80:$H$80,SelIdx),"#,##0")&amp;" parts of "&amp;PartNo&amp;", "&amp;TEXT(Thick,"0.0##")&amp;" "&amp;DimUnit&amp;" "&amp;Material&amp;". Pick another quantity in the yellow cell."</f>
        <v>Showing 250 parts of LE-BRK-0217, 2.0 mm Cold-rolled steel. Pick another quantity in the yellow cell.</v>
      </c>
      <c r="C5" s="55"/>
      <c r="D5" s="55"/>
      <c r="E5" s="55"/>
      <c r="F5" s="55"/>
      <c r="G5" s="55"/>
      <c r="H5" s="55"/>
      <c r="I5" s="55"/>
      <c r="J5" s="55"/>
      <c r="K5" s="55"/>
      <c r="L5" s="55"/>
    </row>
    <row r="7" spans="1:12" ht="18" customHeight="1" x14ac:dyDescent="0.25">
      <c r="B7" s="56" t="str">
        <f>"UNIT PRICE ("&amp;Currency&amp;"/PART)"</f>
        <v>UNIT PRICE (USD/PART)</v>
      </c>
      <c r="C7" s="56"/>
      <c r="D7" s="56" t="str">
        <f>"COST PER PART ("&amp;Currency&amp;")"</f>
        <v>COST PER PART (USD)</v>
      </c>
      <c r="E7" s="56"/>
      <c r="F7" s="56"/>
      <c r="G7" s="56" t="s">
        <v>203</v>
      </c>
      <c r="H7" s="56"/>
      <c r="I7" s="56"/>
      <c r="J7" s="56" t="s">
        <v>204</v>
      </c>
      <c r="K7" s="56"/>
      <c r="L7" s="56"/>
    </row>
    <row r="8" spans="1:12" ht="21" customHeight="1" x14ac:dyDescent="0.25">
      <c r="B8" s="57">
        <f>INDEX(Estimate!$D$91:$H$91,SelIdx)</f>
        <v>7.97</v>
      </c>
      <c r="C8" s="57"/>
      <c r="D8" s="57">
        <f>INDEX(Estimate!$D$90:$H$90,SelIdx)</f>
        <v>6.21169673555556</v>
      </c>
      <c r="E8" s="57"/>
      <c r="F8" s="57"/>
      <c r="G8" s="58">
        <f>INDEX(Estimate!$D$93:$H$93,SelIdx)</f>
        <v>0.220615215112226</v>
      </c>
      <c r="H8" s="58"/>
      <c r="I8" s="58"/>
      <c r="J8" s="59">
        <f>PPS</f>
        <v>42</v>
      </c>
      <c r="K8" s="59"/>
      <c r="L8" s="59"/>
    </row>
    <row r="9" spans="1:12" ht="21" customHeight="1" x14ac:dyDescent="0.25">
      <c r="B9" s="57"/>
      <c r="C9" s="57"/>
      <c r="D9" s="57"/>
      <c r="E9" s="57"/>
      <c r="F9" s="57"/>
      <c r="G9" s="58"/>
      <c r="H9" s="58"/>
      <c r="I9" s="58"/>
      <c r="J9" s="59"/>
      <c r="K9" s="59"/>
      <c r="L9" s="59"/>
    </row>
    <row r="10" spans="1:12" x14ac:dyDescent="0.25">
      <c r="B10" s="60" t="s">
        <v>205</v>
      </c>
      <c r="C10" s="60"/>
      <c r="D10" s="60" t="s">
        <v>206</v>
      </c>
      <c r="E10" s="60"/>
      <c r="F10" s="60"/>
      <c r="G10" s="61">
        <f>Margin</f>
        <v>0.22</v>
      </c>
      <c r="H10" s="61"/>
      <c r="I10" s="61"/>
      <c r="J10" s="60" t="str">
        <f>"Sheet yield "&amp;TEXT(SheetYield,"0.0%")&amp;", "&amp;INDEX(Estimate!$D$82:$H$82,SelIdx)&amp;" sheets"</f>
        <v>Sheet yield 78.0%, 7 sheets</v>
      </c>
      <c r="K10" s="60"/>
      <c r="L10" s="60"/>
    </row>
    <row r="11" spans="1:12" ht="18" customHeight="1" x14ac:dyDescent="0.25">
      <c r="B11" s="62"/>
      <c r="C11" s="62"/>
      <c r="D11" s="62"/>
      <c r="E11" s="62"/>
      <c r="F11" s="62"/>
      <c r="G11" s="62" t="str">
        <f>IF(NOT(ISNUMBER(KpiMargin)),"No data",IF(KpiMargin&gt;=(Margin),"On target",IF(KpiMargin&gt;=(Margin)*(1-0.02),"Near target","Below target")))</f>
        <v>On target</v>
      </c>
      <c r="H11" s="62"/>
      <c r="I11" s="62"/>
      <c r="J11" s="62"/>
      <c r="K11" s="62"/>
      <c r="L11" s="62"/>
    </row>
    <row r="30" spans="2:8" x14ac:dyDescent="0.25">
      <c r="B30" s="31" t="s">
        <v>207</v>
      </c>
      <c r="C30" s="31"/>
      <c r="D30" s="31"/>
      <c r="E30" s="31"/>
      <c r="F30" s="31"/>
      <c r="G30" s="31"/>
      <c r="H30" s="31"/>
    </row>
    <row r="31" spans="2:8" ht="20" customHeight="1" x14ac:dyDescent="0.25">
      <c r="B31" s="50" t="s">
        <v>208</v>
      </c>
      <c r="C31" s="33" t="s">
        <v>209</v>
      </c>
      <c r="D31" s="33"/>
      <c r="E31" s="33" t="s">
        <v>210</v>
      </c>
      <c r="F31" s="33"/>
      <c r="G31" s="33" t="s">
        <v>211</v>
      </c>
      <c r="H31" s="33"/>
    </row>
    <row r="32" spans="2:8" ht="14" customHeight="1" x14ac:dyDescent="0.25">
      <c r="B32" s="32"/>
      <c r="C32" s="32" t="str">
        <f>Currency&amp;"/part"</f>
        <v>USD/part</v>
      </c>
      <c r="D32" s="32"/>
      <c r="E32" s="32" t="s">
        <v>145</v>
      </c>
      <c r="F32" s="32"/>
      <c r="G32" s="32" t="str">
        <f>Currency</f>
        <v>USD</v>
      </c>
      <c r="H32" s="32"/>
    </row>
    <row r="33" spans="2:9" x14ac:dyDescent="0.25">
      <c r="B33" s="63" t="s">
        <v>212</v>
      </c>
      <c r="C33" s="41">
        <f>CHOOSE(1,INDEX(Estimate!$D$83:$H$83,SelIdx),INDEX(Estimate!$D$84:$H$84,SelIdx),INDEX(Estimate!$D$85:$H$85,SelIdx),INDEX(Estimate!$D$86:$H$86,SelIdx),INDEX(Estimate!$D$87:$H$87,SelIdx),INDEX(Estimate!$D$88:$H$88,SelIdx),INDEX(Estimate!$D$89:$H$89,SelIdx))</f>
        <v>1.7061975</v>
      </c>
      <c r="D33" s="41"/>
      <c r="E33" s="40">
        <f>IF((INDEX(Estimate!$D$90:$H$90,SelIdx))=0,"",($C$33)/(INDEX(Estimate!$D$90:$H$90,SelIdx)))</f>
        <v>0.274674951568994</v>
      </c>
      <c r="F33" s="40"/>
      <c r="G33" s="38">
        <f>$C$33*INDEX(Estimate!$D$80:$H$80,SelIdx)</f>
        <v>426.549375</v>
      </c>
      <c r="H33" s="38"/>
    </row>
    <row r="34" spans="2:9" x14ac:dyDescent="0.25">
      <c r="B34" s="63" t="s">
        <v>153</v>
      </c>
      <c r="C34" s="41">
        <f>CHOOSE(2,INDEX(Estimate!$D$83:$H$83,SelIdx),INDEX(Estimate!$D$84:$H$84,SelIdx),INDEX(Estimate!$D$85:$H$85,SelIdx),INDEX(Estimate!$D$86:$H$86,SelIdx),INDEX(Estimate!$D$87:$H$87,SelIdx),INDEX(Estimate!$D$88:$H$88,SelIdx),INDEX(Estimate!$D$89:$H$89,SelIdx))</f>
        <v>1.14863542857143</v>
      </c>
      <c r="D34" s="41"/>
      <c r="E34" s="40">
        <f>IF((INDEX(Estimate!$D$90:$H$90,SelIdx))=0,"",($C$34)/(INDEX(Estimate!$D$90:$H$90,SelIdx)))</f>
        <v>0.184914923807641</v>
      </c>
      <c r="F34" s="40"/>
      <c r="G34" s="38">
        <f>$C$34*INDEX(Estimate!$D$80:$H$80,SelIdx)</f>
        <v>287.158857142857</v>
      </c>
      <c r="H34" s="38"/>
    </row>
    <row r="35" spans="2:9" x14ac:dyDescent="0.25">
      <c r="B35" s="63" t="s">
        <v>213</v>
      </c>
      <c r="C35" s="41">
        <f>CHOOSE(3,INDEX(Estimate!$D$83:$H$83,SelIdx),INDEX(Estimate!$D$84:$H$84,SelIdx),INDEX(Estimate!$D$85:$H$85,SelIdx),INDEX(Estimate!$D$86:$H$86,SelIdx),INDEX(Estimate!$D$87:$H$87,SelIdx),INDEX(Estimate!$D$88:$H$88,SelIdx),INDEX(Estimate!$D$89:$H$89,SelIdx))</f>
        <v>1.42648888888889</v>
      </c>
      <c r="D35" s="41"/>
      <c r="E35" s="40">
        <f>IF((INDEX(Estimate!$D$90:$H$90,SelIdx))=0,"",($C$35)/(INDEX(Estimate!$D$90:$H$90,SelIdx)))</f>
        <v>0.229645610469634</v>
      </c>
      <c r="F35" s="40"/>
      <c r="G35" s="38">
        <f>$C$35*INDEX(Estimate!$D$80:$H$80,SelIdx)</f>
        <v>356.622222222222</v>
      </c>
      <c r="H35" s="38"/>
    </row>
    <row r="36" spans="2:9" x14ac:dyDescent="0.25">
      <c r="B36" s="63" t="s">
        <v>193</v>
      </c>
      <c r="C36" s="41">
        <f>CHOOSE(4,INDEX(Estimate!$D$83:$H$83,SelIdx),INDEX(Estimate!$D$84:$H$84,SelIdx),INDEX(Estimate!$D$85:$H$85,SelIdx),INDEX(Estimate!$D$86:$H$86,SelIdx),INDEX(Estimate!$D$87:$H$87,SelIdx),INDEX(Estimate!$D$88:$H$88,SelIdx),INDEX(Estimate!$D$89:$H$89,SelIdx))</f>
        <v>0.14336</v>
      </c>
      <c r="D36" s="41"/>
      <c r="E36" s="40">
        <f>IF((INDEX(Estimate!$D$90:$H$90,SelIdx))=0,"",($C$36)/(INDEX(Estimate!$D$90:$H$90,SelIdx)))</f>
        <v>0.0230790404140968</v>
      </c>
      <c r="F36" s="40"/>
      <c r="G36" s="38">
        <f>$C$36*INDEX(Estimate!$D$80:$H$80,SelIdx)</f>
        <v>35.84</v>
      </c>
      <c r="H36" s="38"/>
    </row>
    <row r="37" spans="2:9" x14ac:dyDescent="0.25">
      <c r="B37" s="63" t="s">
        <v>19</v>
      </c>
      <c r="C37" s="41">
        <f>CHOOSE(5,INDEX(Estimate!$D$83:$H$83,SelIdx),INDEX(Estimate!$D$84:$H$84,SelIdx),INDEX(Estimate!$D$85:$H$85,SelIdx),INDEX(Estimate!$D$86:$H$86,SelIdx),INDEX(Estimate!$D$87:$H$87,SelIdx),INDEX(Estimate!$D$88:$H$88,SelIdx),INDEX(Estimate!$D$89:$H$89,SelIdx))</f>
        <v>0.5</v>
      </c>
      <c r="D37" s="41"/>
      <c r="E37" s="40">
        <f>IF((INDEX(Estimate!$D$90:$H$90,SelIdx))=0,"",($C$37)/(INDEX(Estimate!$D$90:$H$90,SelIdx)))</f>
        <v>0.0804933050156837</v>
      </c>
      <c r="F37" s="40"/>
      <c r="G37" s="38">
        <f>$C$37*INDEX(Estimate!$D$80:$H$80,SelIdx)</f>
        <v>125</v>
      </c>
      <c r="H37" s="38"/>
    </row>
    <row r="38" spans="2:9" x14ac:dyDescent="0.25">
      <c r="B38" s="63" t="s">
        <v>214</v>
      </c>
      <c r="C38" s="41">
        <f>CHOOSE(6,INDEX(Estimate!$D$83:$H$83,SelIdx),INDEX(Estimate!$D$84:$H$84,SelIdx),INDEX(Estimate!$D$85:$H$85,SelIdx),INDEX(Estimate!$D$86:$H$86,SelIdx),INDEX(Estimate!$D$87:$H$87,SelIdx),INDEX(Estimate!$D$88:$H$88,SelIdx),INDEX(Estimate!$D$89:$H$89,SelIdx))</f>
        <v>0.918</v>
      </c>
      <c r="D38" s="41"/>
      <c r="E38" s="40">
        <f>IF((INDEX(Estimate!$D$90:$H$90,SelIdx))=0,"",($C$38)/(INDEX(Estimate!$D$90:$H$90,SelIdx)))</f>
        <v>0.147785708008795</v>
      </c>
      <c r="F38" s="40"/>
      <c r="G38" s="38">
        <f>$C$38*INDEX(Estimate!$D$80:$H$80,SelIdx)</f>
        <v>229.5</v>
      </c>
      <c r="H38" s="38"/>
    </row>
    <row r="39" spans="2:9" x14ac:dyDescent="0.25">
      <c r="B39" s="63" t="s">
        <v>196</v>
      </c>
      <c r="C39" s="41">
        <f>CHOOSE(7,INDEX(Estimate!$D$83:$H$83,SelIdx),INDEX(Estimate!$D$84:$H$84,SelIdx),INDEX(Estimate!$D$85:$H$85,SelIdx),INDEX(Estimate!$D$86:$H$86,SelIdx),INDEX(Estimate!$D$87:$H$87,SelIdx),INDEX(Estimate!$D$88:$H$88,SelIdx),INDEX(Estimate!$D$89:$H$89,SelIdx))</f>
        <v>0.369014918095238</v>
      </c>
      <c r="D39" s="41"/>
      <c r="E39" s="40">
        <f>IF((INDEX(Estimate!$D$90:$H$90,SelIdx))=0,"",($C$39)/(INDEX(Estimate!$D$90:$H$90,SelIdx)))</f>
        <v>0.0594064607151551</v>
      </c>
      <c r="F39" s="40"/>
      <c r="G39" s="38">
        <f>$C$39*INDEX(Estimate!$D$80:$H$80,SelIdx)</f>
        <v>92.2537295238095</v>
      </c>
      <c r="H39" s="38"/>
    </row>
    <row r="41" spans="2:9" x14ac:dyDescent="0.25">
      <c r="B41" s="50" t="s">
        <v>215</v>
      </c>
      <c r="C41" s="50"/>
      <c r="D41" s="33" t="s">
        <v>187</v>
      </c>
      <c r="E41" s="64">
        <f>INDEX(Estimate!$D$80:$H$80,1)</f>
        <v>25</v>
      </c>
      <c r="F41" s="64">
        <f>INDEX(Estimate!$D$80:$H$80,2)</f>
        <v>100</v>
      </c>
      <c r="G41" s="64">
        <f>INDEX(Estimate!$D$80:$H$80,3)</f>
        <v>250</v>
      </c>
      <c r="H41" s="64">
        <f>INDEX(Estimate!$D$80:$H$80,4)</f>
        <v>500</v>
      </c>
      <c r="I41" s="64">
        <f>INDEX(Estimate!$D$80:$H$80,5)</f>
        <v>1000</v>
      </c>
    </row>
    <row r="42" spans="2:9" x14ac:dyDescent="0.25">
      <c r="B42" s="27" t="s">
        <v>216</v>
      </c>
      <c r="C42" s="27"/>
      <c r="D42" s="7" t="s">
        <v>141</v>
      </c>
      <c r="E42" s="38">
        <f>Estimate!$D$80</f>
        <v>25</v>
      </c>
      <c r="F42" s="38">
        <f>Estimate!$E$80</f>
        <v>100</v>
      </c>
      <c r="G42" s="38">
        <f>Estimate!$F$80</f>
        <v>250</v>
      </c>
      <c r="H42" s="38">
        <f>Estimate!$G$80</f>
        <v>500</v>
      </c>
      <c r="I42" s="38">
        <f>Estimate!$H$80</f>
        <v>1000</v>
      </c>
    </row>
    <row r="43" spans="2:9" x14ac:dyDescent="0.25">
      <c r="B43" s="27" t="s">
        <v>212</v>
      </c>
      <c r="C43" s="27"/>
      <c r="D43" s="7" t="str">
        <f>Currency&amp;"/part"</f>
        <v>USD/part</v>
      </c>
      <c r="E43" s="41">
        <f>Estimate!$D$83</f>
        <v>2.437425</v>
      </c>
      <c r="F43" s="41">
        <f>Estimate!$E$83</f>
        <v>1.82806875</v>
      </c>
      <c r="G43" s="41">
        <f>Estimate!$F$83</f>
        <v>1.7061975</v>
      </c>
      <c r="H43" s="41">
        <f>Estimate!$G$83</f>
        <v>1.58432625</v>
      </c>
      <c r="I43" s="41">
        <f>Estimate!$H$83</f>
        <v>1.523390625</v>
      </c>
    </row>
    <row r="44" spans="2:9" x14ac:dyDescent="0.25">
      <c r="B44" s="27" t="s">
        <v>217</v>
      </c>
      <c r="C44" s="27"/>
      <c r="D44" s="7" t="str">
        <f>Currency&amp;"/part"</f>
        <v>USD/part</v>
      </c>
      <c r="E44" s="41">
        <f>Estimate!$D$84+Estimate!$D$85+Estimate!$D$89</f>
        <v>3.52920391111111</v>
      </c>
      <c r="F44" s="41">
        <f>Estimate!$E$84+Estimate!$E$85+Estimate!$E$89</f>
        <v>3.05103848888889</v>
      </c>
      <c r="G44" s="41">
        <f>Estimate!$F$84+Estimate!$F$85+Estimate!$F$89</f>
        <v>2.94413923555556</v>
      </c>
      <c r="H44" s="41">
        <f>Estimate!$G$84+Estimate!$G$85+Estimate!$G$89</f>
        <v>2.90850615111111</v>
      </c>
      <c r="I44" s="41">
        <f>Estimate!$H$84+Estimate!$H$85+Estimate!$H$89</f>
        <v>2.89068960888889</v>
      </c>
    </row>
    <row r="45" spans="2:9" x14ac:dyDescent="0.25">
      <c r="B45" s="27" t="s">
        <v>193</v>
      </c>
      <c r="C45" s="27"/>
      <c r="D45" s="7" t="str">
        <f>Currency&amp;"/part"</f>
        <v>USD/part</v>
      </c>
      <c r="E45" s="41">
        <f>Estimate!$D$86</f>
        <v>0.1456</v>
      </c>
      <c r="F45" s="41">
        <f>Estimate!$E$86</f>
        <v>0.1442</v>
      </c>
      <c r="G45" s="41">
        <f>Estimate!$F$86</f>
        <v>0.14336</v>
      </c>
      <c r="H45" s="41">
        <f>Estimate!$G$86</f>
        <v>0.14308</v>
      </c>
      <c r="I45" s="41">
        <f>Estimate!$H$86</f>
        <v>0.14294</v>
      </c>
    </row>
    <row r="46" spans="2:9" x14ac:dyDescent="0.25">
      <c r="B46" s="27" t="s">
        <v>19</v>
      </c>
      <c r="C46" s="27"/>
      <c r="D46" s="7" t="str">
        <f>Currency&amp;"/part"</f>
        <v>USD/part</v>
      </c>
      <c r="E46" s="41">
        <f>Estimate!$D$87</f>
        <v>5</v>
      </c>
      <c r="F46" s="41">
        <f>Estimate!$E$87</f>
        <v>1.25</v>
      </c>
      <c r="G46" s="41">
        <f>Estimate!$F$87</f>
        <v>0.5</v>
      </c>
      <c r="H46" s="41">
        <f>Estimate!$G$87</f>
        <v>0.25</v>
      </c>
      <c r="I46" s="41">
        <f>Estimate!$H$87</f>
        <v>0.125</v>
      </c>
    </row>
    <row r="47" spans="2:9" x14ac:dyDescent="0.25">
      <c r="B47" s="27" t="s">
        <v>218</v>
      </c>
      <c r="C47" s="27"/>
      <c r="D47" s="7" t="str">
        <f>Currency&amp;"/part"</f>
        <v>USD/part</v>
      </c>
      <c r="E47" s="41">
        <f>Estimate!$D$88</f>
        <v>4.104</v>
      </c>
      <c r="F47" s="41">
        <f>Estimate!$E$88</f>
        <v>1.026</v>
      </c>
      <c r="G47" s="41">
        <f>Estimate!$F$88</f>
        <v>0.918</v>
      </c>
      <c r="H47" s="41">
        <f>Estimate!$G$88</f>
        <v>0.918</v>
      </c>
      <c r="I47" s="41">
        <f>Estimate!$H$88</f>
        <v>0.918</v>
      </c>
    </row>
  </sheetData>
  <sheetProtection sheet="1" formatColumns="0" formatRows="0"/>
  <mergeCells count="55">
    <mergeCell ref="A1:L1"/>
    <mergeCell ref="B2:J2"/>
    <mergeCell ref="K2:L2"/>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H30"/>
    <mergeCell ref="C31:D31"/>
    <mergeCell ref="E31:F31"/>
    <mergeCell ref="G31:H31"/>
    <mergeCell ref="C32:D32"/>
    <mergeCell ref="E32:F32"/>
    <mergeCell ref="G32:H32"/>
    <mergeCell ref="C33:D33"/>
    <mergeCell ref="C34:D34"/>
    <mergeCell ref="C35:D35"/>
    <mergeCell ref="C36:D36"/>
    <mergeCell ref="C37:D37"/>
    <mergeCell ref="C38:D38"/>
    <mergeCell ref="C39:D39"/>
    <mergeCell ref="E33:F33"/>
    <mergeCell ref="E34:F34"/>
    <mergeCell ref="E35:F35"/>
    <mergeCell ref="E36:F36"/>
    <mergeCell ref="E37:F37"/>
    <mergeCell ref="E38:F38"/>
    <mergeCell ref="E39:F39"/>
    <mergeCell ref="G33:H33"/>
    <mergeCell ref="G34:H34"/>
    <mergeCell ref="G35:H35"/>
    <mergeCell ref="G36:H36"/>
    <mergeCell ref="G37:H37"/>
    <mergeCell ref="G38:H38"/>
    <mergeCell ref="G39:H39"/>
    <mergeCell ref="B41:C41"/>
    <mergeCell ref="B42:C42"/>
    <mergeCell ref="B43:C43"/>
    <mergeCell ref="B44:C44"/>
    <mergeCell ref="B45:C45"/>
    <mergeCell ref="B46:C46"/>
    <mergeCell ref="B47:C47"/>
  </mergeCells>
  <conditionalFormatting sqref="E33:E39">
    <cfRule type="dataBar" priority="2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dataValidations count="1">
    <dataValidation type="list" allowBlank="1" showInputMessage="1" showErrorMessage="1" errorTitle="Check this entry" error="Pick from the list (edit the list on Setup: BreakList)." promptTitle="Quantity shown" prompt="One of the quantities on the Estimate sheet. The tiles and the cost build-up show this quantity. Pick from the list (edit the list on Setup: BreakList)." sqref="C4">
      <formula1>BreakList</formula1>
    </dataValidation>
  </dataValidations>
  <hyperlinks>
    <hyperlink ref="K2" r:id="rId1" tooltip="Free manufacturing calculators and templates"/>
  </hyperlinks>
  <pageMargins left="0.4" right="0.4" top="0.7" bottom="0.65" header="0.3" footer="0.3"/>
  <pageSetup fitToHeight="0" orientation="landscape"/>
  <headerFooter>
    <oddHeader>&amp;L&amp;8MFG Calcs - Sheet Metal Part Cost Estimator&amp;R&amp;8&amp;A</oddHeader>
    <oddFooter>&amp;L&amp;8mfgcalcs.com - free manufacturing templates&amp;R&amp;8Page &amp;P of &amp;N</oddFooter>
  </headerFooter>
  <rowBreaks count="1" manualBreakCount="1">
    <brk id="29"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E33:E39</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219</v>
      </c>
      <c r="C4" s="8"/>
      <c r="D4" s="8"/>
    </row>
    <row r="5" spans="1:4" ht="5" customHeight="1"/>
    <row r="6" spans="1:4" ht="55.8" customHeight="1">
      <c r="B6" s="10" t="s">
        <v>220</v>
      </c>
      <c r="C6" s="10"/>
      <c r="D6" s="10"/>
    </row>
    <row r="8" spans="1:4" ht="21" customHeight="1">
      <c r="B8" s="8" t="s">
        <v>221</v>
      </c>
      <c r="C8" s="8"/>
      <c r="D8" s="8"/>
    </row>
    <row r="9" spans="1:4" ht="5" customHeight="1"/>
    <row r="10" spans="1:4" ht="20" customHeight="1">
      <c r="B10" s="50" t="s">
        <v>216</v>
      </c>
      <c r="C10" s="50" t="s">
        <v>222</v>
      </c>
      <c r="D10" s="33" t="s">
        <v>223</v>
      </c>
    </row>
    <row r="11" spans="1:4" ht="30.4" customHeight="1">
      <c r="B11" s="65" t="s">
        <v>224</v>
      </c>
      <c r="C11" s="66" t="s">
        <v>225</v>
      </c>
      <c r="D11" s="67" t="s">
        <v>141</v>
      </c>
    </row>
    <row r="12" spans="1:4" ht="17.2" customHeight="1">
      <c r="B12" s="65" t="s">
        <v>226</v>
      </c>
      <c r="C12" s="66" t="s">
        <v>227</v>
      </c>
      <c r="D12" s="67" t="s">
        <v>145</v>
      </c>
    </row>
    <row r="13" spans="1:4" ht="30.4" customHeight="1">
      <c r="B13" s="65" t="s">
        <v>228</v>
      </c>
      <c r="C13" s="66" t="s">
        <v>229</v>
      </c>
      <c r="D13" s="67" t="s">
        <v>230</v>
      </c>
    </row>
    <row r="14" spans="1:4" ht="30.4" customHeight="1">
      <c r="B14" s="65" t="s">
        <v>231</v>
      </c>
      <c r="C14" s="66" t="s">
        <v>232</v>
      </c>
      <c r="D14" s="67" t="s">
        <v>166</v>
      </c>
    </row>
    <row r="15" spans="1:4" ht="30.4" customHeight="1">
      <c r="B15" s="65" t="s">
        <v>233</v>
      </c>
      <c r="C15" s="66" t="s">
        <v>234</v>
      </c>
      <c r="D15" s="67" t="s">
        <v>235</v>
      </c>
    </row>
    <row r="16" spans="1:4" ht="30.4" customHeight="1">
      <c r="B16" s="65" t="s">
        <v>236</v>
      </c>
      <c r="C16" s="66" t="s">
        <v>237</v>
      </c>
      <c r="D16" s="67" t="s">
        <v>238</v>
      </c>
    </row>
    <row r="17" spans="2:4" ht="30.4" customHeight="1">
      <c r="B17" s="65" t="s">
        <v>239</v>
      </c>
      <c r="C17" s="66" t="s">
        <v>240</v>
      </c>
      <c r="D17" s="67" t="s">
        <v>241</v>
      </c>
    </row>
    <row r="18" spans="2:4" ht="30.4" customHeight="1">
      <c r="B18" s="65" t="s">
        <v>218</v>
      </c>
      <c r="C18" s="66" t="s">
        <v>242</v>
      </c>
      <c r="D18" s="67" t="s">
        <v>241</v>
      </c>
    </row>
    <row r="19" spans="2:4" ht="17.2" customHeight="1">
      <c r="B19" s="65" t="s">
        <v>196</v>
      </c>
      <c r="C19" s="66" t="s">
        <v>243</v>
      </c>
      <c r="D19" s="67" t="s">
        <v>241</v>
      </c>
    </row>
    <row r="20" spans="2:4" ht="30.4" customHeight="1">
      <c r="B20" s="65" t="s">
        <v>113</v>
      </c>
      <c r="C20" s="66" t="s">
        <v>244</v>
      </c>
      <c r="D20" s="67" t="s">
        <v>241</v>
      </c>
    </row>
    <row r="21" spans="2:4" ht="17.2" customHeight="1">
      <c r="B21" s="65" t="s">
        <v>201</v>
      </c>
      <c r="C21" s="66" t="s">
        <v>245</v>
      </c>
      <c r="D21" s="67" t="s">
        <v>163</v>
      </c>
    </row>
    <row r="23" spans="2:4" ht="21" customHeight="1">
      <c r="B23" s="8" t="s">
        <v>246</v>
      </c>
      <c r="C23" s="8"/>
      <c r="D23" s="8"/>
    </row>
    <row r="24" spans="2:4" ht="5" customHeight="1"/>
    <row r="25" spans="2:4" ht="29.4" customHeight="1">
      <c r="B25" s="26" t="s">
        <v>55</v>
      </c>
      <c r="C25" s="10" t="s">
        <v>247</v>
      </c>
      <c r="D25" s="10"/>
    </row>
    <row r="26" spans="2:4" ht="29.4" customHeight="1">
      <c r="B26" s="26" t="s">
        <v>55</v>
      </c>
      <c r="C26" s="10" t="s">
        <v>248</v>
      </c>
      <c r="D26" s="10"/>
    </row>
    <row r="27" spans="2:4" ht="29.4" customHeight="1">
      <c r="B27" s="26" t="s">
        <v>55</v>
      </c>
      <c r="C27" s="10" t="s">
        <v>249</v>
      </c>
      <c r="D27" s="10"/>
    </row>
    <row r="28" spans="2:4" ht="29.4" customHeight="1">
      <c r="B28" s="26" t="s">
        <v>55</v>
      </c>
      <c r="C28" s="10" t="s">
        <v>250</v>
      </c>
      <c r="D28" s="10"/>
    </row>
    <row r="30" spans="2:4" ht="21" customHeight="1">
      <c r="B30" s="8" t="s">
        <v>251</v>
      </c>
      <c r="C30" s="8"/>
      <c r="D30" s="8"/>
    </row>
    <row r="31" spans="2:4" ht="5" customHeight="1"/>
    <row r="32" spans="2:4" ht="29.4" customHeight="1">
      <c r="B32" s="26" t="s">
        <v>55</v>
      </c>
      <c r="C32" s="10" t="s">
        <v>252</v>
      </c>
      <c r="D32" s="10"/>
    </row>
    <row r="33" spans="2:4" ht="16.2" customHeight="1">
      <c r="B33" s="26" t="s">
        <v>55</v>
      </c>
      <c r="C33" s="10" t="s">
        <v>253</v>
      </c>
      <c r="D33" s="10"/>
    </row>
    <row r="34" spans="2:4" ht="16.2" customHeight="1">
      <c r="B34" s="26" t="s">
        <v>55</v>
      </c>
      <c r="C34" s="10" t="s">
        <v>254</v>
      </c>
      <c r="D34" s="10"/>
    </row>
    <row r="35" spans="2:4" ht="16.2" customHeight="1">
      <c r="B35" s="26" t="s">
        <v>55</v>
      </c>
      <c r="C35" s="10" t="s">
        <v>255</v>
      </c>
      <c r="D35" s="10"/>
    </row>
    <row r="37" spans="2:4" ht="21" customHeight="1">
      <c r="B37" s="8" t="s">
        <v>256</v>
      </c>
      <c r="C37" s="8"/>
      <c r="D37" s="8"/>
    </row>
    <row r="38" spans="2:4" ht="5" customHeight="1"/>
    <row r="39" spans="2:4" ht="55.8" customHeight="1">
      <c r="B39" s="10" t="s">
        <v>257</v>
      </c>
      <c r="C39" s="10"/>
      <c r="D39" s="10"/>
    </row>
    <row r="40" spans="2:4">
      <c r="B40" s="24" t="s">
        <v>258</v>
      </c>
      <c r="C40" s="24"/>
      <c r="D40" s="24"/>
    </row>
    <row r="42" spans="2:4" ht="21" customHeight="1">
      <c r="B42" s="8" t="s">
        <v>42</v>
      </c>
      <c r="C42" s="8"/>
      <c r="D42" s="8"/>
    </row>
    <row r="43" spans="2:4" ht="5" customHeight="1"/>
    <row r="44" spans="2:4" ht="42.6" customHeight="1">
      <c r="B44" s="10" t="s">
        <v>259</v>
      </c>
      <c r="C44" s="10"/>
      <c r="D44" s="10"/>
    </row>
    <row r="46" spans="2:4" ht="21" customHeight="1">
      <c r="B46" s="8" t="s">
        <v>260</v>
      </c>
      <c r="C46" s="8"/>
      <c r="D46" s="8"/>
    </row>
    <row r="47" spans="2:4" ht="5" customHeight="1"/>
    <row r="48" spans="2:4" ht="29.4" customHeight="1">
      <c r="B48" s="26" t="s">
        <v>55</v>
      </c>
      <c r="C48" s="10" t="s">
        <v>261</v>
      </c>
      <c r="D48" s="10"/>
    </row>
    <row r="49" spans="2:4" ht="29.4" customHeight="1">
      <c r="B49" s="26" t="s">
        <v>55</v>
      </c>
      <c r="C49" s="10" t="s">
        <v>262</v>
      </c>
      <c r="D49" s="10"/>
    </row>
    <row r="50" spans="2:4" ht="29.4" customHeight="1">
      <c r="B50" s="26" t="s">
        <v>55</v>
      </c>
      <c r="C50" s="10" t="s">
        <v>263</v>
      </c>
      <c r="D50" s="10"/>
    </row>
    <row r="51" spans="2:4">
      <c r="B51" s="21" t="s">
        <v>264</v>
      </c>
      <c r="C51" s="21"/>
      <c r="D51" s="21"/>
    </row>
    <row r="53" spans="2:4" ht="21" customHeight="1">
      <c r="B53" s="8" t="s">
        <v>265</v>
      </c>
      <c r="C53" s="8"/>
      <c r="D53" s="8"/>
    </row>
    <row r="54" spans="2:4" ht="5" customHeight="1"/>
    <row r="55" spans="2:4">
      <c r="B55" s="50" t="s">
        <v>50</v>
      </c>
      <c r="C55" s="50" t="s">
        <v>266</v>
      </c>
      <c r="D55" s="33" t="s">
        <v>127</v>
      </c>
    </row>
    <row r="56" spans="2:4" ht="16.2" customHeight="1">
      <c r="B56" s="68" t="s">
        <v>267</v>
      </c>
      <c r="C56" s="69" t="s">
        <v>268</v>
      </c>
      <c r="D56" s="70" t="s">
        <v>269</v>
      </c>
    </row>
    <row r="58" spans="2:4">
      <c r="B58" s="21" t="s">
        <v>61</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Sheet Metal Part Cost Estimator&amp;R&amp;8&amp;A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L115"/>
  <sheetViews>
    <sheetView showGridLines="0" workbookViewId="0"/>
  </sheetViews>
  <sheetFormatPr defaultRowHeight="15"/>
  <cols>
    <col min="1" max="1" width="2.7109375" customWidth="1"/>
    <col min="2" max="19" width="12.7109375" customWidth="1"/>
  </cols>
  <sheetData>
    <row r="1" spans="1:12" ht="30" customHeight="1">
      <c r="A1" s="1" t="s">
        <v>0</v>
      </c>
      <c r="B1" s="1"/>
      <c r="C1" s="1"/>
      <c r="D1" s="1"/>
      <c r="E1" s="1"/>
      <c r="F1" s="1"/>
      <c r="G1" s="1"/>
      <c r="H1" s="1"/>
      <c r="I1" s="1"/>
      <c r="J1" s="1"/>
      <c r="K1" s="1"/>
      <c r="L1" s="1"/>
    </row>
    <row r="2" spans="1:12" ht="21" customHeight="1">
      <c r="B2" s="2" t="s">
        <v>28</v>
      </c>
      <c r="C2" s="2"/>
      <c r="D2" s="2"/>
      <c r="E2" s="2"/>
      <c r="F2" s="2"/>
      <c r="G2" s="2"/>
      <c r="H2" s="2"/>
      <c r="I2" s="2"/>
      <c r="J2" s="2"/>
      <c r="K2" s="2"/>
      <c r="L2" s="3" t="s">
        <v>2</v>
      </c>
    </row>
    <row r="3" spans="1:12" ht="6" customHeight="1"/>
    <row r="4" spans="1:12" ht="30" customHeight="1">
      <c r="B4" s="71" t="s">
        <v>270</v>
      </c>
      <c r="C4" s="71"/>
      <c r="D4" s="22" t="str">
        <f>IF(COUNTIF($K$11:$K$26,"PASS")=16,"PASS","FAIL")</f>
        <v>PASS</v>
      </c>
      <c r="E4" s="22"/>
      <c r="F4" s="23" t="str">
        <f>COUNTIF($K$11:$K$26,"PASS")&amp;" of 16 checks pass"</f>
        <v>16 of 16 checks pass</v>
      </c>
      <c r="G4" s="23"/>
      <c r="H4" s="23"/>
      <c r="I4" s="23"/>
      <c r="J4" s="23"/>
    </row>
    <row r="6" spans="1:12" ht="29.4" customHeight="1">
      <c r="B6" s="10" t="s">
        <v>271</v>
      </c>
      <c r="C6" s="10"/>
      <c r="D6" s="10"/>
      <c r="E6" s="10"/>
      <c r="F6" s="10"/>
      <c r="G6" s="10"/>
      <c r="H6" s="10"/>
      <c r="I6" s="10"/>
      <c r="J6" s="10"/>
      <c r="K6" s="10"/>
      <c r="L6" s="10"/>
    </row>
    <row r="8" spans="1:12" ht="21" customHeight="1">
      <c r="B8" s="8" t="s">
        <v>272</v>
      </c>
      <c r="C8" s="8"/>
      <c r="D8" s="8"/>
      <c r="E8" s="8"/>
      <c r="F8" s="8"/>
      <c r="G8" s="8"/>
      <c r="H8" s="8"/>
      <c r="I8" s="8"/>
      <c r="J8" s="8"/>
      <c r="K8" s="8"/>
      <c r="L8" s="8"/>
    </row>
    <row r="9" spans="1:12" ht="5" customHeight="1"/>
    <row r="10" spans="1:12" ht="30" customHeight="1">
      <c r="B10" s="33" t="s">
        <v>273</v>
      </c>
      <c r="C10" s="50" t="s">
        <v>110</v>
      </c>
      <c r="D10" s="50"/>
      <c r="E10" s="50"/>
      <c r="F10" s="50"/>
      <c r="G10" s="33" t="s">
        <v>274</v>
      </c>
      <c r="H10" s="33" t="s">
        <v>275</v>
      </c>
      <c r="I10" s="33" t="s">
        <v>276</v>
      </c>
      <c r="J10" s="33" t="s">
        <v>277</v>
      </c>
      <c r="K10" s="33" t="s">
        <v>278</v>
      </c>
    </row>
    <row r="11" spans="1:12" ht="16.2" customHeight="1">
      <c r="B11" s="64">
        <v>1</v>
      </c>
      <c r="C11" s="69" t="s">
        <v>140</v>
      </c>
      <c r="D11" s="69"/>
      <c r="E11" s="69"/>
      <c r="F11" s="69"/>
      <c r="G11" s="72">
        <v>42</v>
      </c>
      <c r="H11" s="38">
        <f>$E$67</f>
        <v>42</v>
      </c>
      <c r="I11" s="73">
        <f>IF(AND(ISNUMBER($G$11),ISNUMBER($H$11)),ABS($H$11-$G$11),"")</f>
        <v>0</v>
      </c>
      <c r="J11" s="74">
        <v>1E-09</v>
      </c>
      <c r="K11" s="75" t="str">
        <f>IF(AND(ISNUMBER($G$11),ISNUMBER($H$11)),IF(ABS($H$11-$G$11)&lt;=$J$11,"PASS","FAIL"),"FAIL")</f>
        <v>PASS</v>
      </c>
    </row>
    <row r="12" spans="1:12" ht="16.2" customHeight="1">
      <c r="B12" s="64">
        <v>2</v>
      </c>
      <c r="C12" s="69" t="s">
        <v>279</v>
      </c>
      <c r="D12" s="69"/>
      <c r="E12" s="69"/>
      <c r="F12" s="69"/>
      <c r="G12" s="72">
        <v>36</v>
      </c>
      <c r="H12" s="38">
        <f>$E$68</f>
        <v>36</v>
      </c>
      <c r="I12" s="73">
        <f>IF(AND(ISNUMBER($G$12),ISNUMBER($H$12)),ABS($H$12-$G$12),"")</f>
        <v>0</v>
      </c>
      <c r="J12" s="74">
        <v>1E-09</v>
      </c>
      <c r="K12" s="75" t="str">
        <f>IF(AND(ISNUMBER($G$12),ISNUMBER($H$12)),IF(ABS($H$12-$G$12)&lt;=$J$12,"PASS","FAIL"),"FAIL")</f>
        <v>PASS</v>
      </c>
    </row>
    <row r="13" spans="1:12" ht="16.2" customHeight="1">
      <c r="B13" s="64">
        <v>3</v>
      </c>
      <c r="C13" s="69" t="s">
        <v>226</v>
      </c>
      <c r="D13" s="69"/>
      <c r="E13" s="69"/>
      <c r="F13" s="69"/>
      <c r="G13" s="76">
        <v>0.77995008</v>
      </c>
      <c r="H13" s="77">
        <f>$E$70</f>
        <v>0.77995008</v>
      </c>
      <c r="I13" s="73">
        <f>IF(AND(ISNUMBER($G$13),ISNUMBER($H$13)),ABS($H$13-$G$13),"")</f>
        <v>0</v>
      </c>
      <c r="J13" s="74">
        <v>1E-09</v>
      </c>
      <c r="K13" s="75" t="str">
        <f>IF(AND(ISNUMBER($G$13),ISNUMBER($H$13)),IF(ABS($H$13-$G$13)&lt;=$J$13,"PASS","FAIL"),"FAIL")</f>
        <v>PASS</v>
      </c>
    </row>
    <row r="14" spans="1:12" ht="16.2" customHeight="1">
      <c r="B14" s="64">
        <v>4</v>
      </c>
      <c r="C14" s="69" t="s">
        <v>151</v>
      </c>
      <c r="D14" s="69"/>
      <c r="E14" s="69"/>
      <c r="F14" s="69"/>
      <c r="G14" s="78">
        <v>56.42187499999999</v>
      </c>
      <c r="H14" s="47">
        <f>$E$75</f>
        <v>56.421875</v>
      </c>
      <c r="I14" s="73">
        <f>IF(AND(ISNUMBER($G$14),ISNUMBER($H$14)),ABS($H$14-$G$14),"")</f>
        <v>0</v>
      </c>
      <c r="J14" s="74">
        <v>1E-09</v>
      </c>
      <c r="K14" s="75" t="str">
        <f>IF(AND(ISNUMBER($G$14),ISNUMBER($H$14)),IF(ABS($H$14-$G$14)&lt;=$J$14,"PASS","FAIL"),"FAIL")</f>
        <v>PASS</v>
      </c>
    </row>
    <row r="15" spans="1:12" ht="16.2" customHeight="1">
      <c r="B15" s="64">
        <v>5</v>
      </c>
      <c r="C15" s="69" t="s">
        <v>280</v>
      </c>
      <c r="D15" s="69"/>
      <c r="E15" s="69"/>
      <c r="F15" s="69"/>
      <c r="G15" s="79">
        <v>0.5608571428571429</v>
      </c>
      <c r="H15" s="80">
        <f>$E$87</f>
        <v>0.560857142857143</v>
      </c>
      <c r="I15" s="73">
        <f>IF(AND(ISNUMBER($G$15),ISNUMBER($H$15)),ABS($H$15-$G$15),"")</f>
        <v>0</v>
      </c>
      <c r="J15" s="74">
        <v>1E-09</v>
      </c>
      <c r="K15" s="75" t="str">
        <f>IF(AND(ISNUMBER($G$15),ISNUMBER($H$15)),IF(ABS($H$15-$G$15)&lt;=$J$15,"PASS","FAIL"),"FAIL")</f>
        <v>PASS</v>
      </c>
    </row>
    <row r="16" spans="1:12" ht="16.2" customHeight="1">
      <c r="B16" s="64">
        <v>6</v>
      </c>
      <c r="C16" s="69" t="s">
        <v>281</v>
      </c>
      <c r="D16" s="69"/>
      <c r="E16" s="69"/>
      <c r="F16" s="69"/>
      <c r="G16" s="79">
        <v>0.7</v>
      </c>
      <c r="H16" s="80">
        <f>$I$41</f>
        <v>0.7</v>
      </c>
      <c r="I16" s="73">
        <f>IF(AND(ISNUMBER($G$16),ISNUMBER($H$16)),ABS($H$16-$G$16),"")</f>
        <v>0</v>
      </c>
      <c r="J16" s="74">
        <v>1E-09</v>
      </c>
      <c r="K16" s="75" t="str">
        <f>IF(AND(ISNUMBER($G$16),ISNUMBER($H$16)),IF(ABS($H$16-$G$16)&lt;=$J$16,"PASS","FAIL"),"FAIL")</f>
        <v>PASS</v>
      </c>
    </row>
    <row r="17" spans="2:12" ht="16.2" customHeight="1">
      <c r="B17" s="64">
        <v>7</v>
      </c>
      <c r="C17" s="69" t="s">
        <v>282</v>
      </c>
      <c r="D17" s="69"/>
      <c r="E17" s="69"/>
      <c r="F17" s="69"/>
      <c r="G17" s="68" t="s">
        <v>283</v>
      </c>
      <c r="H17" s="44" t="str">
        <f>$L$44</f>
        <v>Enter a time</v>
      </c>
      <c r="I17" s="44"/>
      <c r="J17" s="70" t="s">
        <v>284</v>
      </c>
      <c r="K17" s="75" t="str">
        <f>IF($H$17&amp;""=$G$17&amp;"","PASS","FAIL")</f>
        <v>PASS</v>
      </c>
    </row>
    <row r="18" spans="2:12" ht="16.2" customHeight="1">
      <c r="B18" s="64">
        <v>8</v>
      </c>
      <c r="C18" s="69" t="s">
        <v>285</v>
      </c>
      <c r="D18" s="69"/>
      <c r="E18" s="69"/>
      <c r="F18" s="69"/>
      <c r="G18" s="72">
        <v>1</v>
      </c>
      <c r="H18" s="38">
        <f>$F$103</f>
        <v>1</v>
      </c>
      <c r="I18" s="73">
        <f>IF(AND(ISNUMBER($G$18),ISNUMBER($H$18)),ABS($H$18-$G$18),"")</f>
        <v>0</v>
      </c>
      <c r="J18" s="74">
        <v>1E-09</v>
      </c>
      <c r="K18" s="75" t="str">
        <f>IF(AND(ISNUMBER($G$18),ISNUMBER($H$18)),IF(ABS($H$18-$G$18)&lt;=$J$18,"PASS","FAIL"),"FAIL")</f>
        <v>PASS</v>
      </c>
    </row>
    <row r="19" spans="2:12" ht="16.2" customHeight="1">
      <c r="B19" s="64">
        <v>9</v>
      </c>
      <c r="C19" s="69" t="s">
        <v>286</v>
      </c>
      <c r="D19" s="69"/>
      <c r="E19" s="69"/>
      <c r="F19" s="69"/>
      <c r="G19" s="78">
        <v>15.21622891111111</v>
      </c>
      <c r="H19" s="47">
        <f>$F$111</f>
        <v>15.2162289111111</v>
      </c>
      <c r="I19" s="73">
        <f>IF(AND(ISNUMBER($G$19),ISNUMBER($H$19)),ABS($H$19-$G$19),"")</f>
        <v>0</v>
      </c>
      <c r="J19" s="74">
        <v>1E-09</v>
      </c>
      <c r="K19" s="75" t="str">
        <f>IF(AND(ISNUMBER($G$19),ISNUMBER($H$19)),IF(ABS($H$19-$G$19)&lt;=$J$19,"PASS","FAIL"),"FAIL")</f>
        <v>PASS</v>
      </c>
    </row>
    <row r="20" spans="2:12" ht="16.2" customHeight="1">
      <c r="B20" s="64">
        <v>10</v>
      </c>
      <c r="C20" s="69" t="s">
        <v>287</v>
      </c>
      <c r="D20" s="69"/>
      <c r="E20" s="69"/>
      <c r="F20" s="69"/>
      <c r="G20" s="81">
        <v>19.51</v>
      </c>
      <c r="H20" s="41">
        <f>$F$112</f>
        <v>19.51</v>
      </c>
      <c r="I20" s="73">
        <f>IF(AND(ISNUMBER($G$20),ISNUMBER($H$20)),ABS($H$20-$G$20),"")</f>
        <v>0</v>
      </c>
      <c r="J20" s="74">
        <v>1E-09</v>
      </c>
      <c r="K20" s="75" t="str">
        <f>IF(AND(ISNUMBER($G$20),ISNUMBER($H$20)),IF(ABS($H$20-$G$20)&lt;=$J$20,"PASS","FAIL"),"FAIL")</f>
        <v>PASS</v>
      </c>
    </row>
    <row r="21" spans="2:12" ht="16.2" customHeight="1">
      <c r="B21" s="64">
        <v>11</v>
      </c>
      <c r="C21" s="69" t="s">
        <v>288</v>
      </c>
      <c r="D21" s="69"/>
      <c r="E21" s="69"/>
      <c r="F21" s="69"/>
      <c r="G21" s="72">
        <v>7</v>
      </c>
      <c r="H21" s="38">
        <f>$H$103</f>
        <v>7</v>
      </c>
      <c r="I21" s="73">
        <f>IF(AND(ISNUMBER($G$21),ISNUMBER($H$21)),ABS($H$21-$G$21),"")</f>
        <v>0</v>
      </c>
      <c r="J21" s="74">
        <v>1E-09</v>
      </c>
      <c r="K21" s="75" t="str">
        <f>IF(AND(ISNUMBER($G$21),ISNUMBER($H$21)),IF(ABS($H$21-$G$21)&lt;=$J$21,"PASS","FAIL"),"FAIL")</f>
        <v>PASS</v>
      </c>
    </row>
    <row r="22" spans="2:12" ht="16.2" customHeight="1">
      <c r="B22" s="64">
        <v>12</v>
      </c>
      <c r="C22" s="69" t="s">
        <v>289</v>
      </c>
      <c r="D22" s="69"/>
      <c r="E22" s="69"/>
      <c r="F22" s="69"/>
      <c r="G22" s="78">
        <v>6.211696735555556</v>
      </c>
      <c r="H22" s="47">
        <f>$H$111</f>
        <v>6.21169673555556</v>
      </c>
      <c r="I22" s="73">
        <f>IF(AND(ISNUMBER($G$22),ISNUMBER($H$22)),ABS($H$22-$G$22),"")</f>
        <v>0</v>
      </c>
      <c r="J22" s="74">
        <v>1E-09</v>
      </c>
      <c r="K22" s="75" t="str">
        <f>IF(AND(ISNUMBER($G$22),ISNUMBER($H$22)),IF(ABS($H$22-$G$22)&lt;=$J$22,"PASS","FAIL"),"FAIL")</f>
        <v>PASS</v>
      </c>
    </row>
    <row r="23" spans="2:12" ht="16.2" customHeight="1">
      <c r="B23" s="64">
        <v>13</v>
      </c>
      <c r="C23" s="69" t="s">
        <v>290</v>
      </c>
      <c r="D23" s="69"/>
      <c r="E23" s="69"/>
      <c r="F23" s="69"/>
      <c r="G23" s="81">
        <v>7.97</v>
      </c>
      <c r="H23" s="41">
        <f>$H$112</f>
        <v>7.97</v>
      </c>
      <c r="I23" s="73">
        <f>IF(AND(ISNUMBER($G$23),ISNUMBER($H$23)),ABS($H$23-$G$23),"")</f>
        <v>0</v>
      </c>
      <c r="J23" s="74">
        <v>1E-09</v>
      </c>
      <c r="K23" s="75" t="str">
        <f>IF(AND(ISNUMBER($G$23),ISNUMBER($H$23)),IF(ABS($H$23-$G$23)&lt;=$J$23,"PASS","FAIL"),"FAIL")</f>
        <v>PASS</v>
      </c>
    </row>
    <row r="24" spans="2:12" ht="16.2" customHeight="1">
      <c r="B24" s="64">
        <v>14</v>
      </c>
      <c r="C24" s="69" t="s">
        <v>291</v>
      </c>
      <c r="D24" s="69"/>
      <c r="E24" s="69"/>
      <c r="F24" s="69"/>
      <c r="G24" s="72">
        <v>25</v>
      </c>
      <c r="H24" s="38">
        <f>$J$103</f>
        <v>25</v>
      </c>
      <c r="I24" s="73">
        <f>IF(AND(ISNUMBER($G$24),ISNUMBER($H$24)),ABS($H$24-$G$24),"")</f>
        <v>0</v>
      </c>
      <c r="J24" s="74">
        <v>1E-09</v>
      </c>
      <c r="K24" s="75" t="str">
        <f>IF(AND(ISNUMBER($G$24),ISNUMBER($H$24)),IF(ABS($H$24-$G$24)&lt;=$J$24,"PASS","FAIL"),"FAIL")</f>
        <v>PASS</v>
      </c>
    </row>
    <row r="25" spans="2:12" ht="16.2" customHeight="1">
      <c r="B25" s="64">
        <v>15</v>
      </c>
      <c r="C25" s="69" t="s">
        <v>292</v>
      </c>
      <c r="D25" s="69"/>
      <c r="E25" s="69"/>
      <c r="F25" s="69"/>
      <c r="G25" s="78">
        <v>5.600020233888888</v>
      </c>
      <c r="H25" s="47">
        <f>$J$111</f>
        <v>5.60002023388889</v>
      </c>
      <c r="I25" s="73">
        <f>IF(AND(ISNUMBER($G$25),ISNUMBER($H$25)),ABS($H$25-$G$25),"")</f>
        <v>0</v>
      </c>
      <c r="J25" s="74">
        <v>1E-09</v>
      </c>
      <c r="K25" s="75" t="str">
        <f>IF(AND(ISNUMBER($G$25),ISNUMBER($H$25)),IF(ABS($H$25-$G$25)&lt;=$J$25,"PASS","FAIL"),"FAIL")</f>
        <v>PASS</v>
      </c>
    </row>
    <row r="26" spans="2:12" ht="16.2" customHeight="1">
      <c r="B26" s="64">
        <v>16</v>
      </c>
      <c r="C26" s="69" t="s">
        <v>293</v>
      </c>
      <c r="D26" s="69"/>
      <c r="E26" s="69"/>
      <c r="F26" s="69"/>
      <c r="G26" s="81">
        <v>7.18</v>
      </c>
      <c r="H26" s="41">
        <f>$J$112</f>
        <v>7.18</v>
      </c>
      <c r="I26" s="73">
        <f>IF(AND(ISNUMBER($G$26),ISNUMBER($H$26)),ABS($H$26-$G$26),"")</f>
        <v>0</v>
      </c>
      <c r="J26" s="74">
        <v>1E-09</v>
      </c>
      <c r="K26" s="75" t="str">
        <f>IF(AND(ISNUMBER($G$26),ISNUMBER($H$26)),IF(ABS($H$26-$G$26)&lt;=$J$26,"PASS","FAIL"),"FAIL")</f>
        <v>PASS</v>
      </c>
    </row>
    <row r="28" spans="2:12" ht="21" customHeight="1">
      <c r="B28" s="8" t="s">
        <v>294</v>
      </c>
      <c r="C28" s="8"/>
      <c r="D28" s="8"/>
      <c r="E28" s="8"/>
      <c r="F28" s="8"/>
      <c r="G28" s="8"/>
      <c r="H28" s="8"/>
      <c r="I28" s="8"/>
      <c r="J28" s="8"/>
      <c r="K28" s="8"/>
      <c r="L28" s="8"/>
    </row>
    <row r="29" spans="2:12" ht="5" customHeight="1"/>
    <row r="30" spans="2:12">
      <c r="B30" s="21" t="s">
        <v>295</v>
      </c>
      <c r="C30" s="21"/>
      <c r="D30" s="21"/>
      <c r="E30" s="21"/>
      <c r="F30" s="21"/>
      <c r="G30" s="21"/>
      <c r="H30" s="21"/>
      <c r="I30" s="21"/>
      <c r="J30" s="21"/>
      <c r="K30" s="21"/>
      <c r="L30" s="21"/>
    </row>
    <row r="31" spans="2:12">
      <c r="B31" s="31" t="s">
        <v>296</v>
      </c>
      <c r="C31" s="31"/>
      <c r="D31" s="31"/>
      <c r="E31" s="31"/>
      <c r="F31" s="31"/>
    </row>
    <row r="32" spans="2:12">
      <c r="B32" s="27" t="s">
        <v>196</v>
      </c>
      <c r="C32" s="27"/>
      <c r="D32" s="27"/>
      <c r="E32" s="82">
        <v>0.12</v>
      </c>
      <c r="F32" s="7"/>
    </row>
    <row r="33" spans="2:12">
      <c r="B33" s="27" t="s">
        <v>297</v>
      </c>
      <c r="C33" s="27"/>
      <c r="D33" s="27"/>
      <c r="E33" s="82">
        <v>0.08</v>
      </c>
      <c r="F33" s="7"/>
    </row>
    <row r="34" spans="2:12">
      <c r="B34" s="27" t="s">
        <v>77</v>
      </c>
      <c r="C34" s="27"/>
      <c r="D34" s="27"/>
      <c r="E34" s="82">
        <v>0.22</v>
      </c>
      <c r="F34" s="7"/>
    </row>
    <row r="35" spans="2:12">
      <c r="B35" s="27" t="s">
        <v>78</v>
      </c>
      <c r="C35" s="27"/>
      <c r="D35" s="27"/>
      <c r="E35" s="82">
        <v>0.98</v>
      </c>
      <c r="F35" s="7"/>
    </row>
    <row r="36" spans="2:12">
      <c r="B36" s="27" t="s">
        <v>298</v>
      </c>
      <c r="C36" s="27"/>
      <c r="D36" s="27"/>
      <c r="E36" s="81">
        <v>0.01</v>
      </c>
      <c r="F36" s="7"/>
    </row>
    <row r="38" spans="2:12">
      <c r="B38" s="31" t="s">
        <v>299</v>
      </c>
      <c r="C38" s="31"/>
      <c r="D38" s="31"/>
      <c r="E38" s="31"/>
      <c r="F38" s="31"/>
      <c r="G38" s="31"/>
      <c r="H38" s="31"/>
      <c r="I38" s="31"/>
      <c r="J38" s="31"/>
      <c r="K38" s="31"/>
      <c r="L38" s="31"/>
    </row>
    <row r="39" spans="2:12" ht="14" customHeight="1">
      <c r="B39" s="32"/>
      <c r="C39" s="32"/>
      <c r="D39" s="32"/>
      <c r="E39" s="32"/>
      <c r="F39" s="32"/>
      <c r="G39" s="32"/>
      <c r="H39" s="32" t="str">
        <f>Currency&amp;"/h"</f>
        <v>USD/h</v>
      </c>
      <c r="I39" s="32"/>
      <c r="J39" s="32" t="str">
        <f>Currency&amp;"/batch"</f>
        <v>USD/batch</v>
      </c>
      <c r="K39" s="32" t="str">
        <f>Currency&amp;"/part"</f>
        <v>USD/part</v>
      </c>
      <c r="L39" s="32"/>
    </row>
    <row r="40" spans="2:12" ht="32" customHeight="1">
      <c r="B40" s="33" t="s">
        <v>101</v>
      </c>
      <c r="C40" s="33" t="s">
        <v>62</v>
      </c>
      <c r="D40" s="33" t="s">
        <v>102</v>
      </c>
      <c r="E40" s="33" t="s">
        <v>103</v>
      </c>
      <c r="F40" s="33" t="s">
        <v>104</v>
      </c>
      <c r="G40" s="33" t="s">
        <v>105</v>
      </c>
      <c r="H40" s="33" t="s">
        <v>106</v>
      </c>
      <c r="I40" s="33" t="s">
        <v>107</v>
      </c>
      <c r="J40" s="33" t="s">
        <v>108</v>
      </c>
      <c r="K40" s="33" t="s">
        <v>109</v>
      </c>
      <c r="L40" s="33" t="s">
        <v>110</v>
      </c>
    </row>
    <row r="41" spans="2:12">
      <c r="B41" s="68" t="s">
        <v>170</v>
      </c>
      <c r="C41" s="68" t="s">
        <v>86</v>
      </c>
      <c r="D41" s="81">
        <v>0.75</v>
      </c>
      <c r="E41" s="83">
        <v>4</v>
      </c>
      <c r="F41" s="83">
        <v>8</v>
      </c>
      <c r="G41" s="83">
        <v>10</v>
      </c>
      <c r="H41" s="81">
        <v>70</v>
      </c>
      <c r="I41" s="42">
        <f>IF(tblVerifyOps[[#This Row],[Operation]]="","",(tblVerifyOps[[#This Row],[Count per part]]*tblVerifyOps[[#This Row],[Seconds per count]]+tblVerifyOps[[#This Row],[Handling (s/part)]])/60)</f>
        <v>0.7</v>
      </c>
      <c r="J41" s="41">
        <f>IF(tblVerifyOps[[#This Row],[Operation]]="","",IF(tblVerifyOps[[#This Row],[Rate]]="","",tblVerifyOps[[#This Row],[Setup (h)]]*tblVerifyOps[[#This Row],[Rate]]))</f>
        <v>52.5</v>
      </c>
      <c r="K41" s="47">
        <f>IF(tblVerifyOps[[#This Row],[Operation]]="","",IF(tblVerifyOps[[#This Row],[Rate]]="","",tblVerifyOps[[#This Row],[Cycle (min/part)]]/60*tblVerifyOps[[#This Row],[Rate]]))</f>
        <v>0.816666666666667</v>
      </c>
      <c r="L41" s="48" t="str">
        <f>IF(tblVerifyOps[[#This Row],[Operation]]="","",IF(tblVerifyOps[[#This Row],[Machine]]="","Missing machine",IF(tblVerifyOps[[#This Row],[Rate]]="","Machine not on Setup list",IF(tblVerifyOps[[#This Row],[Cycle (min/part)]]=0,"Enter a time","OK"))))</f>
        <v>OK</v>
      </c>
    </row>
    <row r="42" spans="2:12">
      <c r="B42" s="68" t="s">
        <v>171</v>
      </c>
      <c r="C42" s="68" t="s">
        <v>87</v>
      </c>
      <c r="D42" s="81">
        <v>0.25</v>
      </c>
      <c r="E42" s="83">
        <v>2</v>
      </c>
      <c r="F42" s="83">
        <v>4</v>
      </c>
      <c r="G42" s="83">
        <v>6</v>
      </c>
      <c r="H42" s="81">
        <v>50</v>
      </c>
      <c r="I42" s="42">
        <f>IF(tblVerifyOps[[#This Row],[Operation]]="","",(tblVerifyOps[[#This Row],[Count per part]]*tblVerifyOps[[#This Row],[Seconds per count]]+tblVerifyOps[[#This Row],[Handling (s/part)]])/60)</f>
        <v>0.233333333333333</v>
      </c>
      <c r="J42" s="41">
        <f>IF(tblVerifyOps[[#This Row],[Operation]]="","",IF(tblVerifyOps[[#This Row],[Rate]]="","",tblVerifyOps[[#This Row],[Setup (h)]]*tblVerifyOps[[#This Row],[Rate]]))</f>
        <v>12.5</v>
      </c>
      <c r="K42" s="47">
        <f>IF(tblVerifyOps[[#This Row],[Operation]]="","",IF(tblVerifyOps[[#This Row],[Rate]]="","",tblVerifyOps[[#This Row],[Cycle (min/part)]]/60*tblVerifyOps[[#This Row],[Rate]]))</f>
        <v>0.194444444444444</v>
      </c>
      <c r="L42" s="48" t="str">
        <f>IF(tblVerifyOps[[#This Row],[Operation]]="","",IF(tblVerifyOps[[#This Row],[Machine]]="","Missing machine",IF(tblVerifyOps[[#This Row],[Rate]]="","Machine not on Setup list",IF(tblVerifyOps[[#This Row],[Cycle (min/part)]]=0,"Enter a time","OK"))))</f>
        <v>OK</v>
      </c>
    </row>
    <row r="43" spans="2:12">
      <c r="B43" s="68" t="s">
        <v>172</v>
      </c>
      <c r="C43" s="68" t="s">
        <v>88</v>
      </c>
      <c r="D43" s="81">
        <v>0</v>
      </c>
      <c r="E43" s="83">
        <v>1</v>
      </c>
      <c r="F43" s="83">
        <v>20</v>
      </c>
      <c r="G43" s="83">
        <v>5</v>
      </c>
      <c r="H43" s="81">
        <v>55</v>
      </c>
      <c r="I43" s="42">
        <f>IF(tblVerifyOps[[#This Row],[Operation]]="","",(tblVerifyOps[[#This Row],[Count per part]]*tblVerifyOps[[#This Row],[Seconds per count]]+tblVerifyOps[[#This Row],[Handling (s/part)]])/60)</f>
        <v>0.416666666666667</v>
      </c>
      <c r="J43" s="41">
        <f>IF(tblVerifyOps[[#This Row],[Operation]]="","",IF(tblVerifyOps[[#This Row],[Rate]]="","",tblVerifyOps[[#This Row],[Setup (h)]]*tblVerifyOps[[#This Row],[Rate]]))</f>
        <v>0</v>
      </c>
      <c r="K43" s="47">
        <f>IF(tblVerifyOps[[#This Row],[Operation]]="","",IF(tblVerifyOps[[#This Row],[Rate]]="","",tblVerifyOps[[#This Row],[Cycle (min/part)]]/60*tblVerifyOps[[#This Row],[Rate]]))</f>
        <v>0.381944444444445</v>
      </c>
      <c r="L43" s="48" t="str">
        <f>IF(tblVerifyOps[[#This Row],[Operation]]="","",IF(tblVerifyOps[[#This Row],[Machine]]="","Missing machine",IF(tblVerifyOps[[#This Row],[Rate]]="","Machine not on Setup list",IF(tblVerifyOps[[#This Row],[Cycle (min/part)]]=0,"Enter a time","OK"))))</f>
        <v>OK</v>
      </c>
    </row>
    <row r="44" spans="2:12">
      <c r="B44" s="68" t="s">
        <v>300</v>
      </c>
      <c r="C44" s="68" t="s">
        <v>90</v>
      </c>
      <c r="D44" s="81">
        <v>0</v>
      </c>
      <c r="E44" s="83">
        <v>0</v>
      </c>
      <c r="F44" s="83">
        <v>0</v>
      </c>
      <c r="G44" s="83">
        <v>0</v>
      </c>
      <c r="H44" s="81">
        <v>60</v>
      </c>
      <c r="I44" s="42">
        <f>IF(tblVerifyOps[[#This Row],[Operation]]="","",(tblVerifyOps[[#This Row],[Count per part]]*tblVerifyOps[[#This Row],[Seconds per count]]+tblVerifyOps[[#This Row],[Handling (s/part)]])/60)</f>
        <v>0</v>
      </c>
      <c r="J44" s="41">
        <f>IF(tblVerifyOps[[#This Row],[Operation]]="","",IF(tblVerifyOps[[#This Row],[Rate]]="","",tblVerifyOps[[#This Row],[Setup (h)]]*tblVerifyOps[[#This Row],[Rate]]))</f>
        <v>0</v>
      </c>
      <c r="K44" s="47">
        <f>IF(tblVerifyOps[[#This Row],[Operation]]="","",IF(tblVerifyOps[[#This Row],[Rate]]="","",tblVerifyOps[[#This Row],[Cycle (min/part)]]/60*tblVerifyOps[[#This Row],[Rate]]))</f>
        <v>0</v>
      </c>
      <c r="L44" s="48" t="str">
        <f>IF(tblVerifyOps[[#This Row],[Operation]]="","",IF(tblVerifyOps[[#This Row],[Machine]]="","Missing machine",IF(tblVerifyOps[[#This Row],[Rate]]="","Machine not on Setup list",IF(tblVerifyOps[[#This Row],[Cycle (min/part)]]=0,"Enter a time","OK"))))</f>
        <v>Enter a time</v>
      </c>
    </row>
    <row r="46" spans="2:12">
      <c r="B46" s="31" t="s">
        <v>301</v>
      </c>
      <c r="C46" s="31"/>
      <c r="D46" s="31"/>
      <c r="E46" s="31"/>
      <c r="F46" s="31"/>
      <c r="G46" s="31"/>
      <c r="H46" s="31"/>
      <c r="I46" s="31"/>
      <c r="J46" s="31"/>
      <c r="K46" s="31"/>
      <c r="L46" s="31"/>
    </row>
    <row r="47" spans="2:12" ht="14" customHeight="1">
      <c r="B47" s="32"/>
      <c r="C47" s="32"/>
      <c r="D47" s="32" t="str">
        <f>Currency&amp;"/each"</f>
        <v>USD/each</v>
      </c>
      <c r="E47" s="32" t="str">
        <f>Currency&amp;"/part"</f>
        <v>USD/part</v>
      </c>
    </row>
    <row r="48" spans="2:12" ht="32" customHeight="1">
      <c r="B48" s="33" t="s">
        <v>111</v>
      </c>
      <c r="C48" s="33" t="s">
        <v>112</v>
      </c>
      <c r="D48" s="33" t="s">
        <v>113</v>
      </c>
      <c r="E48" s="33" t="s">
        <v>114</v>
      </c>
    </row>
    <row r="49" spans="2:12">
      <c r="B49" s="68" t="s">
        <v>179</v>
      </c>
      <c r="C49" s="83">
        <v>2</v>
      </c>
      <c r="D49" s="78">
        <v>0.06</v>
      </c>
      <c r="E49" s="47">
        <f>IF(tblVerifyHardware[[#This Row],[Item]]="","",tblVerifyHardware[[#This Row],[Qty per part]]*tblVerifyHardware[[#This Row],[Unit price]])</f>
        <v>0.12</v>
      </c>
    </row>
    <row r="50" spans="2:12">
      <c r="B50" s="68" t="s">
        <v>180</v>
      </c>
      <c r="C50" s="83">
        <v>1</v>
      </c>
      <c r="D50" s="78">
        <v>0.02</v>
      </c>
      <c r="E50" s="47">
        <f>IF(tblVerifyHardware[[#This Row],[Item]]="","",tblVerifyHardware[[#This Row],[Qty per part]]*tblVerifyHardware[[#This Row],[Unit price]])</f>
        <v>0.02</v>
      </c>
    </row>
    <row r="52" spans="2:12">
      <c r="B52" s="31" t="s">
        <v>302</v>
      </c>
      <c r="C52" s="31"/>
      <c r="D52" s="31"/>
      <c r="E52" s="31"/>
      <c r="F52" s="31"/>
      <c r="G52" s="31"/>
      <c r="H52" s="31"/>
      <c r="I52" s="31"/>
      <c r="J52" s="31"/>
      <c r="K52" s="31"/>
      <c r="L52" s="31"/>
    </row>
    <row r="53" spans="2:12" ht="14" customHeight="1">
      <c r="B53" s="32"/>
      <c r="C53" s="32"/>
      <c r="D53" s="32" t="str">
        <f>Currency&amp;"/part"</f>
        <v>USD/part</v>
      </c>
      <c r="E53" s="32" t="str">
        <f>Currency&amp;"/lot"</f>
        <v>USD/lot</v>
      </c>
    </row>
    <row r="54" spans="2:12" ht="32" customHeight="1">
      <c r="B54" s="33" t="s">
        <v>115</v>
      </c>
      <c r="C54" s="33" t="s">
        <v>116</v>
      </c>
      <c r="D54" s="33" t="s">
        <v>117</v>
      </c>
      <c r="E54" s="33" t="s">
        <v>118</v>
      </c>
    </row>
    <row r="55" spans="2:12">
      <c r="B55" s="68" t="s">
        <v>183</v>
      </c>
      <c r="C55" s="68" t="s">
        <v>184</v>
      </c>
      <c r="D55" s="81">
        <v>0.85</v>
      </c>
      <c r="E55" s="81">
        <v>95</v>
      </c>
    </row>
    <row r="57" spans="2:12">
      <c r="B57" s="31" t="s">
        <v>303</v>
      </c>
      <c r="C57" s="31"/>
      <c r="D57" s="31"/>
      <c r="E57" s="31"/>
      <c r="F57" s="31"/>
      <c r="G57" s="31"/>
      <c r="H57" s="31"/>
      <c r="I57" s="31"/>
      <c r="J57" s="31"/>
      <c r="K57" s="31"/>
      <c r="L57" s="31"/>
    </row>
    <row r="58" spans="2:12">
      <c r="B58" s="27" t="s">
        <v>65</v>
      </c>
      <c r="C58" s="27"/>
      <c r="D58" s="27"/>
      <c r="E58" s="68" t="s">
        <v>92</v>
      </c>
      <c r="F58" s="68"/>
    </row>
    <row r="59" spans="2:12">
      <c r="B59" s="27" t="s">
        <v>131</v>
      </c>
      <c r="C59" s="27"/>
      <c r="D59" s="27"/>
      <c r="E59" s="68" t="s">
        <v>132</v>
      </c>
      <c r="F59" s="68"/>
    </row>
    <row r="60" spans="2:12">
      <c r="B60" s="27" t="s">
        <v>133</v>
      </c>
      <c r="C60" s="27"/>
      <c r="D60" s="27"/>
      <c r="E60" s="81">
        <v>2</v>
      </c>
      <c r="F60" s="7" t="str">
        <f>$E$59</f>
        <v>mm</v>
      </c>
    </row>
    <row r="61" spans="2:12">
      <c r="B61" s="27" t="s">
        <v>134</v>
      </c>
      <c r="C61" s="27"/>
      <c r="D61" s="27"/>
      <c r="E61" s="83">
        <v>312</v>
      </c>
      <c r="F61" s="7" t="str">
        <f>$E$59</f>
        <v>mm</v>
      </c>
    </row>
    <row r="62" spans="2:12">
      <c r="B62" s="27" t="s">
        <v>135</v>
      </c>
      <c r="C62" s="27"/>
      <c r="D62" s="27"/>
      <c r="E62" s="83">
        <v>186</v>
      </c>
      <c r="F62" s="7" t="str">
        <f>$E$59</f>
        <v>mm</v>
      </c>
    </row>
    <row r="63" spans="2:12">
      <c r="B63" s="27" t="s">
        <v>136</v>
      </c>
      <c r="C63" s="27"/>
      <c r="D63" s="27"/>
      <c r="E63" s="83">
        <v>2500</v>
      </c>
      <c r="F63" s="7" t="str">
        <f>$E$59</f>
        <v>mm</v>
      </c>
    </row>
    <row r="64" spans="2:12">
      <c r="B64" s="27" t="s">
        <v>137</v>
      </c>
      <c r="C64" s="27"/>
      <c r="D64" s="27"/>
      <c r="E64" s="83">
        <v>1250</v>
      </c>
      <c r="F64" s="7" t="str">
        <f>$E$59</f>
        <v>mm</v>
      </c>
    </row>
    <row r="65" spans="2:12">
      <c r="B65" s="27" t="s">
        <v>138</v>
      </c>
      <c r="C65" s="27"/>
      <c r="D65" s="27"/>
      <c r="E65" s="83">
        <v>8</v>
      </c>
      <c r="F65" s="7" t="str">
        <f>$E$59</f>
        <v>mm</v>
      </c>
    </row>
    <row r="66" spans="2:12">
      <c r="B66" s="27" t="s">
        <v>139</v>
      </c>
      <c r="C66" s="27"/>
      <c r="D66" s="27"/>
      <c r="E66" s="83">
        <v>10</v>
      </c>
      <c r="F66" s="7" t="str">
        <f>$E$59</f>
        <v>mm</v>
      </c>
    </row>
    <row r="67" spans="2:12">
      <c r="B67" s="27" t="s">
        <v>140</v>
      </c>
      <c r="C67" s="27"/>
      <c r="D67" s="27"/>
      <c r="E67" s="38">
        <f>IF(AND($E$63-2*$E$66&gt;0,$E$64-2*$E$66&gt;0),INT(($E$63-2*$E$66+$E$65)/($E$61+$E$65))*INT(($E$64-2*$E$66+$E$65)/($E$62+$E$65)),0)</f>
        <v>42</v>
      </c>
      <c r="F67" s="7" t="s">
        <v>141</v>
      </c>
    </row>
    <row r="68" spans="2:12">
      <c r="B68" s="27" t="s">
        <v>142</v>
      </c>
      <c r="C68" s="27"/>
      <c r="D68" s="27"/>
      <c r="E68" s="38">
        <f>IF(AND($E$63-2*$E$66&gt;0,$E$64-2*$E$66&gt;0),INT(($E$63-2*$E$66+$E$65)/($E$62+$E$65))*INT(($E$64-2*$E$66+$E$65)/($E$61+$E$65)),0)</f>
        <v>36</v>
      </c>
      <c r="F68" s="7" t="s">
        <v>141</v>
      </c>
    </row>
    <row r="69" spans="2:12">
      <c r="B69" s="17" t="s">
        <v>143</v>
      </c>
      <c r="C69" s="17"/>
      <c r="D69" s="17"/>
      <c r="E69" s="39">
        <f>MAX($E$67,$E$68)</f>
        <v>42</v>
      </c>
      <c r="F69" s="7" t="s">
        <v>141</v>
      </c>
    </row>
    <row r="70" spans="2:12">
      <c r="B70" s="27" t="s">
        <v>144</v>
      </c>
      <c r="C70" s="27"/>
      <c r="D70" s="27"/>
      <c r="E70" s="40">
        <f>IF($E$63*$E$64&gt;0,$E$69*$E$61*$E$62/($E$63*$E$64),"")</f>
        <v>0.77995008</v>
      </c>
      <c r="F70" s="7" t="s">
        <v>145</v>
      </c>
    </row>
    <row r="71" spans="2:12">
      <c r="B71" s="27" t="s">
        <v>146</v>
      </c>
      <c r="C71" s="27"/>
      <c r="D71" s="27"/>
      <c r="E71" s="81">
        <v>7.85</v>
      </c>
      <c r="F71" s="7" t="s">
        <v>147</v>
      </c>
    </row>
    <row r="72" spans="2:12">
      <c r="B72" s="27" t="s">
        <v>148</v>
      </c>
      <c r="C72" s="27"/>
      <c r="D72" s="27"/>
      <c r="E72" s="81">
        <v>1.15</v>
      </c>
      <c r="F72" s="7" t="str">
        <f>Currency&amp;"/kg"</f>
        <v>USD/kg</v>
      </c>
    </row>
    <row r="73" spans="2:12">
      <c r="B73" s="27" t="s">
        <v>149</v>
      </c>
      <c r="C73" s="27"/>
      <c r="D73" s="27"/>
      <c r="E73" s="41">
        <f>IF($E$71="","",$E$63*$E$64*$E$60*IF($E$59="in",16.387064,0.001)*$E$71/1000)</f>
        <v>49.0625</v>
      </c>
      <c r="F73" s="7" t="s">
        <v>93</v>
      </c>
    </row>
    <row r="74" spans="2:12">
      <c r="B74" s="27" t="s">
        <v>150</v>
      </c>
      <c r="C74" s="27"/>
      <c r="D74" s="27"/>
      <c r="E74" s="42">
        <f>IF($E$71="","",$E$61*$E$62*$E$60*IF($E$59="in",16.387064,0.001)*$E$71/1000)</f>
        <v>0.9111024</v>
      </c>
      <c r="F74" s="7" t="s">
        <v>93</v>
      </c>
    </row>
    <row r="75" spans="2:12">
      <c r="B75" s="17" t="s">
        <v>151</v>
      </c>
      <c r="C75" s="17"/>
      <c r="D75" s="17"/>
      <c r="E75" s="43">
        <f>IF(OR($E$73="",$E$72=""),"",$E$73*$E$72)</f>
        <v>56.421875</v>
      </c>
      <c r="F75" s="7" t="str">
        <f>Currency</f>
        <v>USD</v>
      </c>
    </row>
    <row r="76" spans="2:12">
      <c r="B76" s="27" t="s">
        <v>152</v>
      </c>
      <c r="C76" s="27"/>
      <c r="D76" s="27"/>
      <c r="E76" s="44" t="str">
        <f>IF($E$71="","Material not on Setup list",IF($E$69=0,"Blank does not fit the sheet","OK"))</f>
        <v>OK</v>
      </c>
      <c r="F76" s="44"/>
    </row>
    <row r="78" spans="2:12">
      <c r="B78" s="31" t="s">
        <v>304</v>
      </c>
      <c r="C78" s="31"/>
      <c r="D78" s="31"/>
      <c r="E78" s="31"/>
      <c r="F78" s="31"/>
      <c r="G78" s="31"/>
      <c r="H78" s="31"/>
      <c r="I78" s="31"/>
      <c r="J78" s="31"/>
      <c r="K78" s="31"/>
      <c r="L78" s="31"/>
    </row>
    <row r="79" spans="2:12">
      <c r="B79" s="27" t="s">
        <v>154</v>
      </c>
      <c r="C79" s="27"/>
      <c r="D79" s="27"/>
      <c r="E79" s="68" t="s">
        <v>82</v>
      </c>
      <c r="F79" s="68"/>
    </row>
    <row r="80" spans="2:12">
      <c r="B80" s="27" t="s">
        <v>155</v>
      </c>
      <c r="C80" s="27"/>
      <c r="D80" s="27"/>
      <c r="E80" s="72">
        <v>1356</v>
      </c>
      <c r="F80" s="7" t="str">
        <f>$E$59</f>
        <v>mm</v>
      </c>
    </row>
    <row r="81" spans="2:12">
      <c r="B81" s="27" t="s">
        <v>156</v>
      </c>
      <c r="C81" s="27"/>
      <c r="D81" s="27"/>
      <c r="E81" s="72">
        <v>14</v>
      </c>
      <c r="F81" s="7"/>
    </row>
    <row r="82" spans="2:12">
      <c r="B82" s="27" t="s">
        <v>157</v>
      </c>
      <c r="C82" s="27"/>
      <c r="D82" s="27"/>
      <c r="E82" s="72">
        <v>4500</v>
      </c>
      <c r="F82" s="7" t="str">
        <f>$E$59&amp;"/min"</f>
        <v>mm/min</v>
      </c>
    </row>
    <row r="83" spans="2:12">
      <c r="B83" s="27" t="s">
        <v>158</v>
      </c>
      <c r="C83" s="27"/>
      <c r="D83" s="27"/>
      <c r="E83" s="81">
        <v>0.5</v>
      </c>
      <c r="F83" s="7" t="s">
        <v>159</v>
      </c>
    </row>
    <row r="84" spans="2:12">
      <c r="B84" s="27" t="s">
        <v>160</v>
      </c>
      <c r="C84" s="27"/>
      <c r="D84" s="27"/>
      <c r="E84" s="83">
        <v>6</v>
      </c>
      <c r="F84" s="7" t="s">
        <v>161</v>
      </c>
    </row>
    <row r="85" spans="2:12">
      <c r="B85" s="27" t="s">
        <v>162</v>
      </c>
      <c r="C85" s="27"/>
      <c r="D85" s="27"/>
      <c r="E85" s="81">
        <v>0.5</v>
      </c>
      <c r="F85" s="7" t="s">
        <v>163</v>
      </c>
    </row>
    <row r="86" spans="2:12">
      <c r="B86" s="27" t="s">
        <v>164</v>
      </c>
      <c r="C86" s="27"/>
      <c r="D86" s="27"/>
      <c r="E86" s="81">
        <v>120</v>
      </c>
      <c r="F86" s="7" t="str">
        <f>Currency&amp;"/h"</f>
        <v>USD/h</v>
      </c>
    </row>
    <row r="87" spans="2:12">
      <c r="B87" s="17" t="s">
        <v>165</v>
      </c>
      <c r="C87" s="17"/>
      <c r="D87" s="17"/>
      <c r="E87" s="46">
        <f>IF($E$69=0,"",$E$80/$E$82+$E$81*$E$83/60+$E$84/$E$69)</f>
        <v>0.560857142857143</v>
      </c>
      <c r="F87" s="7" t="s">
        <v>166</v>
      </c>
    </row>
    <row r="88" spans="2:12">
      <c r="B88" s="27" t="s">
        <v>167</v>
      </c>
      <c r="C88" s="27"/>
      <c r="D88" s="27"/>
      <c r="E88" s="47">
        <f>IF(OR($E$86="",$E$87=""),"",$E$87/60*$E$86)</f>
        <v>1.12171428571429</v>
      </c>
      <c r="F88" s="7" t="str">
        <f>Currency&amp;"/part"</f>
        <v>USD/part</v>
      </c>
    </row>
    <row r="89" spans="2:12">
      <c r="B89" s="27" t="s">
        <v>168</v>
      </c>
      <c r="C89" s="27"/>
      <c r="D89" s="27"/>
      <c r="E89" s="41">
        <f>IF($E$86="","",$E$85*$E$86)</f>
        <v>60</v>
      </c>
      <c r="F89" s="7" t="str">
        <f>Currency</f>
        <v>USD</v>
      </c>
    </row>
    <row r="91" spans="2:12">
      <c r="B91" s="31" t="s">
        <v>305</v>
      </c>
      <c r="C91" s="31"/>
      <c r="D91" s="31"/>
      <c r="E91" s="31"/>
      <c r="F91" s="31"/>
      <c r="G91" s="31"/>
      <c r="H91" s="31"/>
      <c r="I91" s="31"/>
      <c r="J91" s="31"/>
      <c r="K91" s="31"/>
      <c r="L91" s="31"/>
    </row>
    <row r="92" spans="2:12">
      <c r="B92" s="27" t="s">
        <v>174</v>
      </c>
      <c r="C92" s="27"/>
      <c r="D92" s="27"/>
      <c r="E92" s="41">
        <f>SUM(tblVerifyOps[Setup cost])+N($E$89)</f>
        <v>125</v>
      </c>
      <c r="F92" s="7" t="str">
        <f>Currency</f>
        <v>USD</v>
      </c>
    </row>
    <row r="93" spans="2:12">
      <c r="B93" s="27" t="s">
        <v>175</v>
      </c>
      <c r="C93" s="27"/>
      <c r="D93" s="27"/>
      <c r="E93" s="47">
        <f>SUM(tblVerifyOps[Run cost])</f>
        <v>1.39305555555556</v>
      </c>
      <c r="F93" s="7" t="str">
        <f>Currency&amp;"/part"</f>
        <v>USD/part</v>
      </c>
    </row>
    <row r="94" spans="2:12">
      <c r="B94" s="27" t="s">
        <v>176</v>
      </c>
      <c r="C94" s="27"/>
      <c r="D94" s="27"/>
      <c r="E94" s="41">
        <f>SUM(tblVerifyOps[Setup (h)])+$E$85</f>
        <v>1.5</v>
      </c>
      <c r="F94" s="7" t="s">
        <v>163</v>
      </c>
    </row>
    <row r="95" spans="2:12">
      <c r="B95" s="17" t="s">
        <v>177</v>
      </c>
      <c r="C95" s="17"/>
      <c r="D95" s="17"/>
      <c r="E95" s="46">
        <f>SUM(tblVerifyOps[Cycle (min/part)])+N($E$87)</f>
        <v>1.91085714285714</v>
      </c>
      <c r="F95" s="7" t="s">
        <v>166</v>
      </c>
    </row>
    <row r="97" spans="2:12">
      <c r="B97" s="31" t="s">
        <v>306</v>
      </c>
      <c r="C97" s="31"/>
      <c r="D97" s="31"/>
      <c r="E97" s="31"/>
      <c r="F97" s="31"/>
      <c r="G97" s="31"/>
      <c r="H97" s="31"/>
      <c r="I97" s="31"/>
      <c r="J97" s="31"/>
      <c r="K97" s="31"/>
      <c r="L97" s="31"/>
    </row>
    <row r="98" spans="2:12">
      <c r="B98" s="27" t="s">
        <v>182</v>
      </c>
      <c r="C98" s="27"/>
      <c r="D98" s="27"/>
      <c r="E98" s="47">
        <f>SUM(tblVerifyHardware[Cost per part])</f>
        <v>0.14</v>
      </c>
      <c r="F98" s="7" t="str">
        <f>Currency&amp;"/part"</f>
        <v>USD/part</v>
      </c>
    </row>
    <row r="100" spans="2:12">
      <c r="B100" s="31" t="s">
        <v>307</v>
      </c>
      <c r="C100" s="31"/>
      <c r="D100" s="31"/>
      <c r="E100" s="31"/>
      <c r="F100" s="31"/>
      <c r="G100" s="31"/>
      <c r="H100" s="31"/>
      <c r="I100" s="31"/>
      <c r="J100" s="31"/>
      <c r="K100" s="31"/>
      <c r="L100" s="31"/>
    </row>
    <row r="101" spans="2:12">
      <c r="B101" s="50" t="s">
        <v>186</v>
      </c>
      <c r="C101" s="50"/>
      <c r="D101" s="50"/>
      <c r="E101" s="33" t="s">
        <v>187</v>
      </c>
      <c r="F101" s="72">
        <v>25</v>
      </c>
      <c r="G101" s="72">
        <v>100</v>
      </c>
      <c r="H101" s="72">
        <v>250</v>
      </c>
      <c r="I101" s="72">
        <v>500</v>
      </c>
      <c r="J101" s="72">
        <v>1000</v>
      </c>
    </row>
    <row r="102" spans="2:12">
      <c r="B102" s="27" t="s">
        <v>188</v>
      </c>
      <c r="C102" s="27"/>
      <c r="D102" s="27"/>
      <c r="E102" s="7" t="s">
        <v>141</v>
      </c>
      <c r="F102" s="38">
        <f>CEILING($F$101/$E$35,1)</f>
        <v>26</v>
      </c>
      <c r="G102" s="38">
        <f>CEILING($G$101/$E$35,1)</f>
        <v>103</v>
      </c>
      <c r="H102" s="38">
        <f>CEILING($H$101/$E$35,1)</f>
        <v>256</v>
      </c>
      <c r="I102" s="38">
        <f>CEILING($I$101/$E$35,1)</f>
        <v>511</v>
      </c>
      <c r="J102" s="38">
        <f>CEILING($J$101/$E$35,1)</f>
        <v>1021</v>
      </c>
    </row>
    <row r="103" spans="2:12">
      <c r="B103" s="27" t="s">
        <v>189</v>
      </c>
      <c r="C103" s="27"/>
      <c r="D103" s="27"/>
      <c r="E103" s="7" t="s">
        <v>190</v>
      </c>
      <c r="F103" s="38">
        <f>CEILING($F$102/$E$69,1)</f>
        <v>1</v>
      </c>
      <c r="G103" s="38">
        <f>CEILING($G$102/$E$69,1)</f>
        <v>3</v>
      </c>
      <c r="H103" s="38">
        <f>CEILING($H$102/$E$69,1)</f>
        <v>7</v>
      </c>
      <c r="I103" s="38">
        <f>CEILING($I$102/$E$69,1)</f>
        <v>13</v>
      </c>
      <c r="J103" s="38">
        <f>CEILING($J$102/$E$69,1)</f>
        <v>25</v>
      </c>
    </row>
    <row r="104" spans="2:12">
      <c r="B104" s="27" t="s">
        <v>191</v>
      </c>
      <c r="C104" s="27"/>
      <c r="D104" s="27"/>
      <c r="E104" s="7" t="str">
        <f>Currency&amp;"/part"</f>
        <v>USD/part</v>
      </c>
      <c r="F104" s="41">
        <f>$F$103*$E$75*(1+$E$33)/$F$101</f>
        <v>2.437425</v>
      </c>
      <c r="G104" s="41">
        <f>$G$103*$E$75*(1+$E$33)/$G$101</f>
        <v>1.82806875</v>
      </c>
      <c r="H104" s="41">
        <f>$H$103*$E$75*(1+$E$33)/$H$101</f>
        <v>1.7061975</v>
      </c>
      <c r="I104" s="41">
        <f>$I$103*$E$75*(1+$E$33)/$I$101</f>
        <v>1.58432625</v>
      </c>
      <c r="J104" s="41">
        <f>$J$103*$E$75*(1+$E$33)/$J$101</f>
        <v>1.523390625</v>
      </c>
    </row>
    <row r="105" spans="2:12">
      <c r="B105" s="27" t="s">
        <v>153</v>
      </c>
      <c r="C105" s="27"/>
      <c r="D105" s="27"/>
      <c r="E105" s="7" t="str">
        <f>Currency&amp;"/part"</f>
        <v>USD/part</v>
      </c>
      <c r="F105" s="41">
        <f>$E$88*$F$102/$F$101</f>
        <v>1.16658285714286</v>
      </c>
      <c r="G105" s="41">
        <f>$E$88*$G$102/$G$101</f>
        <v>1.15536571428571</v>
      </c>
      <c r="H105" s="41">
        <f>$E$88*$H$102/$H$101</f>
        <v>1.14863542857143</v>
      </c>
      <c r="I105" s="41">
        <f>$E$88*$I$102/$I$101</f>
        <v>1.146392</v>
      </c>
      <c r="J105" s="41">
        <f>$E$88*$J$102/$J$101</f>
        <v>1.14527028571429</v>
      </c>
    </row>
    <row r="106" spans="2:12">
      <c r="B106" s="27" t="s">
        <v>192</v>
      </c>
      <c r="C106" s="27"/>
      <c r="D106" s="27"/>
      <c r="E106" s="7" t="str">
        <f>Currency&amp;"/part"</f>
        <v>USD/part</v>
      </c>
      <c r="F106" s="41">
        <f>$E$93*$F$102/$F$101</f>
        <v>1.44877777777778</v>
      </c>
      <c r="G106" s="41">
        <f>$E$93*$G$102/$G$101</f>
        <v>1.43484722222222</v>
      </c>
      <c r="H106" s="41">
        <f>$E$93*$H$102/$H$101</f>
        <v>1.42648888888889</v>
      </c>
      <c r="I106" s="41">
        <f>$E$93*$I$102/$I$101</f>
        <v>1.42370277777778</v>
      </c>
      <c r="J106" s="41">
        <f>$E$93*$J$102/$J$101</f>
        <v>1.42230972222222</v>
      </c>
    </row>
    <row r="107" spans="2:12">
      <c r="B107" s="27" t="s">
        <v>193</v>
      </c>
      <c r="C107" s="27"/>
      <c r="D107" s="27"/>
      <c r="E107" s="7" t="str">
        <f>Currency&amp;"/part"</f>
        <v>USD/part</v>
      </c>
      <c r="F107" s="41">
        <f>$E$98*$F$102/$F$101</f>
        <v>0.1456</v>
      </c>
      <c r="G107" s="41">
        <f>$E$98*$G$102/$G$101</f>
        <v>0.1442</v>
      </c>
      <c r="H107" s="41">
        <f>$E$98*$H$102/$H$101</f>
        <v>0.14336</v>
      </c>
      <c r="I107" s="41">
        <f>$E$98*$I$102/$I$101</f>
        <v>0.14308</v>
      </c>
      <c r="J107" s="41">
        <f>$E$98*$J$102/$J$101</f>
        <v>0.14294</v>
      </c>
    </row>
    <row r="108" spans="2:12">
      <c r="B108" s="27" t="s">
        <v>194</v>
      </c>
      <c r="C108" s="27"/>
      <c r="D108" s="27"/>
      <c r="E108" s="7" t="str">
        <f>Currency&amp;"/part"</f>
        <v>USD/part</v>
      </c>
      <c r="F108" s="41">
        <f>$E$92/$F$101</f>
        <v>5</v>
      </c>
      <c r="G108" s="41">
        <f>$E$92/$G$101</f>
        <v>1.25</v>
      </c>
      <c r="H108" s="41">
        <f>$E$92/$H$101</f>
        <v>0.5</v>
      </c>
      <c r="I108" s="41">
        <f>$E$92/$I$101</f>
        <v>0.25</v>
      </c>
      <c r="J108" s="41">
        <f>$E$92/$J$101</f>
        <v>0.125</v>
      </c>
    </row>
    <row r="109" spans="2:12">
      <c r="B109" s="27" t="s">
        <v>195</v>
      </c>
      <c r="C109" s="27"/>
      <c r="D109" s="27"/>
      <c r="E109" s="7" t="str">
        <f>Currency&amp;"/part"</f>
        <v>USD/part</v>
      </c>
      <c r="F109" s="41">
        <f>(SUMPRODUCT((tblVerifyOutside[Lot charge]&gt;tblVerifyOutside[Price per part]*$F$101)*tblVerifyOutside[Lot charge])+SUMPRODUCT((tblVerifyOutside[Lot charge]&lt;=tblVerifyOutside[Price per part]*$F$101)*tblVerifyOutside[Price per part])*$F$101)/$F$101*(1+$E$33)</f>
        <v>4.104</v>
      </c>
      <c r="G109" s="41">
        <f>(SUMPRODUCT((tblVerifyOutside[Lot charge]&gt;tblVerifyOutside[Price per part]*$G$101)*tblVerifyOutside[Lot charge])+SUMPRODUCT((tblVerifyOutside[Lot charge]&lt;=tblVerifyOutside[Price per part]*$G$101)*tblVerifyOutside[Price per part])*$G$101)/$G$101*(1+$E$33)</f>
        <v>1.026</v>
      </c>
      <c r="H109" s="41">
        <f>(SUMPRODUCT((tblVerifyOutside[Lot charge]&gt;tblVerifyOutside[Price per part]*$H$101)*tblVerifyOutside[Lot charge])+SUMPRODUCT((tblVerifyOutside[Lot charge]&lt;=tblVerifyOutside[Price per part]*$H$101)*tblVerifyOutside[Price per part])*$H$101)/$H$101*(1+$E$33)</f>
        <v>0.918</v>
      </c>
      <c r="I109" s="41">
        <f>(SUMPRODUCT((tblVerifyOutside[Lot charge]&gt;tblVerifyOutside[Price per part]*$I$101)*tblVerifyOutside[Lot charge])+SUMPRODUCT((tblVerifyOutside[Lot charge]&lt;=tblVerifyOutside[Price per part]*$I$101)*tblVerifyOutside[Price per part])*$I$101)/$I$101*(1+$E$33)</f>
        <v>0.918</v>
      </c>
      <c r="J109" s="41">
        <f>(SUMPRODUCT((tblVerifyOutside[Lot charge]&gt;tblVerifyOutside[Price per part]*$J$101)*tblVerifyOutside[Lot charge])+SUMPRODUCT((tblVerifyOutside[Lot charge]&lt;=tblVerifyOutside[Price per part]*$J$101)*tblVerifyOutside[Price per part])*$J$101)/$J$101*(1+$E$33)</f>
        <v>0.918</v>
      </c>
    </row>
    <row r="110" spans="2:12">
      <c r="B110" s="27" t="s">
        <v>196</v>
      </c>
      <c r="C110" s="27"/>
      <c r="D110" s="27"/>
      <c r="E110" s="7" t="str">
        <f>Currency&amp;"/part"</f>
        <v>USD/part</v>
      </c>
      <c r="F110" s="41">
        <f>($F$105+$F$106+$F$108)*$E$32</f>
        <v>0.913843276190476</v>
      </c>
      <c r="G110" s="41">
        <f>($G$105+$G$106+$G$108)*$E$32</f>
        <v>0.460825552380952</v>
      </c>
      <c r="H110" s="41">
        <f>($H$105+$H$106+$H$108)*$E$32</f>
        <v>0.369014918095238</v>
      </c>
      <c r="I110" s="41">
        <f>($I$105+$I$106+$I$108)*$E$32</f>
        <v>0.338411373333333</v>
      </c>
      <c r="J110" s="41">
        <f>($J$105+$J$106+$J$108)*$E$32</f>
        <v>0.323109600952381</v>
      </c>
    </row>
    <row r="111" spans="2:12">
      <c r="B111" s="17" t="s">
        <v>197</v>
      </c>
      <c r="C111" s="17"/>
      <c r="D111" s="17"/>
      <c r="E111" s="7" t="str">
        <f>Currency&amp;"/part"</f>
        <v>USD/part</v>
      </c>
      <c r="F111" s="52">
        <f>$F$104+$F$105+$F$106+$F$107+$F$108+$F$109+$F$110</f>
        <v>15.2162289111111</v>
      </c>
      <c r="G111" s="52">
        <f>$G$104+$G$105+$G$106+$G$107+$G$108+$G$109+$G$110</f>
        <v>7.29930723888889</v>
      </c>
      <c r="H111" s="52">
        <f>$H$104+$H$105+$H$106+$H$107+$H$108+$H$109+$H$110</f>
        <v>6.21169673555556</v>
      </c>
      <c r="I111" s="52">
        <f>$I$104+$I$105+$I$106+$I$107+$I$108+$I$109+$I$110</f>
        <v>5.80391240111111</v>
      </c>
      <c r="J111" s="52">
        <f>$J$104+$J$105+$J$106+$J$107+$J$108+$J$109+$J$110</f>
        <v>5.60002023388889</v>
      </c>
    </row>
    <row r="112" spans="2:12">
      <c r="B112" s="27" t="s">
        <v>113</v>
      </c>
      <c r="C112" s="27"/>
      <c r="D112" s="27"/>
      <c r="E112" s="7" t="str">
        <f>Currency&amp;"/part"</f>
        <v>USD/part</v>
      </c>
      <c r="F112" s="53">
        <f>CEILING($F$111/(1-$E$34),$E$36)</f>
        <v>19.51</v>
      </c>
      <c r="G112" s="53">
        <f>CEILING($G$111/(1-$E$34),$E$36)</f>
        <v>9.36</v>
      </c>
      <c r="H112" s="53">
        <f>CEILING($H$111/(1-$E$34),$E$36)</f>
        <v>7.97</v>
      </c>
      <c r="I112" s="53">
        <f>CEILING($I$111/(1-$E$34),$E$36)</f>
        <v>7.45</v>
      </c>
      <c r="J112" s="53">
        <f>CEILING($J$111/(1-$E$34),$E$36)</f>
        <v>7.18</v>
      </c>
    </row>
    <row r="113" spans="2:10">
      <c r="B113" s="27" t="s">
        <v>198</v>
      </c>
      <c r="C113" s="27"/>
      <c r="D113" s="27"/>
      <c r="E113" s="7" t="str">
        <f>Currency</f>
        <v>USD</v>
      </c>
      <c r="F113" s="41">
        <f>$F$112*$F$101</f>
        <v>487.75</v>
      </c>
      <c r="G113" s="41">
        <f>$G$112*$G$101</f>
        <v>936</v>
      </c>
      <c r="H113" s="41">
        <f>$H$112*$H$101</f>
        <v>1992.5</v>
      </c>
      <c r="I113" s="41">
        <f>$I$112*$I$101</f>
        <v>3725</v>
      </c>
      <c r="J113" s="41">
        <f>$J$112*$J$101</f>
        <v>7180</v>
      </c>
    </row>
    <row r="114" spans="2:10">
      <c r="B114" s="27" t="s">
        <v>199</v>
      </c>
      <c r="C114" s="27"/>
      <c r="D114" s="27"/>
      <c r="E114" s="7" t="s">
        <v>200</v>
      </c>
      <c r="F114" s="40">
        <f>($F$112-$F$111)/$F$112</f>
        <v>0.220080527364884</v>
      </c>
      <c r="G114" s="40">
        <f>($G$112-$G$111)/$G$112</f>
        <v>0.220159483024691</v>
      </c>
      <c r="H114" s="40">
        <f>($H$112-$H$111)/$H$112</f>
        <v>0.220615215112226</v>
      </c>
      <c r="I114" s="40">
        <f>($I$112-$I$111)/$I$112</f>
        <v>0.220951355555556</v>
      </c>
      <c r="J114" s="40">
        <f>($J$112-$J$111)/$J$112</f>
        <v>0.220052892216032</v>
      </c>
    </row>
    <row r="115" spans="2:10">
      <c r="B115" s="27" t="s">
        <v>201</v>
      </c>
      <c r="C115" s="27"/>
      <c r="D115" s="27"/>
      <c r="E115" s="7" t="s">
        <v>163</v>
      </c>
      <c r="F115" s="54">
        <f>$E$94+$F$102*$E$95/60</f>
        <v>2.3280380952381</v>
      </c>
      <c r="G115" s="54">
        <f>$E$94+$G$102*$E$95/60</f>
        <v>4.78030476190476</v>
      </c>
      <c r="H115" s="54">
        <f>$E$94+$H$102*$E$95/60</f>
        <v>9.65299047619048</v>
      </c>
      <c r="I115" s="54">
        <f>$E$94+$I$102*$E$95/60</f>
        <v>17.7741333333333</v>
      </c>
      <c r="J115" s="54">
        <f>$E$94+$J$102*$E$95/60</f>
        <v>34.0164190476191</v>
      </c>
    </row>
  </sheetData>
  <sheetProtection sheet="1" formatColumns="0" formatRows="0"/>
  <mergeCells count="94">
    <mergeCell ref="A1:L1"/>
    <mergeCell ref="B2:K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B28:L28"/>
    <mergeCell ref="B30:L30"/>
    <mergeCell ref="B31:F31"/>
    <mergeCell ref="B32:D32"/>
    <mergeCell ref="B33:D33"/>
    <mergeCell ref="B34:D34"/>
    <mergeCell ref="B35:D35"/>
    <mergeCell ref="B36:D36"/>
    <mergeCell ref="B38:L38"/>
    <mergeCell ref="B46:L46"/>
    <mergeCell ref="B52:L52"/>
    <mergeCell ref="B57:L57"/>
    <mergeCell ref="B58:D58"/>
    <mergeCell ref="E58:F58"/>
    <mergeCell ref="B59:D59"/>
    <mergeCell ref="E59:F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E76:F76"/>
    <mergeCell ref="B78:L78"/>
    <mergeCell ref="B79:D79"/>
    <mergeCell ref="E79:F79"/>
    <mergeCell ref="B80:D80"/>
    <mergeCell ref="B81:D81"/>
    <mergeCell ref="B82:D82"/>
    <mergeCell ref="B83:D83"/>
    <mergeCell ref="B84:D84"/>
    <mergeCell ref="B85:D85"/>
    <mergeCell ref="B86:D86"/>
    <mergeCell ref="B87:D87"/>
    <mergeCell ref="B88:D88"/>
    <mergeCell ref="B89:D89"/>
    <mergeCell ref="B91:L91"/>
    <mergeCell ref="B92:D92"/>
    <mergeCell ref="B93:D93"/>
    <mergeCell ref="B94:D94"/>
    <mergeCell ref="B95:D95"/>
    <mergeCell ref="B97:L97"/>
    <mergeCell ref="B98:D98"/>
    <mergeCell ref="B100:L100"/>
    <mergeCell ref="B101:D101"/>
    <mergeCell ref="B102:D102"/>
    <mergeCell ref="B103:D103"/>
    <mergeCell ref="B104:D104"/>
    <mergeCell ref="B105:D105"/>
    <mergeCell ref="B106:D106"/>
    <mergeCell ref="B107:D107"/>
    <mergeCell ref="B108:D108"/>
    <mergeCell ref="B109:D109"/>
    <mergeCell ref="B110:D110"/>
    <mergeCell ref="B111:D111"/>
    <mergeCell ref="B112:D112"/>
    <mergeCell ref="B113:D113"/>
    <mergeCell ref="B114:D114"/>
    <mergeCell ref="B115:D115"/>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L41:L44">
    <cfRule type="expression" dxfId="3" priority="41">
      <formula>$L41="OK"</formula>
    </cfRule>
    <cfRule type="expression" dxfId="1" priority="42">
      <formula>AND($L41&lt;&gt;"",$L41&lt;&gt;"OK")</formula>
    </cfRule>
  </conditionalFormatting>
  <hyperlinks>
    <hyperlink ref="L2" r:id="rId1" tooltip="Free manufacturing calculators and templates"/>
  </hyperlinks>
  <printOptions horizontalCentered="1"/>
  <pageMargins left="0.4" right="0.4" top="0.7" bottom="0.65" header="0.3" footer="0.3"/>
  <pageSetup fitToHeight="0" orientation="landscape"/>
  <headerFooter>
    <oddHeader>&amp;L&amp;8MFG Calcs - Sheet Metal Part Cost Estimator&amp;R&amp;8&amp;A</oddHeader>
    <oddFooter>&amp;L&amp;8mfgcalcs.com - free manufacturing templates&amp;R&amp;8Page &amp;P of &amp;N</oddFooter>
  </headerFooter>
  <rowBreaks count="4" manualBreakCount="4">
    <brk id="27" max="16383" man="1"/>
    <brk id="56" max="16383" man="1"/>
    <brk id="77" max="16383" man="1"/>
    <brk id="99"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63</vt:i4>
      </vt:variant>
    </vt:vector>
  </HeadingPairs>
  <TitlesOfParts>
    <vt:vector size="69" baseType="lpstr">
      <vt:lpstr>Start Here</vt:lpstr>
      <vt:lpstr>Setup</vt:lpstr>
      <vt:lpstr>Estimate</vt:lpstr>
      <vt:lpstr>Dashboard</vt:lpstr>
      <vt:lpstr>Method</vt:lpstr>
      <vt:lpstr>Verify</vt:lpstr>
      <vt:lpstr>BlankKg</vt:lpstr>
      <vt:lpstr>BlankL</vt:lpstr>
      <vt:lpstr>BlankW</vt:lpstr>
      <vt:lpstr>BreakList</vt:lpstr>
      <vt:lpstr>BuyMarkup</vt:lpstr>
      <vt:lpstr>CoName</vt:lpstr>
      <vt:lpstr>Currency</vt:lpstr>
      <vt:lpstr>Customer</vt:lpstr>
      <vt:lpstr>CutCost</vt:lpstr>
      <vt:lpstr>CutLen</vt:lpstr>
      <vt:lpstr>CutMachine</vt:lpstr>
      <vt:lpstr>CutMin</vt:lpstr>
      <vt:lpstr>CutRate</vt:lpstr>
      <vt:lpstr>CutSetupCost</vt:lpstr>
      <vt:lpstr>CutSetupH</vt:lpstr>
      <vt:lpstr>CutSpeed</vt:lpstr>
      <vt:lpstr>CycleMin</vt:lpstr>
      <vt:lpstr>DashBreak</vt:lpstr>
      <vt:lpstr>Density</vt:lpstr>
      <vt:lpstr>DimUnit</vt:lpstr>
      <vt:lpstr>Edge</vt:lpstr>
      <vt:lpstr>FPY</vt:lpstr>
      <vt:lpstr>Gap</vt:lpstr>
      <vt:lpstr>HardwarePP</vt:lpstr>
      <vt:lpstr>KpiCost</vt:lpstr>
      <vt:lpstr>KpiMargin</vt:lpstr>
      <vt:lpstr>KpiPPS</vt:lpstr>
      <vt:lpstr>KpiPrice</vt:lpstr>
      <vt:lpstr>Margin</vt:lpstr>
      <vt:lpstr>Material</vt:lpstr>
      <vt:lpstr>NestCheck</vt:lpstr>
      <vt:lpstr>NRot</vt:lpstr>
      <vt:lpstr>NUnrot</vt:lpstr>
      <vt:lpstr>Overhead</vt:lpstr>
      <vt:lpstr>PartDesc</vt:lpstr>
      <vt:lpstr>PartNo</vt:lpstr>
      <vt:lpstr>Pierces</vt:lpstr>
      <vt:lpstr>PierceSec</vt:lpstr>
      <vt:lpstr>PPS</vt:lpstr>
      <vt:lpstr>PreparedBy</vt:lpstr>
      <vt:lpstr>PriceKg</vt:lpstr>
      <vt:lpstr>Dashboard!Print_Area</vt:lpstr>
      <vt:lpstr>Estimate!Print_Area</vt:lpstr>
      <vt:lpstr>Method!Print_Area</vt:lpstr>
      <vt:lpstr>Setup!Print_Area</vt:lpstr>
      <vt:lpstr>'Start Here'!Print_Area</vt:lpstr>
      <vt:lpstr>Verify!Print_Area</vt:lpstr>
      <vt:lpstr>Method!Print_Titles</vt:lpstr>
      <vt:lpstr>QuoteDate</vt:lpstr>
      <vt:lpstr>RoundStep</vt:lpstr>
      <vt:lpstr>RunCost</vt:lpstr>
      <vt:lpstr>SelfCheck</vt:lpstr>
      <vt:lpstr>SelfCheckSummary</vt:lpstr>
      <vt:lpstr>SelIdx</vt:lpstr>
      <vt:lpstr>SetupCost</vt:lpstr>
      <vt:lpstr>SetupHours</vt:lpstr>
      <vt:lpstr>SheetCost</vt:lpstr>
      <vt:lpstr>SheetKg</vt:lpstr>
      <vt:lpstr>SheetL</vt:lpstr>
      <vt:lpstr>SheetMin</vt:lpstr>
      <vt:lpstr>SheetW</vt:lpstr>
      <vt:lpstr>SheetYield</vt:lpstr>
      <vt:lpstr>Thick</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Sheet Metal Part Cost Estimator - free Excel template from MFG Calcs</dc:title>
  <dc:subject>Estimate a sheet metal part from its flat blank: parts per sheet, material, laser time, bends, hardware and finishing, priced for five quantities.</dc:subject>
  <dc:creator>MFG Calcs</dc:creator>
  <cp:keywords>sheet metal cost, sheet metal estimating, laser cutting cost, nesting, parts per sheet, press brake, fabrication quote, flat blank</cp:keywords>
  <dc:description>https://www.mfgcalcs.com/templates/sheet-metal-cost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sheet-metal-cost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form</vt:lpwstr>
  </property>
  <property fmtid="{D5CDD505-2E9C-101B-9397-08002B2CF9AE}" pid="6" name="Template URL">
    <vt:lpwstr>https://www.mfgcalcs.com/templates/sheet-metal-cost</vt:lpwstr>
  </property>
  <property fmtid="{D5CDD505-2E9C-101B-9397-08002B2CF9AE}" pid="7" name="Template sheet roles">
    <vt:lpwstr>Start Here=start;Setup=setup;Estimate=form;Dashboard=dashboard;Method=method;Verify=verify</vt:lpwstr>
  </property>
</Properties>
</file>