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Shift Log" sheetId="3" r:id="rId3"/>
    <sheet name="Dashboard" sheetId="4" r:id="rId4"/>
    <sheet name="Method" sheetId="5" r:id="rId5"/>
    <sheet name="Verify" sheetId="6" r:id="rId6"/>
  </sheets>
  <definedNames>
    <definedName name="DashFrom">Dashboard!$G$4</definedName>
    <definedName name="DashLine">Dashboard!$C$4</definedName>
    <definedName name="DashTo">Dashboard!$K$4</definedName>
    <definedName name="FFrom">IF(DashFrom="",0,DashFrom)</definedName>
    <definedName name="FTo">IF(DashTo="",2958465,DashTo)</definedName>
    <definedName name="KpiAttain">Dashboard!$B$8</definedName>
    <definedName name="KpiDown">Dashboard!$G$30</definedName>
    <definedName name="KpiEff">Dashboard!$D$8</definedName>
    <definedName name="KpiFPY">Dashboard!$G$8</definedName>
    <definedName name="KpiGood">Dashboard!$B$30</definedName>
    <definedName name="KpiScrap">Dashboard!$D$30</definedName>
    <definedName name="KpiTop">Dashboard!$J$30</definedName>
    <definedName name="KpiUPLH">Dashboard!$J$8</definedName>
    <definedName name="Lines">tblLines[Line]</definedName>
    <definedName name="PlantName">Setup!$C$6</definedName>
    <definedName name="_xlnm.Print_Area" localSheetId="3">Dashboard!$A$1:$L$84</definedName>
    <definedName name="_xlnm.Print_Area" localSheetId="4">Method!$A$1:$D$56</definedName>
    <definedName name="_xlnm.Print_Area" localSheetId="1">Setup!$A$1:$E$44</definedName>
    <definedName name="_xlnm.Print_Area" localSheetId="2">'Shift Log'!$A$1:$W$65</definedName>
    <definedName name="_xlnm.Print_Area" localSheetId="0">'Start Here'!$A$1:$F$55</definedName>
    <definedName name="_xlnm.Print_Area" localSheetId="5">Verify!$A$1:$W$52</definedName>
    <definedName name="_xlnm.Print_Titles" localSheetId="4">Method!$1:$2</definedName>
    <definedName name="_xlnm.Print_Titles" localSheetId="2">'Shift Log'!$1:$5</definedName>
    <definedName name="Products">tblProducts[Product]</definedName>
    <definedName name="Reasons">tblReasons[Reason]</definedName>
    <definedName name="SelfCheck">Verify!$D$4</definedName>
    <definedName name="SelfCheckSummary">Verify!$F$4</definedName>
    <definedName name="ShiftList">tblShiftList[Shift]</definedName>
    <definedName name="TargetAttain">Setup!$C$7</definedName>
    <definedName name="TargetEff">Setup!$C$8</definedName>
    <definedName name="TargetFPY">Setup!$C$9</definedName>
    <definedName name="TargetUPLH">Setup!$C$10</definedName>
  </definedNames>
  <calcPr calcId="124519" fullCalcOnLoad="1"/>
</workbook>
</file>

<file path=xl/sharedStrings.xml><?xml version="1.0" encoding="utf-8"?>
<sst xmlns="http://schemas.openxmlformats.org/spreadsheetml/2006/main" count="727" uniqueCount="284">
  <si>
    <t>Shift Production Report</t>
  </si>
  <si>
    <t>Read this first: what the workbook does and how to use it.</t>
  </si>
  <si>
    <t>mfgcalcs.com</t>
  </si>
  <si>
    <t>Record each line's shift in one row and see plan attainment, line efficiency, yield, labour productivity and the main stop reasons by day, line and shift.</t>
  </si>
  <si>
    <t>For: Shift supervisors, team leaders, production managers and plant managers who run a daily production meeting.</t>
  </si>
  <si>
    <t>Version 1.0.0  ·  updated 15 October 2026</t>
  </si>
  <si>
    <t>Quick start</t>
  </si>
  <si>
    <t>1.</t>
  </si>
  <si>
    <t>On Setup, type your plant name and targets, then replace the example lines, shifts, products (with their rated speeds) and loss reasons.</t>
  </si>
  <si>
    <t>2.</t>
  </si>
  <si>
    <t>At the end of each shift, add one row per line on Shift Log: scheduled quantity, planned minutes, downtime and its main reason, units made, good units, labour hours and a handover note.</t>
  </si>
  <si>
    <t>3.</t>
  </si>
  <si>
    <t>Read the Check column: anything other than OK names the problem in words.</t>
  </si>
  <si>
    <t>4.</t>
  </si>
  <si>
    <t>Open the Dashboard for the morning meeting. Filter by line or set From and To to one day for that day's report.</t>
  </si>
  <si>
    <t>What is in this workbook</t>
  </si>
  <si>
    <t>Start Here</t>
  </si>
  <si>
    <t>Setup</t>
  </si>
  <si>
    <t>Plant name, targets, and the line, shift, product (rated speed) and loss-reason lists.</t>
  </si>
  <si>
    <t>Shift Log</t>
  </si>
  <si>
    <t>One row per line per shift: scheduled quantity, time, output, labour and the handover note.</t>
  </si>
  <si>
    <t>Dashboard</t>
  </si>
  <si>
    <t>Plan attainment, line efficiency, yield and the main losses, for the line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</si>
  <si>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</si>
  <si>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</si>
  <si>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</si>
  <si>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</si>
  <si>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</si>
  <si>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</si>
  <si>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</si>
  <si>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</si>
  <si>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</si>
  <si>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</si>
  <si>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</si>
  <si>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</si>
  <si>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</si>
  <si>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</si>
  <si>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</si>
  <si>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</si>
  <si>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</si>
  <si>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</si>
  <si>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</si>
  <si>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</si>
  <si>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Line Efficiency Calculator on mfgcalcs.com</t>
  </si>
  <si>
    <t>Latest version</t>
  </si>
  <si>
    <t>mfgcalcs.com/templates/shift-production-report</t>
  </si>
  <si>
    <t>More free templates</t>
  </si>
  <si>
    <t>mfgcalcs.com/templates</t>
  </si>
  <si>
    <t>Version</t>
  </si>
  <si>
    <t>1.0.0 (updated 15 October 2026)</t>
  </si>
  <si>
    <t>About the example data</t>
  </si>
  <si>
    <t>Every number already in this workbook is example data for Ashdown Household Products, a fictional business invented for this template, so the dashboard and charts show something meaningful on day one. It covers three filling lines on two shifts over ten working days (14 to 25 September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</si>
  <si>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</si>
  <si>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</si>
  <si>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</si>
  <si>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</si>
  <si>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</si>
  <si>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</si>
  <si>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</si>
  <si>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</si>
  <si>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Line</t>
  </si>
  <si>
    <t>Area</t>
  </si>
  <si>
    <t>Description</t>
  </si>
  <si>
    <t>Shift</t>
  </si>
  <si>
    <t>Hours</t>
  </si>
  <si>
    <t>Notes</t>
  </si>
  <si>
    <t>Product</t>
  </si>
  <si>
    <t>Rated speed (units/h)</t>
  </si>
  <si>
    <t>Reason</t>
  </si>
  <si>
    <t>Definition</t>
  </si>
  <si>
    <t>Plant and targets</t>
  </si>
  <si>
    <t>Plant name</t>
  </si>
  <si>
    <t>Ashdown Household Products (example)</t>
  </si>
  <si>
    <t>Plan attainment target</t>
  </si>
  <si>
    <t>Line efficiency target</t>
  </si>
  <si>
    <t>First-pass yield target</t>
  </si>
  <si>
    <t>Units per labour hour target</t>
  </si>
  <si>
    <t>units/labour h</t>
  </si>
  <si>
    <t>Targets are yours to set; nothing in this workbook assumes an industry benchmark. 'Near target' means within 5% of the target (90.25% to 95% against a 95% attainment target).</t>
  </si>
  <si>
    <t>Lists that feed the dropdowns</t>
  </si>
  <si>
    <t>Edit, add or remove rows; every dropdown on the Shift Log reads these lists. Rated speed is the speed the line is designed or proven to run a product at (units per hour), not a slow average.</t>
  </si>
  <si>
    <t>Lines</t>
  </si>
  <si>
    <t>L1</t>
  </si>
  <si>
    <t>Filling hall</t>
  </si>
  <si>
    <t>Rotary filler, 12 heads, capper, labeller</t>
  </si>
  <si>
    <t>L2</t>
  </si>
  <si>
    <t>Inline filler, 8 heads, chuck capper, labeller</t>
  </si>
  <si>
    <t>L3</t>
  </si>
  <si>
    <t>Pouch room</t>
  </si>
  <si>
    <t>Pouch filler and sealer, case packer</t>
  </si>
  <si>
    <t>Shifts</t>
  </si>
  <si>
    <t>Early</t>
  </si>
  <si>
    <t>06:00 to 14:00</t>
  </si>
  <si>
    <t>30 min break is not planned time</t>
  </si>
  <si>
    <t>Late</t>
  </si>
  <si>
    <t>14:00 to 22:00</t>
  </si>
  <si>
    <t>Products and rated speeds</t>
  </si>
  <si>
    <t>Dish soap 500 ml</t>
  </si>
  <si>
    <t>Bottle, flip cap</t>
  </si>
  <si>
    <t>Hand wash 250 ml</t>
  </si>
  <si>
    <t>Bottle, pump</t>
  </si>
  <si>
    <t>Surface spray 750 ml</t>
  </si>
  <si>
    <t>Bottle, trigger</t>
  </si>
  <si>
    <t>Refill pouch 1 l</t>
  </si>
  <si>
    <t>Stand-up pouch</t>
  </si>
  <si>
    <t>Loss reasons</t>
  </si>
  <si>
    <t>Changeover</t>
  </si>
  <si>
    <t>Product or format change, last good unit to first good unit</t>
  </si>
  <si>
    <t>Capper jam</t>
  </si>
  <si>
    <t>Caps or pumps jammed in the chute or the chuck</t>
  </si>
  <si>
    <t>Filler fault</t>
  </si>
  <si>
    <t>Nozzle, valve, level or drive fault</t>
  </si>
  <si>
    <t>Labeller fault</t>
  </si>
  <si>
    <t>Label web break, skew or sensor fault</t>
  </si>
  <si>
    <t>Material shortage</t>
  </si>
  <si>
    <t>No bottles, caps, labels, pouches or bulk liquid at the line</t>
  </si>
  <si>
    <t>Quality hold</t>
  </si>
  <si>
    <t>Line stopped pending a quality decision</t>
  </si>
  <si>
    <t>No operator</t>
  </si>
  <si>
    <t>Line ready but not staffed</t>
  </si>
  <si>
    <t>Other</t>
  </si>
  <si>
    <t>Anything else; say what in the handover note</t>
  </si>
  <si>
    <t>Date</t>
  </si>
  <si>
    <t>Plan (units)</t>
  </si>
  <si>
    <t>Planned (min)</t>
  </si>
  <si>
    <t>Downtime (min)</t>
  </si>
  <si>
    <t>Main loss</t>
  </si>
  <si>
    <t>Made (units)</t>
  </si>
  <si>
    <t>Good (units)</t>
  </si>
  <si>
    <t>Labour (h)</t>
  </si>
  <si>
    <t>Capacity (units)</t>
  </si>
  <si>
    <t>Scrap (units)</t>
  </si>
  <si>
    <t>Attainment</t>
  </si>
  <si>
    <t>Line efficiency</t>
  </si>
  <si>
    <t>First-pass yield</t>
  </si>
  <si>
    <t>Units per labour h</t>
  </si>
  <si>
    <t>Plan status</t>
  </si>
  <si>
    <t>View date</t>
  </si>
  <si>
    <t>Check</t>
  </si>
  <si>
    <t>Handover note</t>
  </si>
  <si>
    <t>Example data for Ashdown Household Products (fictional). Replace it with your own: select the example rows, right-click, Delete &gt; Table Rows. Yellow = you type; blue = calculated; Check names any problem.</t>
  </si>
  <si>
    <t/>
  </si>
  <si>
    <t>Capper chute cleared twice; maintenance to check the cap sorter</t>
  </si>
  <si>
    <t>Changed over to Surface spray 750 ml</t>
  </si>
  <si>
    <t>Changed over to Dish soap 500 ml</t>
  </si>
  <si>
    <t>Changed over to Hand wash 250 ml</t>
  </si>
  <si>
    <t>Waited for bottles from the warehouse</t>
  </si>
  <si>
    <t>From</t>
  </si>
  <si>
    <t>To</t>
  </si>
  <si>
    <t>PLAN ATTAINMENT</t>
  </si>
  <si>
    <t>LINE EFFICIENCY</t>
  </si>
  <si>
    <t>FIRST-PASS YIELD</t>
  </si>
  <si>
    <t>UNITS PER LABOUR HOUR</t>
  </si>
  <si>
    <t>GOOD UNITS</t>
  </si>
  <si>
    <t>SCRAPPED UNITS</t>
  </si>
  <si>
    <t>DOWNTIME HOURS</t>
  </si>
  <si>
    <t>BIGGEST LOSS REASON</t>
  </si>
  <si>
    <t>First-pass good units in view</t>
  </si>
  <si>
    <t>Made - good</t>
  </si>
  <si>
    <t>Stops inside planned time</t>
  </si>
  <si>
    <t>Ranked by minutes, see the Pareto</t>
  </si>
  <si>
    <t>Daily summary (last 10 production days in view)</t>
  </si>
  <si>
    <t>Downtime (h)</t>
  </si>
  <si>
    <t>Attainment target</t>
  </si>
  <si>
    <t>By line</t>
  </si>
  <si>
    <t>By shift</t>
  </si>
  <si>
    <t>Downtime by main loss reason (Pareto)</t>
  </si>
  <si>
    <t>Attain.</t>
  </si>
  <si>
    <t>Line eff.</t>
  </si>
  <si>
    <t>FPY</t>
  </si>
  <si>
    <t>Units/lab. h</t>
  </si>
  <si>
    <t>Rank</t>
  </si>
  <si>
    <t>Main loss reason</t>
  </si>
  <si>
    <t>Minutes</t>
  </si>
  <si>
    <t>Share</t>
  </si>
  <si>
    <t>Cumulative</t>
  </si>
  <si>
    <t>Helper: Main loss reason (list order)</t>
  </si>
  <si>
    <t>Helper: value (-1 = unused slot)</t>
  </si>
  <si>
    <t>Helper: rank, ties by list order</t>
  </si>
  <si>
    <t>min</t>
  </si>
  <si>
    <t>%</t>
  </si>
  <si>
    <t>Total</t>
  </si>
  <si>
    <t>The Dashboard shows the 3 lines, 2 shifts and 8 loss reasons of the Setup lists. If you add more, extend the 'By line', 'By shift' and Pareto blocks (see Method) or they will not appear here.</t>
  </si>
  <si>
    <t>What this workbook calculates</t>
  </si>
  <si>
    <t>One row per line per shift holds what was scheduled, what was made and what was good, the planned and lost minutes and the labour hours. Four ratios answer the shift meeting's questions: plan attainment (did we make what was scheduled), line efficiency (how close to rated speed the line ran over its planned time), first-pass yield (how much came out right first time) and units per labour hour. Every roll-up adds the quantities first and divides last, so a day, a line or a filter is weighted by its volume, never an average of percentages.</t>
  </si>
  <si>
    <t>Calculations</t>
  </si>
  <si>
    <t>Quantity</t>
  </si>
  <si>
    <t>How it is calculated</t>
  </si>
  <si>
    <t>Units</t>
  </si>
  <si>
    <t>Rated speed</t>
  </si>
  <si>
    <t>Looked up from the Products list on Setup by product (INDEX/MATCH): good units per hour the line is designed or proven to run.</t>
  </si>
  <si>
    <t>units/h</t>
  </si>
  <si>
    <t>Capacity</t>
  </si>
  <si>
    <t>Rated speed x planned minutes / 60: what the line could make in the planned time.</t>
  </si>
  <si>
    <t>units</t>
  </si>
  <si>
    <t>Scrap</t>
  </si>
  <si>
    <t>Made - good.</t>
  </si>
  <si>
    <t>Plan attainment</t>
  </si>
  <si>
    <t>Good / scheduled (plan) units. Over several rows: sum of good / sum of plan.</t>
  </si>
  <si>
    <t>Good / capacity at rated speed. Over several rows: sum of good / sum of capacity. Downtime, slow running and scrap all lower it.</t>
  </si>
  <si>
    <t>Good / made. Over several rows: sum of good / sum of made.</t>
  </si>
  <si>
    <t>Units per labour hour</t>
  </si>
  <si>
    <t>Good / paid labour hours. Over several rows: sum of good / sum of labour hours.</t>
  </si>
  <si>
    <t>On target at or above the attainment target, Near target within 5% below it, Below target otherwise.</t>
  </si>
  <si>
    <t>-</t>
  </si>
  <si>
    <t>Downtime and the Pareto</t>
  </si>
  <si>
    <t>Downtime minutes per row, summed by the row's main loss reason (all of a row's downtime is counted under its main reason), ranked by COUNTIF ranks with share and cumulative share. Hidden helper columns AO:AQ hold the unsorted values and ranks.</t>
  </si>
  <si>
    <t>min, %</t>
  </si>
  <si>
    <t>Dashboard roll-ups</t>
  </si>
  <si>
    <t>SUMIFS over the Shift Log restricted to rows whose View date is filled in (inside the line and date filters).</t>
  </si>
  <si>
    <t>Assumptions</t>
  </si>
  <si>
    <t>One product per line per shift. If a line changes product mid-shift, split the shift into two rows with their own planned minutes and plan quantities.</t>
  </si>
  <si>
    <t>Rated speed is per product and the same on every line that runs it; if lines differ, name products per line (for example 'Dish soap 500 ml L2').</t>
  </si>
  <si>
    <t>Plan is the quantity the schedule asked for in the shift; capacity is what rated speed allows in the planned time. They differ when the plan is loaded below rated speed.</t>
  </si>
  <si>
    <t>Good units are first-pass good: reworked units count as made but not good.</t>
  </si>
  <si>
    <t>Limitations</t>
  </si>
  <si>
    <t>Only the main loss reason is recorded per row, so the Pareto attributes each row's downtime to one reason. For stop-by-stop reasons use the OEE Tracker template's downtime log.</t>
  </si>
  <si>
    <t>The Dashboard has fixed blocks for the number of lines, shifts and reasons in the example lists; longer lists need the blocks extended (a warning appears on the Dashboard).</t>
  </si>
  <si>
    <t>The daily block shows the last 10 production days inside the filters.</t>
  </si>
  <si>
    <t>Units per labour hour compares a line with itself over time; lines with different products and crew sizes are not a fair league table.</t>
  </si>
  <si>
    <t>Agreement with the live calculator</t>
  </si>
  <si>
    <t>Line efficiency here is the live Line Efficiency calculator's ratio for one row: good units / demonstrated good-unit capacity, with capacity = rated speed x planned minutes / 60. For the calculator's example (850 good units against a capacity of 1,000 and a 90% target: 85.0% efficiency, 5.0 points below target, 150 units short) the template's reference gives the same three numbers, checked against the calculator's engine on every build. The calculator takes the capacity as given; this workbook derives it per shift and adds plan attainment, yield, labour productivity and the logs.</t>
  </si>
  <si>
    <t>Open the Line Efficiency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</si>
  <si>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</si>
  <si>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</si>
  <si>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22400-2:2014, Key performance indicators for manufacturing operations management (production time model and the ratios of good quantity to planned and produced quantity).</t>
  </si>
  <si>
    <t>MFG Calcs Line Efficiency calculator (line-efficiency): actual good output / demonstrated good-unit capacity.</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</si>
  <si>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</si>
  <si>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</si>
  <si>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</si>
  <si>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</si>
  <si>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</si>
  <si>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</si>
  <si>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</si>
  <si>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</si>
  <si>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</si>
  <si>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</si>
  <si>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</si>
  <si>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</si>
  <si>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</si>
  <si>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</si>
  <si>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</si>
  <si>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capacity</t>
  </si>
  <si>
    <t>Row 1 (calculator example): attainment</t>
  </si>
  <si>
    <t>Row 1 (calculator example): line efficiency</t>
  </si>
  <si>
    <t>Row 1 (calculator example): first-pass yield</t>
  </si>
  <si>
    <t>Row 1 (calculator example): units per labour h</t>
  </si>
  <si>
    <t>Row 2 (no downtime, above plan): capacity</t>
  </si>
  <si>
    <t>Row 2 (no downtime, above plan): attainment</t>
  </si>
  <si>
    <t>Row 2 (no downtime, above plan): line efficiency</t>
  </si>
  <si>
    <t>Row 2 (no downtime, above plan): first-pass yield</t>
  </si>
  <si>
    <t>Row 2 (no downtime, above plan): units per labour h</t>
  </si>
  <si>
    <t>Row 3 (long stop): capacity</t>
  </si>
  <si>
    <t>Row 3 (long stop): attainment</t>
  </si>
  <si>
    <t>Row 3 (long stop): line efficiency</t>
  </si>
  <si>
    <t>Row 3 (long stop): first-pass yield</t>
  </si>
  <si>
    <t>Row 3 (long stop): units per labour h</t>
  </si>
  <si>
    <t>Row 1: plan status (94.4% against 95%)</t>
  </si>
  <si>
    <t>Near target</t>
  </si>
  <si>
    <t>exact</t>
  </si>
  <si>
    <t>Row 2: plan status (above plan)</t>
  </si>
  <si>
    <t>On target</t>
  </si>
  <si>
    <t>Row 3: scrap</t>
  </si>
  <si>
    <t>Row 4: Check asks for the main loss reason</t>
  </si>
  <si>
    <t>Give the main loss reason</t>
  </si>
  <si>
    <t>All rows: plan attainment (Dashboard formula)</t>
  </si>
  <si>
    <t>All rows: line efficiency (Dashboard formula)</t>
  </si>
  <si>
    <t>All rows: first-pass yield (Dashboard formula)</t>
  </si>
  <si>
    <t>All rows: units per labour hour (Dashboard formula)</t>
  </si>
  <si>
    <t>Fixed test inputs</t>
  </si>
  <si>
    <t>White cells are fixed test inputs; blue cells are the workbook's formulas evaluated on them.</t>
  </si>
  <si>
    <t>Parameters</t>
  </si>
  <si>
    <t>Filter: from (0 = no limit)</t>
  </si>
  <si>
    <t>Filter: to (2958465 = no limit)</t>
  </si>
  <si>
    <t>Filter: line (blank = all)</t>
  </si>
  <si>
    <t>Test table: Log</t>
  </si>
  <si>
    <t>S1</t>
  </si>
  <si>
    <t>A</t>
  </si>
  <si>
    <t>P1</t>
  </si>
  <si>
    <t>R1</t>
  </si>
  <si>
    <t>S2</t>
  </si>
  <si>
    <t>P2</t>
  </si>
  <si>
    <t>B</t>
  </si>
  <si>
    <t>R2</t>
  </si>
</sst>
</file>

<file path=xl/styles.xml><?xml version="1.0" encoding="utf-8"?>
<styleSheet xmlns="http://schemas.openxmlformats.org/spreadsheetml/2006/main">
  <numFmts count="9">
    <numFmt numFmtId="164" formatCode="0.0%"/>
    <numFmt numFmtId="165" formatCode="#,##0.0"/>
    <numFmt numFmtId="166" formatCode="#,##0"/>
    <numFmt numFmtId="167" formatCode="d mmm yyyy"/>
    <numFmt numFmtId="168" formatCode="&quot;Target &quot;0.0%"/>
    <numFmt numFmtId="169" formatCode="&quot;Target &quot;#,##0.0"/>
    <numFmt numFmtId="170" formatCode="ddd d mmm"/>
    <numFmt numFmtId="171" formatCode="0.0E+00"/>
    <numFmt numFmtId="172" formatCode="#,##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9">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166" fontId="10" fillId="3" borderId="2" xfId="0" applyNumberFormat="1" applyFont="1" applyFill="1" applyBorder="1" applyAlignment="1" applyProtection="1">
      <alignment vertical="center"/>
      <protection locked="0"/>
    </xf>
    <xf numFmtId="0" fontId="19" fillId="7" borderId="2" xfId="0" applyFont="1" applyFill="1" applyBorder="1" applyAlignment="1">
      <alignment vertical="center" wrapText="1"/>
    </xf>
    <xf numFmtId="167"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7" fontId="10" fillId="4" borderId="3" xfId="0" applyNumberFormat="1" applyFont="1" applyFill="1" applyBorder="1" applyAlignment="1">
      <alignment vertical="center"/>
    </xf>
    <xf numFmtId="0" fontId="2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7" fontId="10" fillId="3" borderId="2" xfId="0" applyNumberFormat="1" applyFont="1" applyFill="1" applyBorder="1" applyAlignment="1" applyProtection="1">
      <alignment horizontal="left" vertical="center"/>
      <protection locked="0"/>
    </xf>
    <xf numFmtId="0" fontId="21"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168" fontId="23"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6" fontId="4" fillId="9" borderId="7" xfId="0" applyNumberFormat="1" applyFont="1" applyFill="1" applyBorder="1" applyAlignment="1">
      <alignment horizontal="left" vertical="center"/>
    </xf>
    <xf numFmtId="0" fontId="24" fillId="9" borderId="7" xfId="0" applyFont="1" applyFill="1" applyBorder="1" applyAlignment="1">
      <alignment horizontal="left" vertical="center"/>
    </xf>
    <xf numFmtId="0" fontId="23" fillId="9" borderId="7" xfId="0" applyFont="1" applyFill="1" applyBorder="1" applyAlignment="1">
      <alignment vertical="center"/>
    </xf>
    <xf numFmtId="0" fontId="18" fillId="2" borderId="5" xfId="0" applyFont="1" applyFill="1" applyBorder="1" applyAlignment="1">
      <alignment horizontal="left" vertical="center" wrapText="1"/>
    </xf>
    <xf numFmtId="170" fontId="9" fillId="0" borderId="9" xfId="0" applyNumberFormat="1" applyFont="1" applyBorder="1" applyAlignment="1">
      <alignment vertical="center"/>
    </xf>
    <xf numFmtId="164" fontId="10" fillId="0" borderId="9" xfId="0" applyNumberFormat="1" applyFont="1" applyBorder="1" applyAlignment="1">
      <alignment vertical="center"/>
    </xf>
    <xf numFmtId="0" fontId="9" fillId="0" borderId="9" xfId="0" applyFont="1" applyBorder="1" applyAlignment="1">
      <alignment vertical="center"/>
    </xf>
    <xf numFmtId="0" fontId="21" fillId="0" borderId="0" xfId="0" applyFont="1" applyAlignment="1">
      <alignment horizontal="center" vertical="center"/>
    </xf>
    <xf numFmtId="166" fontId="9" fillId="0" borderId="9" xfId="0" applyNumberFormat="1" applyFont="1" applyBorder="1" applyAlignment="1">
      <alignment horizontal="center" vertical="center"/>
    </xf>
    <xf numFmtId="0" fontId="10" fillId="4" borderId="3" xfId="0" applyFont="1" applyFill="1" applyBorder="1" applyAlignment="1">
      <alignment vertical="center"/>
    </xf>
    <xf numFmtId="166" fontId="10" fillId="0" borderId="0" xfId="0" applyNumberFormat="1" applyFont="1" applyAlignment="1">
      <alignment vertical="center"/>
    </xf>
    <xf numFmtId="0" fontId="9" fillId="4" borderId="10" xfId="0" applyFont="1" applyFill="1" applyBorder="1" applyAlignment="1">
      <alignment vertical="center"/>
    </xf>
    <xf numFmtId="166"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72" fontId="10" fillId="0" borderId="9" xfId="0" applyNumberFormat="1" applyFont="1" applyBorder="1" applyAlignment="1">
      <alignment vertical="center"/>
    </xf>
    <xf numFmtId="172" fontId="10" fillId="4" borderId="3" xfId="0" applyNumberFormat="1" applyFont="1" applyFill="1" applyBorder="1" applyAlignment="1">
      <alignment vertical="center"/>
    </xf>
    <xf numFmtId="166"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Plan attainment by day</a:t>
            </a:r>
          </a:p>
        </c:rich>
      </c:tx>
      <c:layout/>
    </c:title>
    <c:plotArea>
      <c:layout/>
      <c:barChart>
        <c:barDir val="col"/>
        <c:grouping val="clustered"/>
        <c:ser>
          <c:idx val="0"/>
          <c:order val="0"/>
          <c:tx>
            <c:v>Attainment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Dashboard!$B$53:$B$62</c:f>
              <c:numCache>
                <c:formatCode>General</c:formatCode>
                <c:ptCount val="10"/>
                <c:pt idx="0">
                  <c:v>46279</c:v>
                </c:pt>
                <c:pt idx="1">
                  <c:v>46280</c:v>
                </c:pt>
                <c:pt idx="2">
                  <c:v>46281</c:v>
                </c:pt>
                <c:pt idx="3">
                  <c:v>46282</c:v>
                </c:pt>
                <c:pt idx="4">
                  <c:v>46283</c:v>
                </c:pt>
                <c:pt idx="5">
                  <c:v>46286</c:v>
                </c:pt>
                <c:pt idx="6">
                  <c:v>46287</c:v>
                </c:pt>
                <c:pt idx="7">
                  <c:v>46288</c:v>
                </c:pt>
                <c:pt idx="8">
                  <c:v>46289</c:v>
                </c:pt>
                <c:pt idx="9">
                  <c:v>46290</c:v>
                </c:pt>
              </c:numCache>
            </c:numRef>
          </c:cat>
          <c:val>
            <c:numRef>
              <c:f>Dashboard!$G$53:$G$62</c:f>
              <c:numCache>
                <c:formatCode>General</c:formatCode>
                <c:ptCount val="10"/>
                <c:pt idx="0">
                  <c:v>0.964801444043321</c:v>
                </c:pt>
                <c:pt idx="1">
                  <c:v>0.952140957446809</c:v>
                </c:pt>
                <c:pt idx="2">
                  <c:v>0.949229797979798</c:v>
                </c:pt>
                <c:pt idx="3">
                  <c:v>0.909747003994674</c:v>
                </c:pt>
                <c:pt idx="4">
                  <c:v>0.968974683544304</c:v>
                </c:pt>
                <c:pt idx="5">
                  <c:v>0.958109187749667</c:v>
                </c:pt>
                <c:pt idx="6">
                  <c:v>0.976123595505618</c:v>
                </c:pt>
                <c:pt idx="7">
                  <c:v>0.943143939393939</c:v>
                </c:pt>
                <c:pt idx="8">
                  <c:v>0.938795180722892</c:v>
                </c:pt>
                <c:pt idx="9">
                  <c:v>0.926409638554217</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numRef>
              <c:f>Dashboard!$B$53:$B$62</c:f>
              <c:numCache>
                <c:formatCode>General</c:formatCode>
                <c:ptCount val="10"/>
                <c:pt idx="0">
                  <c:v>46279</c:v>
                </c:pt>
                <c:pt idx="1">
                  <c:v>46280</c:v>
                </c:pt>
                <c:pt idx="2">
                  <c:v>46281</c:v>
                </c:pt>
                <c:pt idx="3">
                  <c:v>46282</c:v>
                </c:pt>
                <c:pt idx="4">
                  <c:v>46283</c:v>
                </c:pt>
                <c:pt idx="5">
                  <c:v>46286</c:v>
                </c:pt>
                <c:pt idx="6">
                  <c:v>46287</c:v>
                </c:pt>
                <c:pt idx="7">
                  <c:v>46288</c:v>
                </c:pt>
                <c:pt idx="8">
                  <c:v>46289</c:v>
                </c:pt>
                <c:pt idx="9">
                  <c:v>46290</c:v>
                </c:pt>
              </c:numCache>
            </c:numRef>
          </c:cat>
          <c:val>
            <c:numRef>
              <c:f>Dashboard!$K$53:$K$62</c:f>
              <c:numCache>
                <c:formatCode>General</c:formatCode>
                <c:ptCount val="10"/>
                <c:pt idx="0">
                  <c:v>0.95</c:v>
                </c:pt>
                <c:pt idx="1">
                  <c:v>0.95</c:v>
                </c:pt>
                <c:pt idx="2">
                  <c:v>0.95</c:v>
                </c:pt>
                <c:pt idx="3">
                  <c:v>0.95</c:v>
                </c:pt>
                <c:pt idx="4">
                  <c:v>0.95</c:v>
                </c:pt>
                <c:pt idx="5">
                  <c:v>0.95</c:v>
                </c:pt>
                <c:pt idx="6">
                  <c:v>0.95</c:v>
                </c:pt>
                <c:pt idx="7">
                  <c:v>0.95</c:v>
                </c:pt>
                <c:pt idx="8">
                  <c:v>0.95</c:v>
                </c:pt>
                <c:pt idx="9">
                  <c:v>0.95</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2"/>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Attainment and line efficiency by line</a:t>
            </a:r>
          </a:p>
        </c:rich>
      </c:tx>
      <c:layout/>
    </c:title>
    <c:plotArea>
      <c:layout/>
      <c:barChart>
        <c:barDir val="col"/>
        <c:grouping val="clustered"/>
        <c:ser>
          <c:idx val="0"/>
          <c:order val="0"/>
          <c:tx>
            <c:v>Plan attainment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Dashboard!$B$66:$B$68</c:f>
              <c:strCache>
                <c:ptCount val="3"/>
                <c:pt idx="0">
                  <c:v>L1</c:v>
                </c:pt>
                <c:pt idx="1">
                  <c:v>L2</c:v>
                </c:pt>
                <c:pt idx="2">
                  <c:v>L3</c:v>
                </c:pt>
              </c:strCache>
            </c:strRef>
          </c:cat>
          <c:val>
            <c:numRef>
              <c:f>Dashboard!$G$66:$G$68</c:f>
              <c:numCache>
                <c:formatCode>General</c:formatCode>
                <c:ptCount val="3"/>
                <c:pt idx="0">
                  <c:v>0.998374221896741</c:v>
                </c:pt>
                <c:pt idx="1">
                  <c:v>0.881542613636364</c:v>
                </c:pt>
                <c:pt idx="2">
                  <c:v>1.01158227848101</c:v>
                </c:pt>
              </c:numCache>
            </c:numRef>
          </c:val>
        </c:ser>
        <c:ser>
          <c:idx val="1"/>
          <c:order val="1"/>
          <c:tx>
            <c:v>Line efficiency</c:v>
          </c:tx>
          <c:spPr>
            <a:solidFill>
              <a:srgbClr val="E8702A"/>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Dashboard!$B$66:$B$68</c:f>
              <c:strCache>
                <c:ptCount val="3"/>
                <c:pt idx="0">
                  <c:v>L1</c:v>
                </c:pt>
                <c:pt idx="1">
                  <c:v>L2</c:v>
                </c:pt>
                <c:pt idx="2">
                  <c:v>L3</c:v>
                </c:pt>
              </c:strCache>
            </c:strRef>
          </c:cat>
          <c:val>
            <c:numRef>
              <c:f>Dashboard!$H$66:$H$68</c:f>
              <c:numCache>
                <c:formatCode>General</c:formatCode>
                <c:ptCount val="3"/>
                <c:pt idx="0">
                  <c:v>0.878119162640902</c:v>
                </c:pt>
                <c:pt idx="1">
                  <c:v>0.774789013732834</c:v>
                </c:pt>
                <c:pt idx="2">
                  <c:v>0.887944444444444</c:v>
                </c:pt>
              </c:numCache>
            </c:numRef>
          </c:val>
        </c:ser>
        <c:gapWidth val="60"/>
        <c:overlap val="-10"/>
        <c:axId val="50020001"/>
        <c:axId val="50020002"/>
      </c:barChart>
      <c:lineChart>
        <c:grouping val="standard"/>
        <c:ser>
          <c:idx val="2"/>
          <c:order val="2"/>
          <c:tx>
            <c:v>Attainment target</c:v>
          </c:tx>
          <c:spPr>
            <a:ln w="19050">
              <a:solidFill>
                <a:srgbClr val="4A5361"/>
              </a:solidFill>
              <a:prstDash val="dash"/>
            </a:ln>
          </c:spPr>
          <c:marker>
            <c:symbol val="none"/>
          </c:marker>
          <c:cat>
            <c:strRef>
              <c:f>Dashboard!$B$66:$B$68</c:f>
              <c:strCache>
                <c:ptCount val="3"/>
                <c:pt idx="0">
                  <c:v>L1</c:v>
                </c:pt>
                <c:pt idx="1">
                  <c:v>L2</c:v>
                </c:pt>
                <c:pt idx="2">
                  <c:v>L3</c:v>
                </c:pt>
              </c:strCache>
            </c:strRef>
          </c:cat>
          <c:val>
            <c:numRef>
              <c:f>Dashboard!$K$66:$K$68</c:f>
              <c:numCache>
                <c:formatCode>General</c:formatCode>
                <c:ptCount val="3"/>
                <c:pt idx="0">
                  <c:v>0.95</c:v>
                </c:pt>
                <c:pt idx="1">
                  <c:v>0.95</c:v>
                </c:pt>
                <c:pt idx="2">
                  <c:v>0.95</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ax val="1.2"/>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Downtime Pareto</a:t>
            </a:r>
          </a:p>
        </c:rich>
      </c:tx>
      <c:layout/>
    </c:title>
    <c:plotArea>
      <c:layout/>
      <c:barChart>
        <c:barDir val="col"/>
        <c:grouping val="clustered"/>
        <c:ser>
          <c:idx val="0"/>
          <c:order val="0"/>
          <c:tx>
            <c:v>Minutes</c:v>
          </c:tx>
          <c:spPr>
            <a:solidFill>
              <a:srgbClr val="3B64D8"/>
            </a:solidFill>
            <a:ln w="9525">
              <a:solidFill>
                <a:srgbClr val="FFFFFF"/>
              </a:solidFill>
            </a:ln>
          </c:spPr>
          <c:cat>
            <c:strRef>
              <c:f>Dashboard!$H$73:$H$80</c:f>
              <c:strCache>
                <c:ptCount val="8"/>
                <c:pt idx="0">
                  <c:v>Changeover</c:v>
                </c:pt>
                <c:pt idx="1">
                  <c:v>Capper jam</c:v>
                </c:pt>
                <c:pt idx="2">
                  <c:v>Quality hold</c:v>
                </c:pt>
                <c:pt idx="3">
                  <c:v>Material shortage</c:v>
                </c:pt>
                <c:pt idx="4">
                  <c:v>Filler fault</c:v>
                </c:pt>
                <c:pt idx="5">
                  <c:v>Labeller fault</c:v>
                </c:pt>
                <c:pt idx="6">
                  <c:v>No operator</c:v>
                </c:pt>
                <c:pt idx="7">
                  <c:v>Other</c:v>
                </c:pt>
              </c:strCache>
            </c:strRef>
          </c:cat>
          <c:val>
            <c:numRef>
              <c:f>Dashboard!$J$73:$J$80</c:f>
              <c:numCache>
                <c:formatCode>General</c:formatCode>
                <c:ptCount val="8"/>
                <c:pt idx="0">
                  <c:v>635</c:v>
                </c:pt>
                <c:pt idx="1">
                  <c:v>485</c:v>
                </c:pt>
                <c:pt idx="2">
                  <c:v>215</c:v>
                </c:pt>
                <c:pt idx="3">
                  <c:v>190</c:v>
                </c:pt>
                <c:pt idx="4">
                  <c:v>130</c:v>
                </c:pt>
                <c:pt idx="5">
                  <c:v>85</c:v>
                </c:pt>
                <c:pt idx="6">
                  <c:v>50</c:v>
                </c:pt>
                <c:pt idx="7">
                  <c:v>45</c:v>
                </c:pt>
              </c:numCache>
            </c:numRef>
          </c:val>
        </c:ser>
        <c:gapWidth val="40"/>
        <c:axId val="50030001"/>
        <c:axId val="5003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Dashboard!$H$73:$H$80</c:f>
              <c:strCache>
                <c:ptCount val="8"/>
                <c:pt idx="0">
                  <c:v>Changeover</c:v>
                </c:pt>
                <c:pt idx="1">
                  <c:v>Capper jam</c:v>
                </c:pt>
                <c:pt idx="2">
                  <c:v>Quality hold</c:v>
                </c:pt>
                <c:pt idx="3">
                  <c:v>Material shortage</c:v>
                </c:pt>
                <c:pt idx="4">
                  <c:v>Filler fault</c:v>
                </c:pt>
                <c:pt idx="5">
                  <c:v>Labeller fault</c:v>
                </c:pt>
                <c:pt idx="6">
                  <c:v>No operator</c:v>
                </c:pt>
                <c:pt idx="7">
                  <c:v>Other</c:v>
                </c:pt>
              </c:strCache>
            </c:strRef>
          </c:cat>
          <c:val>
            <c:numRef>
              <c:f>Dashboard!$L$73:$L$80</c:f>
              <c:numCache>
                <c:formatCode>General</c:formatCode>
                <c:ptCount val="8"/>
                <c:pt idx="0">
                  <c:v>0.346049046321526</c:v>
                </c:pt>
                <c:pt idx="1">
                  <c:v>0.610354223433243</c:v>
                </c:pt>
                <c:pt idx="2">
                  <c:v>0.727520435967302</c:v>
                </c:pt>
                <c:pt idx="3">
                  <c:v>0.831062670299728</c:v>
                </c:pt>
                <c:pt idx="4">
                  <c:v>0.901907356948229</c:v>
                </c:pt>
                <c:pt idx="5">
                  <c:v>0.948228882833788</c:v>
                </c:pt>
                <c:pt idx="6">
                  <c:v>0.975476839237057</c:v>
                </c:pt>
                <c:pt idx="7">
                  <c:v>1</c:v>
                </c:pt>
              </c:numCache>
            </c:numRef>
          </c:val>
        </c:ser>
        <c:marker val="1"/>
        <c:axId val="60030001"/>
        <c:axId val="60030002"/>
      </c:line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valAx>
        <c:axId val="6003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30001"/>
        <c:crosses val="max"/>
        <c:crossBetween val="between"/>
        <c:majorUnit val="0.2"/>
      </c:valAx>
      <c:catAx>
        <c:axId val="60030001"/>
        <c:scaling>
          <c:orientation val="minMax"/>
        </c:scaling>
        <c:delete val="1"/>
        <c:axPos val="b"/>
        <c:tickLblPos val="none"/>
        <c:crossAx val="6003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Attainment and line efficiency by shift</a:t>
            </a:r>
          </a:p>
        </c:rich>
      </c:tx>
      <c:layout/>
    </c:title>
    <c:plotArea>
      <c:layout/>
      <c:barChart>
        <c:barDir val="col"/>
        <c:grouping val="clustered"/>
        <c:ser>
          <c:idx val="0"/>
          <c:order val="0"/>
          <c:tx>
            <c:v>Plan attainment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Dashboard!$B$72:$B$73</c:f>
              <c:strCache>
                <c:ptCount val="2"/>
                <c:pt idx="0">
                  <c:v>Early</c:v>
                </c:pt>
                <c:pt idx="1">
                  <c:v>Late</c:v>
                </c:pt>
              </c:strCache>
            </c:strRef>
          </c:cat>
          <c:val>
            <c:numRef>
              <c:f>Dashboard!$C$72:$C$73</c:f>
              <c:numCache>
                <c:formatCode>General</c:formatCode>
                <c:ptCount val="2"/>
                <c:pt idx="0">
                  <c:v>0.984493046776233</c:v>
                </c:pt>
                <c:pt idx="1">
                  <c:v>0.911821465428277</c:v>
                </c:pt>
              </c:numCache>
            </c:numRef>
          </c:val>
        </c:ser>
        <c:ser>
          <c:idx val="1"/>
          <c:order val="1"/>
          <c:tx>
            <c:v>Line efficiency</c:v>
          </c:tx>
          <c:spPr>
            <a:solidFill>
              <a:srgbClr val="E8702A"/>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Dashboard!$B$72:$B$73</c:f>
              <c:strCache>
                <c:ptCount val="2"/>
                <c:pt idx="0">
                  <c:v>Early</c:v>
                </c:pt>
                <c:pt idx="1">
                  <c:v>Late</c:v>
                </c:pt>
              </c:strCache>
            </c:strRef>
          </c:cat>
          <c:val>
            <c:numRef>
              <c:f>Dashboard!$D$72:$D$73</c:f>
              <c:numCache>
                <c:formatCode>General</c:formatCode>
                <c:ptCount val="2"/>
                <c:pt idx="0">
                  <c:v>0.86526</c:v>
                </c:pt>
                <c:pt idx="1">
                  <c:v>0.801410430839002</c:v>
                </c:pt>
              </c:numCache>
            </c:numRef>
          </c:val>
        </c:ser>
        <c:gapWidth val="80"/>
        <c:overlap val="-10"/>
        <c:axId val="50040001"/>
        <c:axId val="50040002"/>
      </c:barChart>
      <c:catAx>
        <c:axId val="5004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ax val="1.2"/>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daily plan attainment (good units over scheduled units) for the last ten production days in view, with th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olumn chart of plan attainment and line efficiency for each line over the dates in view, with the attainment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Pareto chart of downtime minutes by main loss reason, largest first, with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Clustered column chart comparing plan attainment and line efficiency for each shift over the dates in view."/>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Lines" displayName="tblLines" ref="B18:D21" totalsRowShown="0">
  <autoFilter ref="B18:D21"/>
  <tableColumns count="3">
    <tableColumn id="1" name="Line"/>
    <tableColumn id="2" name="Area"/>
    <tableColumn id="3" name="Description"/>
  </tableColumns>
  <tableStyleInfo name="TableStyleLight1" showFirstColumn="0" showLastColumn="0" showRowStripes="0" showColumnStripes="0"/>
</table>
</file>

<file path=xl/tables/table2.xml><?xml version="1.0" encoding="utf-8"?>
<table xmlns="http://schemas.openxmlformats.org/spreadsheetml/2006/main" id="2" name="tblShiftList" displayName="tblShiftList" ref="B24:D26" totalsRowShown="0">
  <autoFilter ref="B24:D26"/>
  <tableColumns count="3">
    <tableColumn id="1" name="Shift"/>
    <tableColumn id="2" name="Hours"/>
    <tableColumn id="3" name="Notes"/>
  </tableColumns>
  <tableStyleInfo name="TableStyleLight1" showFirstColumn="0" showLastColumn="0" showRowStripes="0" showColumnStripes="0"/>
</table>
</file>

<file path=xl/tables/table3.xml><?xml version="1.0" encoding="utf-8"?>
<table xmlns="http://schemas.openxmlformats.org/spreadsheetml/2006/main" id="3" name="tblProducts" displayName="tblProducts" ref="B29:D33" totalsRowShown="0">
  <autoFilter ref="B29:D33"/>
  <tableColumns count="3">
    <tableColumn id="1" name="Product"/>
    <tableColumn id="2" name="Rated speed (units/h)"/>
    <tableColumn id="3" name="Notes"/>
  </tableColumns>
  <tableStyleInfo name="TableStyleLight1" showFirstColumn="0" showLastColumn="0" showRowStripes="0" showColumnStripes="0"/>
</table>
</file>

<file path=xl/tables/table4.xml><?xml version="1.0" encoding="utf-8"?>
<table xmlns="http://schemas.openxmlformats.org/spreadsheetml/2006/main" id="4" name="tblReasons" displayName="tblReasons" ref="B36:C44" totalsRowShown="0">
  <autoFilter ref="B36:C44"/>
  <tableColumns count="2">
    <tableColumn id="1" name="Reason"/>
    <tableColumn id="2" name="Definition"/>
  </tableColumns>
  <tableStyleInfo name="TableStyleLight1" showFirstColumn="0" showLastColumn="0" showRowStripes="0" showColumnStripes="0"/>
</table>
</file>

<file path=xl/tables/table5.xml><?xml version="1.0" encoding="utf-8"?>
<table xmlns="http://schemas.openxmlformats.org/spreadsheetml/2006/main" id="5" name="tblLog" displayName="tblLog" ref="B5:W65" totalsRowShown="0">
  <autoFilter ref="B5:W65"/>
  <tableColumns count="22">
    <tableColumn id="1" name="Date"/>
    <tableColumn id="2" name="Shift"/>
    <tableColumn id="3" name="Line"/>
    <tableColumn id="4" name="Product"/>
    <tableColumn id="5" name="Plan (units)"/>
    <tableColumn id="6" name="Planned (min)"/>
    <tableColumn id="7" name="Downtime (min)"/>
    <tableColumn id="8" name="Main loss"/>
    <tableColumn id="9" name="Made (units)"/>
    <tableColumn id="10" name="Good (units)"/>
    <tableColumn id="11" name="Labour (h)"/>
    <tableColumn id="12" name="Rated speed (units/h)">
      <calculatedColumnFormula>IF(tblLog[[#This Row],[Date]]="","",IFERROR(INDEX(tblProducts[Rated speed (units/h)],MATCH(tblLog[[#This Row],[Product]],tblProducts[Product],0)),""))</calculatedColumnFormula>
    </tableColumn>
    <tableColumn id="13" name="Capacity (units)">
      <calculatedColumnFormula>IF(tblLog[[#This Row],[Date]]="","",IF(tblLog[[#This Row],[Rated speed (units/h)]]="","",tblLog[[#This Row],[Rated speed (units/h)]]*tblLog[[#This Row],[Planned (min)]]/60))</calculatedColumnFormula>
    </tableColumn>
    <tableColumn id="14" name="Scrap (units)">
      <calculatedColumnFormula>IF(tblLog[[#This Row],[Date]]="","",tblLog[[#This Row],[Made (units)]]-tblLog[[#This Row],[Good (units)]])</calculatedColumnFormula>
    </tableColumn>
    <tableColumn id="15" name="Attainment">
      <calculatedColumnFormula>IF(tblLog[[#This Row],[Date]]="","",IF(tblLog[[#This Row],[Plan (units)]]&gt;0,tblLog[[#This Row],[Good (units)]]/tblLog[[#This Row],[Plan (units)]],""))</calculatedColumnFormula>
    </tableColumn>
    <tableColumn id="16" name="Line efficiency">
      <calculatedColumnFormula>IF(tblLog[[#This Row],[Date]]="","",IF(N(tblLog[[#This Row],[Capacity (units)]])&gt;0,tblLog[[#This Row],[Good (units)]]/tblLog[[#This Row],[Capacity (units)]],""))</calculatedColumnFormula>
    </tableColumn>
    <tableColumn id="17" name="First-pass yield">
      <calculatedColumnFormula>IF(tblLog[[#This Row],[Date]]="","",IF(tblLog[[#This Row],[Made (units)]]&gt;0,tblLog[[#This Row],[Good (units)]]/tblLog[[#This Row],[Made (units)]],""))</calculatedColumnFormula>
    </tableColumn>
    <tableColumn id="18" name="Units per labour h">
      <calculatedColumnFormula>IF(tblLog[[#This Row],[Date]]="","",IF(tblLog[[#This Row],[Labour (h)]]&gt;0,tblLog[[#This Row],[Good (units)]]/tblLog[[#This Row],[Labour (h)]],""))</calculatedColumnFormula>
    </tableColumn>
    <tableColumn id="19" name="Plan status">
      <calculatedColumnFormula>IF(NOT(ISNUMBER(tblLog[[#This Row],[Attainment]])),"",IF(tblLog[[#This Row],[Attainment]]&gt;=TargetAttain,"On target",IF(tblLog[[#This Row],[Attainment]]&gt;=TargetAttain*(1-0.05),"Near target","Below target")))</calculatedColumnFormula>
    </tableColumn>
    <tableColumn id="20" name="View date">
      <calculatedColumnFormula>IF(tblLog[[#This Row],[Date]]="","",IF(AND(tblLog[[#This Row],[Date]]&gt;=FFrom,tblLog[[#This Row],[Date]]&lt;=FTo,OR(DashLine="",tblLog[[#This Row],[Line]]=DashLine)),tblLog[[#This Row],[Date]],""))</calculatedColumnFormula>
    </tableColumn>
    <tableColumn id="21" name="Check">
      <calculatedColumnFormula>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calculatedColumnFormula>
    </tableColumn>
    <tableColumn id="22" name="Handover note"/>
  </tableColumns>
  <tableStyleInfo name="TableStyleLight1" showFirstColumn="0" showLastColumn="0" showRowStripes="0" showColumnStripes="0"/>
</table>
</file>

<file path=xl/tables/table6.xml><?xml version="1.0" encoding="utf-8"?>
<table xmlns="http://schemas.openxmlformats.org/spreadsheetml/2006/main" id="6" name="tblVerifyLog" displayName="tblVerifyLog" ref="B48:W52" totalsRowShown="0">
  <tableColumns count="22">
    <tableColumn id="1" name="Date"/>
    <tableColumn id="2" name="Shift"/>
    <tableColumn id="3" name="Line"/>
    <tableColumn id="4" name="Product"/>
    <tableColumn id="5" name="Plan (units)"/>
    <tableColumn id="6" name="Planned (min)"/>
    <tableColumn id="7" name="Downtime (min)"/>
    <tableColumn id="8" name="Main loss"/>
    <tableColumn id="9" name="Made (units)"/>
    <tableColumn id="10" name="Good (units)"/>
    <tableColumn id="11" name="Labour (h)"/>
    <tableColumn id="12" name="Rated speed (units/h)"/>
    <tableColumn id="13" name="Capacity (units)">
      <calculatedColumnFormula>IF(tblVerifyLog[[#This Row],[Date]]="","",IF(tblVerifyLog[[#This Row],[Rated speed (units/h)]]="","",tblVerifyLog[[#This Row],[Rated speed (units/h)]]*tblVerifyLog[[#This Row],[Planned (min)]]/60))</calculatedColumnFormula>
    </tableColumn>
    <tableColumn id="14" name="Scrap (units)">
      <calculatedColumnFormula>IF(tblVerifyLog[[#This Row],[Date]]="","",tblVerifyLog[[#This Row],[Made (units)]]-tblVerifyLog[[#This Row],[Good (units)]])</calculatedColumnFormula>
    </tableColumn>
    <tableColumn id="15" name="Attainment">
      <calculatedColumnFormula>IF(tblVerifyLog[[#This Row],[Date]]="","",IF(tblVerifyLog[[#This Row],[Plan (units)]]&gt;0,tblVerifyLog[[#This Row],[Good (units)]]/tblVerifyLog[[#This Row],[Plan (units)]],""))</calculatedColumnFormula>
    </tableColumn>
    <tableColumn id="16" name="Line efficiency">
      <calculatedColumnFormula>IF(tblVerifyLog[[#This Row],[Date]]="","",IF(N(tblVerifyLog[[#This Row],[Capacity (units)]])&gt;0,tblVerifyLog[[#This Row],[Good (units)]]/tblVerifyLog[[#This Row],[Capacity (units)]],""))</calculatedColumnFormula>
    </tableColumn>
    <tableColumn id="17" name="First-pass yield">
      <calculatedColumnFormula>IF(tblVerifyLog[[#This Row],[Date]]="","",IF(tblVerifyLog[[#This Row],[Made (units)]]&gt;0,tblVerifyLog[[#This Row],[Good (units)]]/tblVerifyLog[[#This Row],[Made (units)]],""))</calculatedColumnFormula>
    </tableColumn>
    <tableColumn id="18" name="Units per labour h">
      <calculatedColumnFormula>IF(tblVerifyLog[[#This Row],[Date]]="","",IF(tblVerifyLog[[#This Row],[Labour (h)]]&gt;0,tblVerifyLog[[#This Row],[Good (units)]]/tblVerifyLog[[#This Row],[Labour (h)]],""))</calculatedColumnFormula>
    </tableColumn>
    <tableColumn id="19" name="Plan status">
      <calculatedColumnFormula>IF(NOT(ISNUMBER(tblVerifyLog[[#This Row],[Attainment]])),"",IF(tblVerifyLog[[#This Row],[Attainment]]&gt;=$E$42,"On target",IF(tblVerifyLog[[#This Row],[Attainment]]&gt;=$E$42*(1-0.05),"Near target","Below target")))</calculatedColumnFormula>
    </tableColumn>
    <tableColumn id="20" name="View date">
      <calculatedColumnFormula>IF(tblVerifyLog[[#This Row],[Date]]="","",IF(AND(tblVerifyLog[[#This Row],[Date]]&gt;=$E$39,tblVerifyLog[[#This Row],[Date]]&lt;=$E$40,OR($E$41="",tblVerifyLog[[#This Row],[Line]]=$E$41)),tblVerifyLog[[#This Row],[Date]],""))</calculatedColumnFormula>
    </tableColumn>
    <tableColumn id="21" name="Check">
      <calculatedColumnFormula>IF(tblVerifyLog[[#This Row],[Date]]="","",IF(tblVerifyLog[[#This Row],[Shift]]="","Missing shift",IF(tblVerifyLog[[#This Row],[Line]]="","Missing line",IF(tblVerifyLog[[#This Row],[Product]]="","Missing product",IF(tblVerifyLog[[#This Row],[Good (units)]]="","Missing good",IF(tblVerifyLog[[#This Row],[Rated speed (units/h)]]="","Product not on Setup list",IF(tblVerifyLog[[#This Row],[Good (units)]]&gt;tblVerifyLog[[#This Row],[Made (units)]],"Good &gt; made",IF(tblVerifyLog[[#This Row],[Downtime (min)]]&gt;tblVerifyLog[[#This Row],[Planned (min)]],"Downtime &gt; planned time",IF(AND(tblVerifyLog[[#This Row],[Downtime (min)]]&gt;0,tblVerifyLog[[#This Row],[Main loss]]=""),"Give the main loss reason",IF(tblVerifyLog[[#This Row],[Made (units)]]&gt;tblVerifyLog[[#This Row],[Capacity (units)]]*1.02,"Above rated speed: check speed",IF(COUNTIFS(tblVerifyLog[Date],tblVerifyLog[[#This Row],[Date]],tblVerifyLog[Shift],tblVerifyLog[[#This Row],[Shift]],tblVerifyLog[Line],tblVerifyLog[[#This Row],[Line]])&gt;1,"Duplicate line-shift row","OK")))))))))))</calculatedColumnFormula>
    </tableColumn>
    <tableColumn id="22" name="Handover not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ift-production-report" TargetMode="External"/><Relationship Id="rId2" Type="http://schemas.openxmlformats.org/officeDocument/2006/relationships/hyperlink" Target="https://www.mfgcalcs.com/calculators/oee-factory-performance-smart-manufacturing/line-efficiency?utm_source=mfgcalcs-template&amp;utm_medium=xlsx&amp;utm_campaign=shift-production-report" TargetMode="External"/><Relationship Id="rId3" Type="http://schemas.openxmlformats.org/officeDocument/2006/relationships/hyperlink" Target="https://www.mfgcalcs.com/templates/shift-production-report?utm_source=mfgcalcs-template&amp;utm_medium=xlsx&amp;utm_campaign=shift-production-report" TargetMode="External"/><Relationship Id="rId4" Type="http://schemas.openxmlformats.org/officeDocument/2006/relationships/hyperlink" Target="https://www.mfgcalcs.com/templates?utm_source=mfgcalcs-template&amp;utm_medium=xlsx&amp;utm_campaign=shift-production-repor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ift-production-report"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 Id="rId5"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ift-production-report" TargetMode="External"/><Relationship Id="rId2"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ift-production-repor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ift-production-report" TargetMode="External"/><Relationship Id="rId2" Type="http://schemas.openxmlformats.org/officeDocument/2006/relationships/hyperlink" Target="https://www.mfgcalcs.com/calculators/oee-factory-performance-smart-manufacturing/line-efficiency?utm_source=mfgcalcs-template&amp;utm_medium=xlsx&amp;utm_campaign=shift-production-repor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hift-production-report" TargetMode="External"/><Relationship Id="rId2"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23 of 23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Shift Log'!A1" tooltip="Go to Shift Log" display="Shift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Shift Production Report&amp;R&amp;8&amp;A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44"/>
  <sheetViews>
    <sheetView showGridLines="0" workbookViewId="0"/>
  </sheetViews>
  <sheetFormatPr defaultRowHeight="15"/>
  <cols>
    <col min="1" max="1" width="2.7109375" customWidth="1"/>
    <col min="2" max="2" width="30.7109375" customWidth="1"/>
    <col min="3" max="3" width="16.7109375" customWidth="1"/>
    <col min="4" max="4" width="44.7109375" customWidth="1"/>
  </cols>
  <sheetData>
    <row r="1" spans="1:5" ht="30" customHeight="1">
      <c r="A1" s="1" t="s">
        <v>0</v>
      </c>
      <c r="B1" s="1"/>
      <c r="C1" s="1"/>
      <c r="D1" s="1"/>
      <c r="E1" s="1"/>
    </row>
    <row r="2" spans="1:5" ht="32.4" customHeight="1">
      <c r="B2" s="2" t="s">
        <v>18</v>
      </c>
      <c r="C2" s="2"/>
      <c r="D2" s="3" t="s">
        <v>2</v>
      </c>
      <c r="E2" s="3"/>
    </row>
    <row r="3" spans="1:5" ht="6" customHeight="1"/>
    <row r="4" spans="1:5" ht="21" customHeight="1">
      <c r="B4" s="8" t="s">
        <v>70</v>
      </c>
      <c r="C4" s="8"/>
      <c r="D4" s="8"/>
    </row>
    <row r="5" spans="1:5" ht="5" customHeight="1"/>
    <row r="6" spans="1:5">
      <c r="B6" s="27" t="s">
        <v>71</v>
      </c>
      <c r="C6" s="28" t="s">
        <v>72</v>
      </c>
      <c r="D6" s="28"/>
    </row>
    <row r="7" spans="1:5">
      <c r="B7" s="27" t="s">
        <v>73</v>
      </c>
      <c r="C7" s="29">
        <v>0.95</v>
      </c>
      <c r="D7" s="7"/>
    </row>
    <row r="8" spans="1:5">
      <c r="B8" s="27" t="s">
        <v>74</v>
      </c>
      <c r="C8" s="29">
        <v>0.8</v>
      </c>
      <c r="D8" s="7"/>
    </row>
    <row r="9" spans="1:5">
      <c r="B9" s="27" t="s">
        <v>75</v>
      </c>
      <c r="C9" s="29">
        <v>0.985</v>
      </c>
      <c r="D9" s="7"/>
    </row>
    <row r="10" spans="1:5">
      <c r="B10" s="27" t="s">
        <v>76</v>
      </c>
      <c r="C10" s="30">
        <v>300</v>
      </c>
      <c r="D10" s="7" t="s">
        <v>77</v>
      </c>
    </row>
    <row r="12" spans="1:5" ht="35.4" customHeight="1">
      <c r="B12" s="25" t="s">
        <v>78</v>
      </c>
      <c r="C12" s="25"/>
      <c r="D12" s="25"/>
    </row>
    <row r="14" spans="1:5" ht="21" customHeight="1">
      <c r="B14" s="8" t="s">
        <v>79</v>
      </c>
      <c r="C14" s="8"/>
      <c r="D14" s="8"/>
    </row>
    <row r="15" spans="1:5" ht="5" customHeight="1"/>
    <row r="16" spans="1:5" ht="26.76" customHeight="1">
      <c r="B16" s="21" t="s">
        <v>80</v>
      </c>
      <c r="C16" s="21"/>
      <c r="D16" s="21"/>
    </row>
    <row r="17" spans="2:4">
      <c r="B17" s="31" t="s">
        <v>81</v>
      </c>
      <c r="C17" s="31"/>
      <c r="D17" s="31"/>
    </row>
    <row r="18" spans="2:4" ht="20" customHeight="1">
      <c r="B18" s="32" t="s">
        <v>60</v>
      </c>
      <c r="C18" s="32" t="s">
        <v>61</v>
      </c>
      <c r="D18" s="32" t="s">
        <v>62</v>
      </c>
    </row>
    <row r="19" spans="2:4">
      <c r="B19" s="28" t="s">
        <v>82</v>
      </c>
      <c r="C19" s="28" t="s">
        <v>83</v>
      </c>
      <c r="D19" s="28" t="s">
        <v>84</v>
      </c>
    </row>
    <row r="20" spans="2:4">
      <c r="B20" s="28" t="s">
        <v>85</v>
      </c>
      <c r="C20" s="28" t="s">
        <v>83</v>
      </c>
      <c r="D20" s="28" t="s">
        <v>86</v>
      </c>
    </row>
    <row r="21" spans="2:4">
      <c r="B21" s="28" t="s">
        <v>87</v>
      </c>
      <c r="C21" s="28" t="s">
        <v>88</v>
      </c>
      <c r="D21" s="28" t="s">
        <v>89</v>
      </c>
    </row>
    <row r="23" spans="2:4">
      <c r="B23" s="31" t="s">
        <v>90</v>
      </c>
      <c r="C23" s="31"/>
      <c r="D23" s="31"/>
    </row>
    <row r="24" spans="2:4" ht="20" customHeight="1">
      <c r="B24" s="32" t="s">
        <v>63</v>
      </c>
      <c r="C24" s="32" t="s">
        <v>64</v>
      </c>
      <c r="D24" s="32" t="s">
        <v>65</v>
      </c>
    </row>
    <row r="25" spans="2:4">
      <c r="B25" s="28" t="s">
        <v>91</v>
      </c>
      <c r="C25" s="28" t="s">
        <v>92</v>
      </c>
      <c r="D25" s="28" t="s">
        <v>93</v>
      </c>
    </row>
    <row r="26" spans="2:4">
      <c r="B26" s="28" t="s">
        <v>94</v>
      </c>
      <c r="C26" s="28" t="s">
        <v>95</v>
      </c>
      <c r="D26" s="28" t="s">
        <v>93</v>
      </c>
    </row>
    <row r="28" spans="2:4">
      <c r="B28" s="31" t="s">
        <v>96</v>
      </c>
      <c r="C28" s="31"/>
      <c r="D28" s="31"/>
    </row>
    <row r="29" spans="2:4" ht="32" customHeight="1">
      <c r="B29" s="32" t="s">
        <v>66</v>
      </c>
      <c r="C29" s="32" t="s">
        <v>67</v>
      </c>
      <c r="D29" s="32" t="s">
        <v>65</v>
      </c>
    </row>
    <row r="30" spans="2:4">
      <c r="B30" s="28" t="s">
        <v>97</v>
      </c>
      <c r="C30" s="33">
        <v>2400</v>
      </c>
      <c r="D30" s="28" t="s">
        <v>98</v>
      </c>
    </row>
    <row r="31" spans="2:4">
      <c r="B31" s="28" t="s">
        <v>99</v>
      </c>
      <c r="C31" s="33">
        <v>3000</v>
      </c>
      <c r="D31" s="28" t="s">
        <v>100</v>
      </c>
    </row>
    <row r="32" spans="2:4">
      <c r="B32" s="28" t="s">
        <v>101</v>
      </c>
      <c r="C32" s="33">
        <v>1800</v>
      </c>
      <c r="D32" s="28" t="s">
        <v>102</v>
      </c>
    </row>
    <row r="33" spans="2:4">
      <c r="B33" s="28" t="s">
        <v>103</v>
      </c>
      <c r="C33" s="33">
        <v>1200</v>
      </c>
      <c r="D33" s="28" t="s">
        <v>104</v>
      </c>
    </row>
    <row r="35" spans="2:4">
      <c r="B35" s="31" t="s">
        <v>105</v>
      </c>
      <c r="C35" s="31"/>
    </row>
    <row r="36" spans="2:4" ht="20" customHeight="1">
      <c r="B36" s="32" t="s">
        <v>68</v>
      </c>
      <c r="C36" s="32" t="s">
        <v>69</v>
      </c>
    </row>
    <row r="37" spans="2:4">
      <c r="B37" s="28" t="s">
        <v>106</v>
      </c>
      <c r="C37" s="28" t="s">
        <v>107</v>
      </c>
    </row>
    <row r="38" spans="2:4">
      <c r="B38" s="28" t="s">
        <v>108</v>
      </c>
      <c r="C38" s="28" t="s">
        <v>109</v>
      </c>
    </row>
    <row r="39" spans="2:4">
      <c r="B39" s="28" t="s">
        <v>110</v>
      </c>
      <c r="C39" s="28" t="s">
        <v>111</v>
      </c>
    </row>
    <row r="40" spans="2:4">
      <c r="B40" s="28" t="s">
        <v>112</v>
      </c>
      <c r="C40" s="28" t="s">
        <v>113</v>
      </c>
    </row>
    <row r="41" spans="2:4">
      <c r="B41" s="28" t="s">
        <v>114</v>
      </c>
      <c r="C41" s="28" t="s">
        <v>115</v>
      </c>
    </row>
    <row r="42" spans="2:4">
      <c r="B42" s="28" t="s">
        <v>116</v>
      </c>
      <c r="C42" s="28" t="s">
        <v>117</v>
      </c>
    </row>
    <row r="43" spans="2:4">
      <c r="B43" s="28" t="s">
        <v>118</v>
      </c>
      <c r="C43" s="28" t="s">
        <v>119</v>
      </c>
    </row>
    <row r="44" spans="2:4">
      <c r="B44" s="28" t="s">
        <v>120</v>
      </c>
      <c r="C44" s="28" t="s">
        <v>121</v>
      </c>
    </row>
  </sheetData>
  <mergeCells count="12">
    <mergeCell ref="A1:E1"/>
    <mergeCell ref="B2:C2"/>
    <mergeCell ref="D2:E2"/>
    <mergeCell ref="B4:D4"/>
    <mergeCell ref="C6:D6"/>
    <mergeCell ref="B12:D12"/>
    <mergeCell ref="B14:D14"/>
    <mergeCell ref="B16:D16"/>
    <mergeCell ref="B17:D17"/>
    <mergeCell ref="B23:D23"/>
    <mergeCell ref="B28:D28"/>
    <mergeCell ref="B35:C35"/>
  </mergeCells>
  <dataValidations count="16">
    <dataValidation type="textLength" allowBlank="1" showInputMessage="1" showErrorMessage="1" errorTitle="Check this entry" error="Text up to 80 characters." promptTitle="Plant name" prompt="Shown on the Dashboard. Text up to 80 characters." sqref="C6">
      <formula1>0</formula1>
      <formula2>80</formula2>
    </dataValidation>
    <dataValidation type="decimal" allowBlank="1" showInputMessage="1" showErrorMessage="1" errorTitle="Check this entry" error="Enter a percentage from 0% to 200% (type 85% or 0.85)." promptTitle="Plan attainment target" prompt="Good units / scheduled units. Your own target. Enter a percentage from 0% to 200% (type 85% or 0.85)." sqref="C7">
      <formula1>0</formula1>
      <formula2>2</formula2>
    </dataValidation>
    <dataValidation type="decimal" allowBlank="1" showInputMessage="1" showErrorMessage="1" errorTitle="Check this entry" error="Enter a percentage from 0% to 200% (type 85% or 0.85)." promptTitle="Line efficiency target" prompt="Good units / capacity at rated speed over planned time. Your own target. Enter a percentage from 0% to 200% (type 85% or 0.85)." sqref="C8">
      <formula1>0</formula1>
      <formula2>2</formula2>
    </dataValidation>
    <dataValidation type="decimal" allowBlank="1" showInputMessage="1" showErrorMessage="1" errorTitle="Check this entry" error="Enter a percentage from 0% to 100% (type 85% or 0.85)." promptTitle="First-pass yield target" prompt="Good units / units made. Your own target. Enter a percentage from 0% to 100% (type 85% or 0.85)." sqref="C9">
      <formula1>0</formula1>
      <formula2>1</formula2>
    </dataValidation>
    <dataValidation type="decimal" allowBlank="1" showInputMessage="1" showErrorMessage="1" errorTitle="Check this entry" error="Enter a number from 0 to 10,000,000." promptTitle="Units per labour hour target" prompt="Good units / paid labour hours on the line. Set it per your own standard crew. Enter a number from 0 to 10,000,000." sqref="C10">
      <formula1>0</formula1>
      <formula2>10000000.0</formula2>
    </dataValidation>
    <dataValidation type="textLength" allowBlank="1" showInputMessage="1" showErrorMessage="1" errorTitle="Check this entry" error="Text up to 40 characters." promptTitle="Line" prompt="Text up to 40 characters." sqref="B19:B121">
      <formula1>0</formula1>
      <formula2>40</formula2>
    </dataValidation>
    <dataValidation type="textLength" allowBlank="1" showInputMessage="1" showErrorMessage="1" errorTitle="Check this entry" error="Text up to 40 characters." promptTitle="Area" prompt="Text up to 40 characters." sqref="C19:C121">
      <formula1>0</formula1>
      <formula2>40</formula2>
    </dataValidation>
    <dataValidation type="textLength" allowBlank="1" showInputMessage="1" showErrorMessage="1" errorTitle="Check this entry" error="Text up to 120 characters." promptTitle="Description" prompt="Text up to 120 characters." sqref="D19:D121">
      <formula1>0</formula1>
      <formula2>120</formula2>
    </dataValidation>
    <dataValidation type="textLength" allowBlank="1" showInputMessage="1" showErrorMessage="1" errorTitle="Check this entry" error="Text up to 20 characters." promptTitle="Shift" prompt="Text up to 20 characters." sqref="B25:B126">
      <formula1>0</formula1>
      <formula2>20</formula2>
    </dataValidation>
    <dataValidation type="textLength" allowBlank="1" showInputMessage="1" showErrorMessage="1" errorTitle="Check this entry" error="Text up to 40 characters." promptTitle="Hours" prompt="Text up to 40 characters." sqref="C25:C126">
      <formula1>0</formula1>
      <formula2>40</formula2>
    </dataValidation>
    <dataValidation type="textLength" allowBlank="1" showInputMessage="1" showErrorMessage="1" errorTitle="Check this entry" error="Text up to 120 characters." promptTitle="Notes" prompt="Text up to 120 characters." sqref="D25:D126">
      <formula1>0</formula1>
      <formula2>120</formula2>
    </dataValidation>
    <dataValidation type="textLength" allowBlank="1" showInputMessage="1" showErrorMessage="1" errorTitle="Check this entry" error="Text up to 60 characters." promptTitle="Product" prompt="Text up to 60 characters." sqref="B30:B133">
      <formula1>0</formula1>
      <formula2>60</formula2>
    </dataValidation>
    <dataValidation type="decimal" allowBlank="1" showInputMessage="1" showErrorMessage="1" errorTitle="Check this entry" error="Enter a number from 0.01 to 10,000,000." promptTitle="Rated speed (units/h)" prompt="Demonstrated or nameplate speed of the line for this product, in good units per hour. Enter a number from 0.01 to 10,000,000." sqref="C30:C133">
      <formula1>0.01</formula1>
      <formula2>10000000.0</formula2>
    </dataValidation>
    <dataValidation type="textLength" allowBlank="1" showInputMessage="1" showErrorMessage="1" errorTitle="Check this entry" error="Text up to 120 characters." promptTitle="Notes" prompt="Text up to 120 characters." sqref="D30:D133">
      <formula1>0</formula1>
      <formula2>120</formula2>
    </dataValidation>
    <dataValidation type="textLength" allowBlank="1" showInputMessage="1" showErrorMessage="1" errorTitle="Check this entry" error="Text up to 60 characters." promptTitle="Reason" prompt="Text up to 60 characters." sqref="B37:B144">
      <formula1>0</formula1>
      <formula2>60</formula2>
    </dataValidation>
    <dataValidation type="textLength" allowBlank="1" showInputMessage="1" showErrorMessage="1" errorTitle="Check this entry" error="Text up to 160 characters." promptTitle="Definition" prompt="Text up to 160 characters." sqref="C37:C144">
      <formula1>0</formula1>
      <formula2>160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Shift Production Report&amp;R&amp;8&amp;A</oddHeader>
    <oddFooter>&amp;L&amp;8mfgcalcs.com - free manufacturing templates&amp;R&amp;8Page &amp;P of &amp;N</oddFooter>
  </headerFooter>
  <rowBreaks count="1" manualBreakCount="1">
    <brk id="34" max="16383" man="1"/>
  </rowBreaks>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W65"/>
  <sheetViews>
    <sheetView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2.7109375" customWidth="1"/>
    <col min="2" max="2" width="12.28515625" customWidth="1"/>
    <col min="3" max="3" width="8.28515625" customWidth="1"/>
    <col min="4" max="4" width="6.7109375" customWidth="1"/>
    <col min="5" max="5" width="18.7109375" customWidth="1"/>
    <col min="6" max="6" width="9.28515625" customWidth="1"/>
    <col min="7" max="7" width="9.7109375" customWidth="1"/>
    <col min="8" max="8" width="10.28515625" customWidth="1"/>
    <col min="9" max="9" width="15.7109375" customWidth="1"/>
    <col min="10" max="11" width="9.28515625" customWidth="1"/>
    <col min="12" max="12" width="8.7109375" customWidth="1"/>
    <col min="13" max="13" width="10.28515625" customWidth="1"/>
    <col min="14" max="14" width="9.7109375" customWidth="1"/>
    <col min="15" max="15" width="8.7109375" customWidth="1"/>
    <col min="16" max="16" width="11.28515625" customWidth="1"/>
    <col min="17" max="18" width="9.7109375" customWidth="1"/>
    <col min="19" max="19" width="10.28515625" customWidth="1"/>
    <col min="20" max="21" width="12.28515625" customWidth="1"/>
    <col min="22" max="22" width="24.7109375" customWidth="1"/>
    <col min="23" max="23" width="34.7109375" customWidth="1"/>
  </cols>
  <sheetData>
    <row r="1" spans="1:23" ht="30" customHeight="1" x14ac:dyDescent="0.25">
      <c r="A1" s="1" t="s">
        <v>0</v>
      </c>
      <c r="B1" s="1"/>
      <c r="C1" s="1"/>
      <c r="D1" s="1"/>
      <c r="E1" s="1"/>
      <c r="F1" s="1"/>
      <c r="G1" s="1"/>
      <c r="H1" s="1"/>
      <c r="I1" s="1"/>
      <c r="J1" s="1"/>
      <c r="K1" s="1"/>
      <c r="L1" s="1"/>
      <c r="M1" s="1"/>
      <c r="N1" s="1"/>
      <c r="O1" s="1"/>
      <c r="P1" s="1"/>
      <c r="Q1" s="1"/>
      <c r="R1" s="1"/>
      <c r="S1" s="1"/>
      <c r="T1" s="1"/>
      <c r="U1" s="1"/>
      <c r="V1" s="1"/>
      <c r="W1" s="1"/>
    </row>
    <row r="2" spans="1:23" ht="21" customHeight="1" x14ac:dyDescent="0.25">
      <c r="B2" s="2" t="s">
        <v>20</v>
      </c>
      <c r="C2" s="2"/>
      <c r="D2" s="2"/>
      <c r="E2" s="2"/>
      <c r="F2" s="2"/>
      <c r="G2" s="2"/>
      <c r="H2" s="2"/>
      <c r="I2" s="2"/>
      <c r="J2" s="2"/>
      <c r="K2" s="2"/>
      <c r="L2" s="2"/>
      <c r="M2" s="2"/>
      <c r="N2" s="2"/>
      <c r="O2" s="2"/>
      <c r="P2" s="2"/>
      <c r="Q2" s="2"/>
      <c r="R2" s="2"/>
      <c r="S2" s="2"/>
      <c r="T2" s="2"/>
      <c r="U2" s="2"/>
      <c r="V2" s="2"/>
      <c r="W2" s="3" t="s">
        <v>2</v>
      </c>
    </row>
    <row r="3" spans="1:23" ht="6" customHeight="1" x14ac:dyDescent="0.25"/>
    <row r="4" spans="1:23" ht="18" customHeight="1" x14ac:dyDescent="0.25">
      <c r="B4" s="34" t="s">
        <v>140</v>
      </c>
      <c r="C4" s="34"/>
      <c r="D4" s="34"/>
      <c r="E4" s="34"/>
      <c r="F4" s="34"/>
      <c r="G4" s="34"/>
      <c r="H4" s="34"/>
      <c r="I4" s="34"/>
      <c r="J4" s="34"/>
      <c r="K4" s="34"/>
      <c r="L4" s="34"/>
      <c r="M4" s="34"/>
      <c r="N4" s="34"/>
      <c r="O4" s="34"/>
      <c r="P4" s="34"/>
      <c r="Q4" s="34"/>
      <c r="R4" s="34"/>
      <c r="S4" s="34"/>
      <c r="T4" s="34"/>
      <c r="U4" s="34"/>
      <c r="V4" s="34"/>
      <c r="W4" s="34"/>
    </row>
    <row r="5" spans="1:23" ht="32" customHeight="1" x14ac:dyDescent="0.25">
      <c r="B5" s="32" t="s">
        <v>122</v>
      </c>
      <c r="C5" s="32" t="s">
        <v>63</v>
      </c>
      <c r="D5" s="32" t="s">
        <v>60</v>
      </c>
      <c r="E5" s="32" t="s">
        <v>66</v>
      </c>
      <c r="F5" s="32" t="s">
        <v>123</v>
      </c>
      <c r="G5" s="32" t="s">
        <v>124</v>
      </c>
      <c r="H5" s="32" t="s">
        <v>125</v>
      </c>
      <c r="I5" s="32" t="s">
        <v>126</v>
      </c>
      <c r="J5" s="32" t="s">
        <v>127</v>
      </c>
      <c r="K5" s="32" t="s">
        <v>128</v>
      </c>
      <c r="L5" s="32" t="s">
        <v>129</v>
      </c>
      <c r="M5" s="32" t="s">
        <v>67</v>
      </c>
      <c r="N5" s="32" t="s">
        <v>130</v>
      </c>
      <c r="O5" s="32" t="s">
        <v>131</v>
      </c>
      <c r="P5" s="32" t="s">
        <v>132</v>
      </c>
      <c r="Q5" s="32" t="s">
        <v>133</v>
      </c>
      <c r="R5" s="32" t="s">
        <v>134</v>
      </c>
      <c r="S5" s="32" t="s">
        <v>135</v>
      </c>
      <c r="T5" s="32" t="s">
        <v>136</v>
      </c>
      <c r="U5" s="32" t="s">
        <v>137</v>
      </c>
      <c r="V5" s="32" t="s">
        <v>138</v>
      </c>
      <c r="W5" s="32" t="s">
        <v>139</v>
      </c>
    </row>
    <row r="6" spans="1:23" x14ac:dyDescent="0.25">
      <c r="B6" s="35">
        <v>46279</v>
      </c>
      <c r="C6" s="28" t="s">
        <v>91</v>
      </c>
      <c r="D6" s="28" t="s">
        <v>82</v>
      </c>
      <c r="E6" s="28" t="s">
        <v>97</v>
      </c>
      <c r="F6" s="33">
        <v>15800</v>
      </c>
      <c r="G6" s="33">
        <v>450</v>
      </c>
      <c r="H6" s="33">
        <v>0</v>
      </c>
      <c r="I6" s="28"/>
      <c r="J6" s="33">
        <v>17125</v>
      </c>
      <c r="K6" s="33">
        <v>17030</v>
      </c>
      <c r="L6" s="30">
        <v>40</v>
      </c>
      <c r="M6" s="36">
        <f>IF(tblLog[[#This Row],[Date]]="","",IFERROR(INDEX(tblProducts[Rated speed (units/h)],MATCH(tblLog[[#This Row],[Product]],tblProducts[Product],0)),""))</f>
        <v>2400</v>
      </c>
      <c r="N6" s="36">
        <f>IF(tblLog[[#This Row],[Date]]="","",IF(tblLog[[#This Row],[Rated speed (units/h)]]="","",tblLog[[#This Row],[Rated speed (units/h)]]*tblLog[[#This Row],[Planned (min)]]/60))</f>
        <v>18000</v>
      </c>
      <c r="O6" s="36">
        <f>IF(tblLog[[#This Row],[Date]]="","",tblLog[[#This Row],[Made (units)]]-tblLog[[#This Row],[Good (units)]])</f>
        <v>95</v>
      </c>
      <c r="P6" s="37">
        <f>IF(tblLog[[#This Row],[Date]]="","",IF(tblLog[[#This Row],[Plan (units)]]&gt;0,tblLog[[#This Row],[Good (units)]]/tblLog[[#This Row],[Plan (units)]],""))</f>
        <v>1.07784810126582</v>
      </c>
      <c r="Q6" s="37">
        <f>IF(tblLog[[#This Row],[Date]]="","",IF(N(tblLog[[#This Row],[Capacity (units)]])&gt;0,tblLog[[#This Row],[Good (units)]]/tblLog[[#This Row],[Capacity (units)]],""))</f>
        <v>0.946111111111111</v>
      </c>
      <c r="R6" s="37">
        <f>IF(tblLog[[#This Row],[Date]]="","",IF(tblLog[[#This Row],[Made (units)]]&gt;0,tblLog[[#This Row],[Good (units)]]/tblLog[[#This Row],[Made (units)]],""))</f>
        <v>0.994452554744526</v>
      </c>
      <c r="S6" s="38">
        <f>IF(tblLog[[#This Row],[Date]]="","",IF(tblLog[[#This Row],[Labour (h)]]&gt;0,tblLog[[#This Row],[Good (units)]]/tblLog[[#This Row],[Labour (h)]],""))</f>
        <v>425.75</v>
      </c>
      <c r="T6" s="39" t="str">
        <f>IF(NOT(ISNUMBER(tblLog[[#This Row],[Attainment]])),"",IF(tblLog[[#This Row],[Attainment]]&gt;=TargetAttain,"On target",IF(tblLog[[#This Row],[Attainment]]&gt;=TargetAttain*(1-0.05),"Near target","Below target")))</f>
        <v>On target</v>
      </c>
      <c r="U6" s="40">
        <f>IF(tblLog[[#This Row],[Date]]="","",IF(AND(tblLog[[#This Row],[Date]]&gt;=FFrom,tblLog[[#This Row],[Date]]&lt;=FTo,OR(DashLine="",tblLog[[#This Row],[Line]]=DashLine)),tblLog[[#This Row],[Date]],""))</f>
        <v>46279</v>
      </c>
      <c r="V6"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6" s="42" t="s">
        <v>141</v>
      </c>
    </row>
    <row r="7" spans="1:23" x14ac:dyDescent="0.25">
      <c r="B7" s="35">
        <v>46279</v>
      </c>
      <c r="C7" s="28" t="s">
        <v>91</v>
      </c>
      <c r="D7" s="28" t="s">
        <v>85</v>
      </c>
      <c r="E7" s="28" t="s">
        <v>99</v>
      </c>
      <c r="F7" s="33">
        <v>19800</v>
      </c>
      <c r="G7" s="33">
        <v>450</v>
      </c>
      <c r="H7" s="33">
        <v>30</v>
      </c>
      <c r="I7" s="28" t="s">
        <v>108</v>
      </c>
      <c r="J7" s="33">
        <v>18808</v>
      </c>
      <c r="K7" s="33">
        <v>18459</v>
      </c>
      <c r="L7" s="30">
        <v>40</v>
      </c>
      <c r="M7" s="36">
        <f>IF(tblLog[[#This Row],[Date]]="","",IFERROR(INDEX(tblProducts[Rated speed (units/h)],MATCH(tblLog[[#This Row],[Product]],tblProducts[Product],0)),""))</f>
        <v>3000</v>
      </c>
      <c r="N7" s="36">
        <f>IF(tblLog[[#This Row],[Date]]="","",IF(tblLog[[#This Row],[Rated speed (units/h)]]="","",tblLog[[#This Row],[Rated speed (units/h)]]*tblLog[[#This Row],[Planned (min)]]/60))</f>
        <v>22500</v>
      </c>
      <c r="O7" s="36">
        <f>IF(tblLog[[#This Row],[Date]]="","",tblLog[[#This Row],[Made (units)]]-tblLog[[#This Row],[Good (units)]])</f>
        <v>349</v>
      </c>
      <c r="P7" s="37">
        <f>IF(tblLog[[#This Row],[Date]]="","",IF(tblLog[[#This Row],[Plan (units)]]&gt;0,tblLog[[#This Row],[Good (units)]]/tblLog[[#This Row],[Plan (units)]],""))</f>
        <v>0.932272727272727</v>
      </c>
      <c r="Q7" s="37">
        <f>IF(tblLog[[#This Row],[Date]]="","",IF(N(tblLog[[#This Row],[Capacity (units)]])&gt;0,tblLog[[#This Row],[Good (units)]]/tblLog[[#This Row],[Capacity (units)]],""))</f>
        <v>0.8204</v>
      </c>
      <c r="R7" s="37">
        <f>IF(tblLog[[#This Row],[Date]]="","",IF(tblLog[[#This Row],[Made (units)]]&gt;0,tblLog[[#This Row],[Good (units)]]/tblLog[[#This Row],[Made (units)]],""))</f>
        <v>0.981444066354743</v>
      </c>
      <c r="S7" s="38">
        <f>IF(tblLog[[#This Row],[Date]]="","",IF(tblLog[[#This Row],[Labour (h)]]&gt;0,tblLog[[#This Row],[Good (units)]]/tblLog[[#This Row],[Labour (h)]],""))</f>
        <v>461.475</v>
      </c>
      <c r="T7" s="39" t="str">
        <f>IF(NOT(ISNUMBER(tblLog[[#This Row],[Attainment]])),"",IF(tblLog[[#This Row],[Attainment]]&gt;=TargetAttain,"On target",IF(tblLog[[#This Row],[Attainment]]&gt;=TargetAttain*(1-0.05),"Near target","Below target")))</f>
        <v>Near target</v>
      </c>
      <c r="U7" s="40">
        <f>IF(tblLog[[#This Row],[Date]]="","",IF(AND(tblLog[[#This Row],[Date]]&gt;=FFrom,tblLog[[#This Row],[Date]]&lt;=FTo,OR(DashLine="",tblLog[[#This Row],[Line]]=DashLine)),tblLog[[#This Row],[Date]],""))</f>
        <v>46279</v>
      </c>
      <c r="V7"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7" s="42" t="s">
        <v>142</v>
      </c>
    </row>
    <row r="8" spans="1:23" x14ac:dyDescent="0.25">
      <c r="B8" s="35">
        <v>46279</v>
      </c>
      <c r="C8" s="28" t="s">
        <v>91</v>
      </c>
      <c r="D8" s="28" t="s">
        <v>87</v>
      </c>
      <c r="E8" s="28" t="s">
        <v>103</v>
      </c>
      <c r="F8" s="33">
        <v>7900</v>
      </c>
      <c r="G8" s="33">
        <v>450</v>
      </c>
      <c r="H8" s="33">
        <v>15</v>
      </c>
      <c r="I8" s="28" t="s">
        <v>110</v>
      </c>
      <c r="J8" s="33">
        <v>8498</v>
      </c>
      <c r="K8" s="33">
        <v>8378</v>
      </c>
      <c r="L8" s="30">
        <v>32</v>
      </c>
      <c r="M8" s="36">
        <f>IF(tblLog[[#This Row],[Date]]="","",IFERROR(INDEX(tblProducts[Rated speed (units/h)],MATCH(tblLog[[#This Row],[Product]],tblProducts[Product],0)),""))</f>
        <v>1200</v>
      </c>
      <c r="N8" s="36">
        <f>IF(tblLog[[#This Row],[Date]]="","",IF(tblLog[[#This Row],[Rated speed (units/h)]]="","",tblLog[[#This Row],[Rated speed (units/h)]]*tblLog[[#This Row],[Planned (min)]]/60))</f>
        <v>9000</v>
      </c>
      <c r="O8" s="36">
        <f>IF(tblLog[[#This Row],[Date]]="","",tblLog[[#This Row],[Made (units)]]-tblLog[[#This Row],[Good (units)]])</f>
        <v>120</v>
      </c>
      <c r="P8" s="37">
        <f>IF(tblLog[[#This Row],[Date]]="","",IF(tblLog[[#This Row],[Plan (units)]]&gt;0,tblLog[[#This Row],[Good (units)]]/tblLog[[#This Row],[Plan (units)]],""))</f>
        <v>1.06050632911392</v>
      </c>
      <c r="Q8" s="37">
        <f>IF(tblLog[[#This Row],[Date]]="","",IF(N(tblLog[[#This Row],[Capacity (units)]])&gt;0,tblLog[[#This Row],[Good (units)]]/tblLog[[#This Row],[Capacity (units)]],""))</f>
        <v>0.930888888888889</v>
      </c>
      <c r="R8" s="37">
        <f>IF(tblLog[[#This Row],[Date]]="","",IF(tblLog[[#This Row],[Made (units)]]&gt;0,tblLog[[#This Row],[Good (units)]]/tblLog[[#This Row],[Made (units)]],""))</f>
        <v>0.985879030360085</v>
      </c>
      <c r="S8" s="38">
        <f>IF(tblLog[[#This Row],[Date]]="","",IF(tblLog[[#This Row],[Labour (h)]]&gt;0,tblLog[[#This Row],[Good (units)]]/tblLog[[#This Row],[Labour (h)]],""))</f>
        <v>261.8125</v>
      </c>
      <c r="T8" s="39" t="str">
        <f>IF(NOT(ISNUMBER(tblLog[[#This Row],[Attainment]])),"",IF(tblLog[[#This Row],[Attainment]]&gt;=TargetAttain,"On target",IF(tblLog[[#This Row],[Attainment]]&gt;=TargetAttain*(1-0.05),"Near target","Below target")))</f>
        <v>On target</v>
      </c>
      <c r="U8" s="40">
        <f>IF(tblLog[[#This Row],[Date]]="","",IF(AND(tblLog[[#This Row],[Date]]&gt;=FFrom,tblLog[[#This Row],[Date]]&lt;=FTo,OR(DashLine="",tblLog[[#This Row],[Line]]=DashLine)),tblLog[[#This Row],[Date]],""))</f>
        <v>46279</v>
      </c>
      <c r="V8"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8" s="42" t="s">
        <v>141</v>
      </c>
    </row>
    <row r="9" spans="1:23" x14ac:dyDescent="0.25">
      <c r="B9" s="35">
        <v>46279</v>
      </c>
      <c r="C9" s="28" t="s">
        <v>94</v>
      </c>
      <c r="D9" s="28" t="s">
        <v>82</v>
      </c>
      <c r="E9" s="28" t="s">
        <v>101</v>
      </c>
      <c r="F9" s="33">
        <v>11900</v>
      </c>
      <c r="G9" s="33">
        <v>450</v>
      </c>
      <c r="H9" s="33">
        <v>55</v>
      </c>
      <c r="I9" s="28" t="s">
        <v>106</v>
      </c>
      <c r="J9" s="33">
        <v>11156</v>
      </c>
      <c r="K9" s="33">
        <v>11101</v>
      </c>
      <c r="L9" s="30">
        <v>40</v>
      </c>
      <c r="M9" s="36">
        <f>IF(tblLog[[#This Row],[Date]]="","",IFERROR(INDEX(tblProducts[Rated speed (units/h)],MATCH(tblLog[[#This Row],[Product]],tblProducts[Product],0)),""))</f>
        <v>1800</v>
      </c>
      <c r="N9" s="36">
        <f>IF(tblLog[[#This Row],[Date]]="","",IF(tblLog[[#This Row],[Rated speed (units/h)]]="","",tblLog[[#This Row],[Rated speed (units/h)]]*tblLog[[#This Row],[Planned (min)]]/60))</f>
        <v>13500</v>
      </c>
      <c r="O9" s="36">
        <f>IF(tblLog[[#This Row],[Date]]="","",tblLog[[#This Row],[Made (units)]]-tblLog[[#This Row],[Good (units)]])</f>
        <v>55</v>
      </c>
      <c r="P9" s="37">
        <f>IF(tblLog[[#This Row],[Date]]="","",IF(tblLog[[#This Row],[Plan (units)]]&gt;0,tblLog[[#This Row],[Good (units)]]/tblLog[[#This Row],[Plan (units)]],""))</f>
        <v>0.932857142857143</v>
      </c>
      <c r="Q9" s="37">
        <f>IF(tblLog[[#This Row],[Date]]="","",IF(N(tblLog[[#This Row],[Capacity (units)]])&gt;0,tblLog[[#This Row],[Good (units)]]/tblLog[[#This Row],[Capacity (units)]],""))</f>
        <v>0.822296296296296</v>
      </c>
      <c r="R9" s="37">
        <f>IF(tblLog[[#This Row],[Date]]="","",IF(tblLog[[#This Row],[Made (units)]]&gt;0,tblLog[[#This Row],[Good (units)]]/tblLog[[#This Row],[Made (units)]],""))</f>
        <v>0.995069917533166</v>
      </c>
      <c r="S9" s="38">
        <f>IF(tblLog[[#This Row],[Date]]="","",IF(tblLog[[#This Row],[Labour (h)]]&gt;0,tblLog[[#This Row],[Good (units)]]/tblLog[[#This Row],[Labour (h)]],""))</f>
        <v>277.525</v>
      </c>
      <c r="T9" s="39" t="str">
        <f>IF(NOT(ISNUMBER(tblLog[[#This Row],[Attainment]])),"",IF(tblLog[[#This Row],[Attainment]]&gt;=TargetAttain,"On target",IF(tblLog[[#This Row],[Attainment]]&gt;=TargetAttain*(1-0.05),"Near target","Below target")))</f>
        <v>Near target</v>
      </c>
      <c r="U9" s="40">
        <f>IF(tblLog[[#This Row],[Date]]="","",IF(AND(tblLog[[#This Row],[Date]]&gt;=FFrom,tblLog[[#This Row],[Date]]&lt;=FTo,OR(DashLine="",tblLog[[#This Row],[Line]]=DashLine)),tblLog[[#This Row],[Date]],""))</f>
        <v>46279</v>
      </c>
      <c r="V9"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9" s="42" t="s">
        <v>143</v>
      </c>
    </row>
    <row r="10" spans="1:23" x14ac:dyDescent="0.25">
      <c r="B10" s="35">
        <v>46279</v>
      </c>
      <c r="C10" s="28" t="s">
        <v>94</v>
      </c>
      <c r="D10" s="28" t="s">
        <v>85</v>
      </c>
      <c r="E10" s="28" t="s">
        <v>99</v>
      </c>
      <c r="F10" s="33">
        <v>19800</v>
      </c>
      <c r="G10" s="33">
        <v>450</v>
      </c>
      <c r="H10" s="33">
        <v>75</v>
      </c>
      <c r="I10" s="28" t="s">
        <v>108</v>
      </c>
      <c r="J10" s="33">
        <v>17102</v>
      </c>
      <c r="K10" s="33">
        <v>16932</v>
      </c>
      <c r="L10" s="30">
        <v>40</v>
      </c>
      <c r="M10" s="36">
        <f>IF(tblLog[[#This Row],[Date]]="","",IFERROR(INDEX(tblProducts[Rated speed (units/h)],MATCH(tblLog[[#This Row],[Product]],tblProducts[Product],0)),""))</f>
        <v>3000</v>
      </c>
      <c r="N10" s="36">
        <f>IF(tblLog[[#This Row],[Date]]="","",IF(tblLog[[#This Row],[Rated speed (units/h)]]="","",tblLog[[#This Row],[Rated speed (units/h)]]*tblLog[[#This Row],[Planned (min)]]/60))</f>
        <v>22500</v>
      </c>
      <c r="O10" s="36">
        <f>IF(tblLog[[#This Row],[Date]]="","",tblLog[[#This Row],[Made (units)]]-tblLog[[#This Row],[Good (units)]])</f>
        <v>170</v>
      </c>
      <c r="P10" s="37">
        <f>IF(tblLog[[#This Row],[Date]]="","",IF(tblLog[[#This Row],[Plan (units)]]&gt;0,tblLog[[#This Row],[Good (units)]]/tblLog[[#This Row],[Plan (units)]],""))</f>
        <v>0.855151515151515</v>
      </c>
      <c r="Q10" s="37">
        <f>IF(tblLog[[#This Row],[Date]]="","",IF(N(tblLog[[#This Row],[Capacity (units)]])&gt;0,tblLog[[#This Row],[Good (units)]]/tblLog[[#This Row],[Capacity (units)]],""))</f>
        <v>0.752533333333333</v>
      </c>
      <c r="R10" s="37">
        <f>IF(tblLog[[#This Row],[Date]]="","",IF(tblLog[[#This Row],[Made (units)]]&gt;0,tblLog[[#This Row],[Good (units)]]/tblLog[[#This Row],[Made (units)]],""))</f>
        <v>0.990059642147117</v>
      </c>
      <c r="S10" s="38">
        <f>IF(tblLog[[#This Row],[Date]]="","",IF(tblLog[[#This Row],[Labour (h)]]&gt;0,tblLog[[#This Row],[Good (units)]]/tblLog[[#This Row],[Labour (h)]],""))</f>
        <v>423.3</v>
      </c>
      <c r="T10" s="39" t="str">
        <f>IF(NOT(ISNUMBER(tblLog[[#This Row],[Attainment]])),"",IF(tblLog[[#This Row],[Attainment]]&gt;=TargetAttain,"On target",IF(tblLog[[#This Row],[Attainment]]&gt;=TargetAttain*(1-0.05),"Near target","Below target")))</f>
        <v>Below target</v>
      </c>
      <c r="U10" s="40">
        <f>IF(tblLog[[#This Row],[Date]]="","",IF(AND(tblLog[[#This Row],[Date]]&gt;=FFrom,tblLog[[#This Row],[Date]]&lt;=FTo,OR(DashLine="",tblLog[[#This Row],[Line]]=DashLine)),tblLog[[#This Row],[Date]],""))</f>
        <v>46279</v>
      </c>
      <c r="V10"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10" s="42" t="s">
        <v>142</v>
      </c>
    </row>
    <row r="11" spans="1:23" x14ac:dyDescent="0.25">
      <c r="B11" s="35">
        <v>46279</v>
      </c>
      <c r="C11" s="28" t="s">
        <v>94</v>
      </c>
      <c r="D11" s="28" t="s">
        <v>87</v>
      </c>
      <c r="E11" s="28" t="s">
        <v>103</v>
      </c>
      <c r="F11" s="33">
        <v>7900</v>
      </c>
      <c r="G11" s="33">
        <v>450</v>
      </c>
      <c r="H11" s="33">
        <v>10</v>
      </c>
      <c r="I11" s="28" t="s">
        <v>112</v>
      </c>
      <c r="J11" s="33">
        <v>8303</v>
      </c>
      <c r="K11" s="33">
        <v>8275</v>
      </c>
      <c r="L11" s="30">
        <v>24</v>
      </c>
      <c r="M11" s="36">
        <f>IF(tblLog[[#This Row],[Date]]="","",IFERROR(INDEX(tblProducts[Rated speed (units/h)],MATCH(tblLog[[#This Row],[Product]],tblProducts[Product],0)),""))</f>
        <v>1200</v>
      </c>
      <c r="N11" s="36">
        <f>IF(tblLog[[#This Row],[Date]]="","",IF(tblLog[[#This Row],[Rated speed (units/h)]]="","",tblLog[[#This Row],[Rated speed (units/h)]]*tblLog[[#This Row],[Planned (min)]]/60))</f>
        <v>9000</v>
      </c>
      <c r="O11" s="36">
        <f>IF(tblLog[[#This Row],[Date]]="","",tblLog[[#This Row],[Made (units)]]-tblLog[[#This Row],[Good (units)]])</f>
        <v>28</v>
      </c>
      <c r="P11" s="37">
        <f>IF(tblLog[[#This Row],[Date]]="","",IF(tblLog[[#This Row],[Plan (units)]]&gt;0,tblLog[[#This Row],[Good (units)]]/tblLog[[#This Row],[Plan (units)]],""))</f>
        <v>1.04746835443038</v>
      </c>
      <c r="Q11" s="37">
        <f>IF(tblLog[[#This Row],[Date]]="","",IF(N(tblLog[[#This Row],[Capacity (units)]])&gt;0,tblLog[[#This Row],[Good (units)]]/tblLog[[#This Row],[Capacity (units)]],""))</f>
        <v>0.919444444444444</v>
      </c>
      <c r="R11" s="37">
        <f>IF(tblLog[[#This Row],[Date]]="","",IF(tblLog[[#This Row],[Made (units)]]&gt;0,tblLog[[#This Row],[Good (units)]]/tblLog[[#This Row],[Made (units)]],""))</f>
        <v>0.996627724918704</v>
      </c>
      <c r="S11" s="38">
        <f>IF(tblLog[[#This Row],[Date]]="","",IF(tblLog[[#This Row],[Labour (h)]]&gt;0,tblLog[[#This Row],[Good (units)]]/tblLog[[#This Row],[Labour (h)]],""))</f>
        <v>344.791666666667</v>
      </c>
      <c r="T11" s="39" t="str">
        <f>IF(NOT(ISNUMBER(tblLog[[#This Row],[Attainment]])),"",IF(tblLog[[#This Row],[Attainment]]&gt;=TargetAttain,"On target",IF(tblLog[[#This Row],[Attainment]]&gt;=TargetAttain*(1-0.05),"Near target","Below target")))</f>
        <v>On target</v>
      </c>
      <c r="U11" s="40">
        <f>IF(tblLog[[#This Row],[Date]]="","",IF(AND(tblLog[[#This Row],[Date]]&gt;=FFrom,tblLog[[#This Row],[Date]]&lt;=FTo,OR(DashLine="",tblLog[[#This Row],[Line]]=DashLine)),tblLog[[#This Row],[Date]],""))</f>
        <v>46279</v>
      </c>
      <c r="V11"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11" s="42" t="s">
        <v>141</v>
      </c>
    </row>
    <row r="12" spans="1:23" x14ac:dyDescent="0.25">
      <c r="B12" s="35">
        <v>46280</v>
      </c>
      <c r="C12" s="28" t="s">
        <v>91</v>
      </c>
      <c r="D12" s="28" t="s">
        <v>82</v>
      </c>
      <c r="E12" s="28" t="s">
        <v>101</v>
      </c>
      <c r="F12" s="33">
        <v>11900</v>
      </c>
      <c r="G12" s="33">
        <v>450</v>
      </c>
      <c r="H12" s="33">
        <v>0</v>
      </c>
      <c r="I12" s="28"/>
      <c r="J12" s="33">
        <v>12488</v>
      </c>
      <c r="K12" s="33">
        <v>12447</v>
      </c>
      <c r="L12" s="30">
        <v>40</v>
      </c>
      <c r="M12" s="36">
        <f>IF(tblLog[[#This Row],[Date]]="","",IFERROR(INDEX(tblProducts[Rated speed (units/h)],MATCH(tblLog[[#This Row],[Product]],tblProducts[Product],0)),""))</f>
        <v>1800</v>
      </c>
      <c r="N12" s="36">
        <f>IF(tblLog[[#This Row],[Date]]="","",IF(tblLog[[#This Row],[Rated speed (units/h)]]="","",tblLog[[#This Row],[Rated speed (units/h)]]*tblLog[[#This Row],[Planned (min)]]/60))</f>
        <v>13500</v>
      </c>
      <c r="O12" s="36">
        <f>IF(tblLog[[#This Row],[Date]]="","",tblLog[[#This Row],[Made (units)]]-tblLog[[#This Row],[Good (units)]])</f>
        <v>41</v>
      </c>
      <c r="P12" s="37">
        <f>IF(tblLog[[#This Row],[Date]]="","",IF(tblLog[[#This Row],[Plan (units)]]&gt;0,tblLog[[#This Row],[Good (units)]]/tblLog[[#This Row],[Plan (units)]],""))</f>
        <v>1.04596638655462</v>
      </c>
      <c r="Q12" s="37">
        <f>IF(tblLog[[#This Row],[Date]]="","",IF(N(tblLog[[#This Row],[Capacity (units)]])&gt;0,tblLog[[#This Row],[Good (units)]]/tblLog[[#This Row],[Capacity (units)]],""))</f>
        <v>0.922</v>
      </c>
      <c r="R12" s="37">
        <f>IF(tblLog[[#This Row],[Date]]="","",IF(tblLog[[#This Row],[Made (units)]]&gt;0,tblLog[[#This Row],[Good (units)]]/tblLog[[#This Row],[Made (units)]],""))</f>
        <v>0.996716848174247</v>
      </c>
      <c r="S12" s="38">
        <f>IF(tblLog[[#This Row],[Date]]="","",IF(tblLog[[#This Row],[Labour (h)]]&gt;0,tblLog[[#This Row],[Good (units)]]/tblLog[[#This Row],[Labour (h)]],""))</f>
        <v>311.175</v>
      </c>
      <c r="T12" s="39" t="str">
        <f>IF(NOT(ISNUMBER(tblLog[[#This Row],[Attainment]])),"",IF(tblLog[[#This Row],[Attainment]]&gt;=TargetAttain,"On target",IF(tblLog[[#This Row],[Attainment]]&gt;=TargetAttain*(1-0.05),"Near target","Below target")))</f>
        <v>On target</v>
      </c>
      <c r="U12" s="40">
        <f>IF(tblLog[[#This Row],[Date]]="","",IF(AND(tblLog[[#This Row],[Date]]&gt;=FFrom,tblLog[[#This Row],[Date]]&lt;=FTo,OR(DashLine="",tblLog[[#This Row],[Line]]=DashLine)),tblLog[[#This Row],[Date]],""))</f>
        <v>46280</v>
      </c>
      <c r="V12"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12" s="42" t="s">
        <v>141</v>
      </c>
    </row>
    <row r="13" spans="1:23" x14ac:dyDescent="0.25">
      <c r="B13" s="35">
        <v>46280</v>
      </c>
      <c r="C13" s="28" t="s">
        <v>91</v>
      </c>
      <c r="D13" s="28" t="s">
        <v>85</v>
      </c>
      <c r="E13" s="28" t="s">
        <v>99</v>
      </c>
      <c r="F13" s="33">
        <v>19800</v>
      </c>
      <c r="G13" s="33">
        <v>450</v>
      </c>
      <c r="H13" s="33">
        <v>15</v>
      </c>
      <c r="I13" s="28" t="s">
        <v>120</v>
      </c>
      <c r="J13" s="33">
        <v>19206</v>
      </c>
      <c r="K13" s="33">
        <v>18755</v>
      </c>
      <c r="L13" s="30">
        <v>40</v>
      </c>
      <c r="M13" s="36">
        <f>IF(tblLog[[#This Row],[Date]]="","",IFERROR(INDEX(tblProducts[Rated speed (units/h)],MATCH(tblLog[[#This Row],[Product]],tblProducts[Product],0)),""))</f>
        <v>3000</v>
      </c>
      <c r="N13" s="36">
        <f>IF(tblLog[[#This Row],[Date]]="","",IF(tblLog[[#This Row],[Rated speed (units/h)]]="","",tblLog[[#This Row],[Rated speed (units/h)]]*tblLog[[#This Row],[Planned (min)]]/60))</f>
        <v>22500</v>
      </c>
      <c r="O13" s="36">
        <f>IF(tblLog[[#This Row],[Date]]="","",tblLog[[#This Row],[Made (units)]]-tblLog[[#This Row],[Good (units)]])</f>
        <v>451</v>
      </c>
      <c r="P13" s="37">
        <f>IF(tblLog[[#This Row],[Date]]="","",IF(tblLog[[#This Row],[Plan (units)]]&gt;0,tblLog[[#This Row],[Good (units)]]/tblLog[[#This Row],[Plan (units)]],""))</f>
        <v>0.947222222222222</v>
      </c>
      <c r="Q13" s="37">
        <f>IF(tblLog[[#This Row],[Date]]="","",IF(N(tblLog[[#This Row],[Capacity (units)]])&gt;0,tblLog[[#This Row],[Good (units)]]/tblLog[[#This Row],[Capacity (units)]],""))</f>
        <v>0.833555555555556</v>
      </c>
      <c r="R13" s="37">
        <f>IF(tblLog[[#This Row],[Date]]="","",IF(tblLog[[#This Row],[Made (units)]]&gt;0,tblLog[[#This Row],[Good (units)]]/tblLog[[#This Row],[Made (units)]],""))</f>
        <v>0.97651775486827</v>
      </c>
      <c r="S13" s="38">
        <f>IF(tblLog[[#This Row],[Date]]="","",IF(tblLog[[#This Row],[Labour (h)]]&gt;0,tblLog[[#This Row],[Good (units)]]/tblLog[[#This Row],[Labour (h)]],""))</f>
        <v>468.875</v>
      </c>
      <c r="T13" s="39" t="str">
        <f>IF(NOT(ISNUMBER(tblLog[[#This Row],[Attainment]])),"",IF(tblLog[[#This Row],[Attainment]]&gt;=TargetAttain,"On target",IF(tblLog[[#This Row],[Attainment]]&gt;=TargetAttain*(1-0.05),"Near target","Below target")))</f>
        <v>Near target</v>
      </c>
      <c r="U13" s="40">
        <f>IF(tblLog[[#This Row],[Date]]="","",IF(AND(tblLog[[#This Row],[Date]]&gt;=FFrom,tblLog[[#This Row],[Date]]&lt;=FTo,OR(DashLine="",tblLog[[#This Row],[Line]]=DashLine)),tblLog[[#This Row],[Date]],""))</f>
        <v>46280</v>
      </c>
      <c r="V13"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13" s="42" t="s">
        <v>141</v>
      </c>
    </row>
    <row r="14" spans="1:23" x14ac:dyDescent="0.25">
      <c r="B14" s="35">
        <v>46280</v>
      </c>
      <c r="C14" s="28" t="s">
        <v>91</v>
      </c>
      <c r="D14" s="28" t="s">
        <v>87</v>
      </c>
      <c r="E14" s="28" t="s">
        <v>103</v>
      </c>
      <c r="F14" s="33">
        <v>7900</v>
      </c>
      <c r="G14" s="33">
        <v>450</v>
      </c>
      <c r="H14" s="33">
        <v>30</v>
      </c>
      <c r="I14" s="28" t="s">
        <v>112</v>
      </c>
      <c r="J14" s="33">
        <v>8273</v>
      </c>
      <c r="K14" s="33">
        <v>8240</v>
      </c>
      <c r="L14" s="30">
        <v>32</v>
      </c>
      <c r="M14" s="36">
        <f>IF(tblLog[[#This Row],[Date]]="","",IFERROR(INDEX(tblProducts[Rated speed (units/h)],MATCH(tblLog[[#This Row],[Product]],tblProducts[Product],0)),""))</f>
        <v>1200</v>
      </c>
      <c r="N14" s="36">
        <f>IF(tblLog[[#This Row],[Date]]="","",IF(tblLog[[#This Row],[Rated speed (units/h)]]="","",tblLog[[#This Row],[Rated speed (units/h)]]*tblLog[[#This Row],[Planned (min)]]/60))</f>
        <v>9000</v>
      </c>
      <c r="O14" s="36">
        <f>IF(tblLog[[#This Row],[Date]]="","",tblLog[[#This Row],[Made (units)]]-tblLog[[#This Row],[Good (units)]])</f>
        <v>33</v>
      </c>
      <c r="P14" s="37">
        <f>IF(tblLog[[#This Row],[Date]]="","",IF(tblLog[[#This Row],[Plan (units)]]&gt;0,tblLog[[#This Row],[Good (units)]]/tblLog[[#This Row],[Plan (units)]],""))</f>
        <v>1.04303797468354</v>
      </c>
      <c r="Q14" s="37">
        <f>IF(tblLog[[#This Row],[Date]]="","",IF(N(tblLog[[#This Row],[Capacity (units)]])&gt;0,tblLog[[#This Row],[Good (units)]]/tblLog[[#This Row],[Capacity (units)]],""))</f>
        <v>0.915555555555556</v>
      </c>
      <c r="R14" s="37">
        <f>IF(tblLog[[#This Row],[Date]]="","",IF(tblLog[[#This Row],[Made (units)]]&gt;0,tblLog[[#This Row],[Good (units)]]/tblLog[[#This Row],[Made (units)]],""))</f>
        <v>0.996011120512511</v>
      </c>
      <c r="S14" s="38">
        <f>IF(tblLog[[#This Row],[Date]]="","",IF(tblLog[[#This Row],[Labour (h)]]&gt;0,tblLog[[#This Row],[Good (units)]]/tblLog[[#This Row],[Labour (h)]],""))</f>
        <v>257.5</v>
      </c>
      <c r="T14" s="39" t="str">
        <f>IF(NOT(ISNUMBER(tblLog[[#This Row],[Attainment]])),"",IF(tblLog[[#This Row],[Attainment]]&gt;=TargetAttain,"On target",IF(tblLog[[#This Row],[Attainment]]&gt;=TargetAttain*(1-0.05),"Near target","Below target")))</f>
        <v>On target</v>
      </c>
      <c r="U14" s="40">
        <f>IF(tblLog[[#This Row],[Date]]="","",IF(AND(tblLog[[#This Row],[Date]]&gt;=FFrom,tblLog[[#This Row],[Date]]&lt;=FTo,OR(DashLine="",tblLog[[#This Row],[Line]]=DashLine)),tblLog[[#This Row],[Date]],""))</f>
        <v>46280</v>
      </c>
      <c r="V14"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14" s="42" t="s">
        <v>141</v>
      </c>
    </row>
    <row r="15" spans="1:23" x14ac:dyDescent="0.25">
      <c r="B15" s="35">
        <v>46280</v>
      </c>
      <c r="C15" s="28" t="s">
        <v>94</v>
      </c>
      <c r="D15" s="28" t="s">
        <v>82</v>
      </c>
      <c r="E15" s="28" t="s">
        <v>101</v>
      </c>
      <c r="F15" s="33">
        <v>11900</v>
      </c>
      <c r="G15" s="33">
        <v>450</v>
      </c>
      <c r="H15" s="33">
        <v>10</v>
      </c>
      <c r="I15" s="28" t="s">
        <v>112</v>
      </c>
      <c r="J15" s="33">
        <v>11493</v>
      </c>
      <c r="K15" s="33">
        <v>11452</v>
      </c>
      <c r="L15" s="30">
        <v>40</v>
      </c>
      <c r="M15" s="36">
        <f>IF(tblLog[[#This Row],[Date]]="","",IFERROR(INDEX(tblProducts[Rated speed (units/h)],MATCH(tblLog[[#This Row],[Product]],tblProducts[Product],0)),""))</f>
        <v>1800</v>
      </c>
      <c r="N15" s="36">
        <f>IF(tblLog[[#This Row],[Date]]="","",IF(tblLog[[#This Row],[Rated speed (units/h)]]="","",tblLog[[#This Row],[Rated speed (units/h)]]*tblLog[[#This Row],[Planned (min)]]/60))</f>
        <v>13500</v>
      </c>
      <c r="O15" s="36">
        <f>IF(tblLog[[#This Row],[Date]]="","",tblLog[[#This Row],[Made (units)]]-tblLog[[#This Row],[Good (units)]])</f>
        <v>41</v>
      </c>
      <c r="P15" s="37">
        <f>IF(tblLog[[#This Row],[Date]]="","",IF(tblLog[[#This Row],[Plan (units)]]&gt;0,tblLog[[#This Row],[Good (units)]]/tblLog[[#This Row],[Plan (units)]],""))</f>
        <v>0.962352941176471</v>
      </c>
      <c r="Q15" s="37">
        <f>IF(tblLog[[#This Row],[Date]]="","",IF(N(tblLog[[#This Row],[Capacity (units)]])&gt;0,tblLog[[#This Row],[Good (units)]]/tblLog[[#This Row],[Capacity (units)]],""))</f>
        <v>0.848296296296296</v>
      </c>
      <c r="R15" s="37">
        <f>IF(tblLog[[#This Row],[Date]]="","",IF(tblLog[[#This Row],[Made (units)]]&gt;0,tblLog[[#This Row],[Good (units)]]/tblLog[[#This Row],[Made (units)]],""))</f>
        <v>0.996432611154616</v>
      </c>
      <c r="S15" s="38">
        <f>IF(tblLog[[#This Row],[Date]]="","",IF(tblLog[[#This Row],[Labour (h)]]&gt;0,tblLog[[#This Row],[Good (units)]]/tblLog[[#This Row],[Labour (h)]],""))</f>
        <v>286.3</v>
      </c>
      <c r="T15" s="39" t="str">
        <f>IF(NOT(ISNUMBER(tblLog[[#This Row],[Attainment]])),"",IF(tblLog[[#This Row],[Attainment]]&gt;=TargetAttain,"On target",IF(tblLog[[#This Row],[Attainment]]&gt;=TargetAttain*(1-0.05),"Near target","Below target")))</f>
        <v>On target</v>
      </c>
      <c r="U15" s="40">
        <f>IF(tblLog[[#This Row],[Date]]="","",IF(AND(tblLog[[#This Row],[Date]]&gt;=FFrom,tblLog[[#This Row],[Date]]&lt;=FTo,OR(DashLine="",tblLog[[#This Row],[Line]]=DashLine)),tblLog[[#This Row],[Date]],""))</f>
        <v>46280</v>
      </c>
      <c r="V15"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15" s="42" t="s">
        <v>141</v>
      </c>
    </row>
    <row r="16" spans="1:23" x14ac:dyDescent="0.25">
      <c r="B16" s="35">
        <v>46280</v>
      </c>
      <c r="C16" s="28" t="s">
        <v>94</v>
      </c>
      <c r="D16" s="28" t="s">
        <v>85</v>
      </c>
      <c r="E16" s="28" t="s">
        <v>97</v>
      </c>
      <c r="F16" s="33">
        <v>15800</v>
      </c>
      <c r="G16" s="33">
        <v>450</v>
      </c>
      <c r="H16" s="33">
        <v>95</v>
      </c>
      <c r="I16" s="28" t="s">
        <v>106</v>
      </c>
      <c r="J16" s="33">
        <v>12873</v>
      </c>
      <c r="K16" s="33">
        <v>12729</v>
      </c>
      <c r="L16" s="30">
        <v>40</v>
      </c>
      <c r="M16" s="36">
        <f>IF(tblLog[[#This Row],[Date]]="","",IFERROR(INDEX(tblProducts[Rated speed (units/h)],MATCH(tblLog[[#This Row],[Product]],tblProducts[Product],0)),""))</f>
        <v>2400</v>
      </c>
      <c r="N16" s="36">
        <f>IF(tblLog[[#This Row],[Date]]="","",IF(tblLog[[#This Row],[Rated speed (units/h)]]="","",tblLog[[#This Row],[Rated speed (units/h)]]*tblLog[[#This Row],[Planned (min)]]/60))</f>
        <v>18000</v>
      </c>
      <c r="O16" s="36">
        <f>IF(tblLog[[#This Row],[Date]]="","",tblLog[[#This Row],[Made (units)]]-tblLog[[#This Row],[Good (units)]])</f>
        <v>144</v>
      </c>
      <c r="P16" s="37">
        <f>IF(tblLog[[#This Row],[Date]]="","",IF(tblLog[[#This Row],[Plan (units)]]&gt;0,tblLog[[#This Row],[Good (units)]]/tblLog[[#This Row],[Plan (units)]],""))</f>
        <v>0.805632911392405</v>
      </c>
      <c r="Q16" s="37">
        <f>IF(tblLog[[#This Row],[Date]]="","",IF(N(tblLog[[#This Row],[Capacity (units)]])&gt;0,tblLog[[#This Row],[Good (units)]]/tblLog[[#This Row],[Capacity (units)]],""))</f>
        <v>0.707166666666667</v>
      </c>
      <c r="R16" s="37">
        <f>IF(tblLog[[#This Row],[Date]]="","",IF(tblLog[[#This Row],[Made (units)]]&gt;0,tblLog[[#This Row],[Good (units)]]/tblLog[[#This Row],[Made (units)]],""))</f>
        <v>0.988813796317875</v>
      </c>
      <c r="S16" s="38">
        <f>IF(tblLog[[#This Row],[Date]]="","",IF(tblLog[[#This Row],[Labour (h)]]&gt;0,tblLog[[#This Row],[Good (units)]]/tblLog[[#This Row],[Labour (h)]],""))</f>
        <v>318.225</v>
      </c>
      <c r="T16" s="39" t="str">
        <f>IF(NOT(ISNUMBER(tblLog[[#This Row],[Attainment]])),"",IF(tblLog[[#This Row],[Attainment]]&gt;=TargetAttain,"On target",IF(tblLog[[#This Row],[Attainment]]&gt;=TargetAttain*(1-0.05),"Near target","Below target")))</f>
        <v>Below target</v>
      </c>
      <c r="U16" s="40">
        <f>IF(tblLog[[#This Row],[Date]]="","",IF(AND(tblLog[[#This Row],[Date]]&gt;=FFrom,tblLog[[#This Row],[Date]]&lt;=FTo,OR(DashLine="",tblLog[[#This Row],[Line]]=DashLine)),tblLog[[#This Row],[Date]],""))</f>
        <v>46280</v>
      </c>
      <c r="V16"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16" s="42" t="s">
        <v>144</v>
      </c>
    </row>
    <row r="17" spans="2:23" x14ac:dyDescent="0.25">
      <c r="B17" s="35">
        <v>46280</v>
      </c>
      <c r="C17" s="28" t="s">
        <v>94</v>
      </c>
      <c r="D17" s="28" t="s">
        <v>87</v>
      </c>
      <c r="E17" s="28" t="s">
        <v>103</v>
      </c>
      <c r="F17" s="33">
        <v>7900</v>
      </c>
      <c r="G17" s="33">
        <v>450</v>
      </c>
      <c r="H17" s="33">
        <v>0</v>
      </c>
      <c r="I17" s="28"/>
      <c r="J17" s="33">
        <v>8116</v>
      </c>
      <c r="K17" s="33">
        <v>7978</v>
      </c>
      <c r="L17" s="30">
        <v>32</v>
      </c>
      <c r="M17" s="36">
        <f>IF(tblLog[[#This Row],[Date]]="","",IFERROR(INDEX(tblProducts[Rated speed (units/h)],MATCH(tblLog[[#This Row],[Product]],tblProducts[Product],0)),""))</f>
        <v>1200</v>
      </c>
      <c r="N17" s="36">
        <f>IF(tblLog[[#This Row],[Date]]="","",IF(tblLog[[#This Row],[Rated speed (units/h)]]="","",tblLog[[#This Row],[Rated speed (units/h)]]*tblLog[[#This Row],[Planned (min)]]/60))</f>
        <v>9000</v>
      </c>
      <c r="O17" s="36">
        <f>IF(tblLog[[#This Row],[Date]]="","",tblLog[[#This Row],[Made (units)]]-tblLog[[#This Row],[Good (units)]])</f>
        <v>138</v>
      </c>
      <c r="P17" s="37">
        <f>IF(tblLog[[#This Row],[Date]]="","",IF(tblLog[[#This Row],[Plan (units)]]&gt;0,tblLog[[#This Row],[Good (units)]]/tblLog[[#This Row],[Plan (units)]],""))</f>
        <v>1.00987341772152</v>
      </c>
      <c r="Q17" s="37">
        <f>IF(tblLog[[#This Row],[Date]]="","",IF(N(tblLog[[#This Row],[Capacity (units)]])&gt;0,tblLog[[#This Row],[Good (units)]]/tblLog[[#This Row],[Capacity (units)]],""))</f>
        <v>0.886444444444445</v>
      </c>
      <c r="R17" s="37">
        <f>IF(tblLog[[#This Row],[Date]]="","",IF(tblLog[[#This Row],[Made (units)]]&gt;0,tblLog[[#This Row],[Good (units)]]/tblLog[[#This Row],[Made (units)]],""))</f>
        <v>0.982996550024643</v>
      </c>
      <c r="S17" s="38">
        <f>IF(tblLog[[#This Row],[Date]]="","",IF(tblLog[[#This Row],[Labour (h)]]&gt;0,tblLog[[#This Row],[Good (units)]]/tblLog[[#This Row],[Labour (h)]],""))</f>
        <v>249.3125</v>
      </c>
      <c r="T17" s="39" t="str">
        <f>IF(NOT(ISNUMBER(tblLog[[#This Row],[Attainment]])),"",IF(tblLog[[#This Row],[Attainment]]&gt;=TargetAttain,"On target",IF(tblLog[[#This Row],[Attainment]]&gt;=TargetAttain*(1-0.05),"Near target","Below target")))</f>
        <v>On target</v>
      </c>
      <c r="U17" s="40">
        <f>IF(tblLog[[#This Row],[Date]]="","",IF(AND(tblLog[[#This Row],[Date]]&gt;=FFrom,tblLog[[#This Row],[Date]]&lt;=FTo,OR(DashLine="",tblLog[[#This Row],[Line]]=DashLine)),tblLog[[#This Row],[Date]],""))</f>
        <v>46280</v>
      </c>
      <c r="V17"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17" s="42" t="s">
        <v>141</v>
      </c>
    </row>
    <row r="18" spans="2:23" x14ac:dyDescent="0.25">
      <c r="B18" s="35">
        <v>46281</v>
      </c>
      <c r="C18" s="28" t="s">
        <v>91</v>
      </c>
      <c r="D18" s="28" t="s">
        <v>82</v>
      </c>
      <c r="E18" s="28" t="s">
        <v>101</v>
      </c>
      <c r="F18" s="33">
        <v>11900</v>
      </c>
      <c r="G18" s="33">
        <v>450</v>
      </c>
      <c r="H18" s="33">
        <v>45</v>
      </c>
      <c r="I18" s="28" t="s">
        <v>110</v>
      </c>
      <c r="J18" s="33">
        <v>11342</v>
      </c>
      <c r="K18" s="33">
        <v>11306</v>
      </c>
      <c r="L18" s="30">
        <v>32</v>
      </c>
      <c r="M18" s="36">
        <f>IF(tblLog[[#This Row],[Date]]="","",IFERROR(INDEX(tblProducts[Rated speed (units/h)],MATCH(tblLog[[#This Row],[Product]],tblProducts[Product],0)),""))</f>
        <v>1800</v>
      </c>
      <c r="N18" s="36">
        <f>IF(tblLog[[#This Row],[Date]]="","",IF(tblLog[[#This Row],[Rated speed (units/h)]]="","",tblLog[[#This Row],[Rated speed (units/h)]]*tblLog[[#This Row],[Planned (min)]]/60))</f>
        <v>13500</v>
      </c>
      <c r="O18" s="36">
        <f>IF(tblLog[[#This Row],[Date]]="","",tblLog[[#This Row],[Made (units)]]-tblLog[[#This Row],[Good (units)]])</f>
        <v>36</v>
      </c>
      <c r="P18" s="37">
        <f>IF(tblLog[[#This Row],[Date]]="","",IF(tblLog[[#This Row],[Plan (units)]]&gt;0,tblLog[[#This Row],[Good (units)]]/tblLog[[#This Row],[Plan (units)]],""))</f>
        <v>0.950084033613445</v>
      </c>
      <c r="Q18" s="37">
        <f>IF(tblLog[[#This Row],[Date]]="","",IF(N(tblLog[[#This Row],[Capacity (units)]])&gt;0,tblLog[[#This Row],[Good (units)]]/tblLog[[#This Row],[Capacity (units)]],""))</f>
        <v>0.837481481481482</v>
      </c>
      <c r="R18" s="37">
        <f>IF(tblLog[[#This Row],[Date]]="","",IF(tblLog[[#This Row],[Made (units)]]&gt;0,tblLog[[#This Row],[Good (units)]]/tblLog[[#This Row],[Made (units)]],""))</f>
        <v>0.996825956621407</v>
      </c>
      <c r="S18" s="38">
        <f>IF(tblLog[[#This Row],[Date]]="","",IF(tblLog[[#This Row],[Labour (h)]]&gt;0,tblLog[[#This Row],[Good (units)]]/tblLog[[#This Row],[Labour (h)]],""))</f>
        <v>353.3125</v>
      </c>
      <c r="T18" s="39" t="str">
        <f>IF(NOT(ISNUMBER(tblLog[[#This Row],[Attainment]])),"",IF(tblLog[[#This Row],[Attainment]]&gt;=TargetAttain,"On target",IF(tblLog[[#This Row],[Attainment]]&gt;=TargetAttain*(1-0.05),"Near target","Below target")))</f>
        <v>On target</v>
      </c>
      <c r="U18" s="40">
        <f>IF(tblLog[[#This Row],[Date]]="","",IF(AND(tblLog[[#This Row],[Date]]&gt;=FFrom,tblLog[[#This Row],[Date]]&lt;=FTo,OR(DashLine="",tblLog[[#This Row],[Line]]=DashLine)),tblLog[[#This Row],[Date]],""))</f>
        <v>46281</v>
      </c>
      <c r="V18"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18" s="42" t="s">
        <v>141</v>
      </c>
    </row>
    <row r="19" spans="2:23" x14ac:dyDescent="0.25">
      <c r="B19" s="35">
        <v>46281</v>
      </c>
      <c r="C19" s="28" t="s">
        <v>91</v>
      </c>
      <c r="D19" s="28" t="s">
        <v>85</v>
      </c>
      <c r="E19" s="28" t="s">
        <v>99</v>
      </c>
      <c r="F19" s="33">
        <v>19800</v>
      </c>
      <c r="G19" s="33">
        <v>450</v>
      </c>
      <c r="H19" s="33">
        <v>65</v>
      </c>
      <c r="I19" s="28" t="s">
        <v>106</v>
      </c>
      <c r="J19" s="33">
        <v>18370</v>
      </c>
      <c r="K19" s="33">
        <v>17995</v>
      </c>
      <c r="L19" s="30">
        <v>40</v>
      </c>
      <c r="M19" s="36">
        <f>IF(tblLog[[#This Row],[Date]]="","",IFERROR(INDEX(tblProducts[Rated speed (units/h)],MATCH(tblLog[[#This Row],[Product]],tblProducts[Product],0)),""))</f>
        <v>3000</v>
      </c>
      <c r="N19" s="36">
        <f>IF(tblLog[[#This Row],[Date]]="","",IF(tblLog[[#This Row],[Rated speed (units/h)]]="","",tblLog[[#This Row],[Rated speed (units/h)]]*tblLog[[#This Row],[Planned (min)]]/60))</f>
        <v>22500</v>
      </c>
      <c r="O19" s="36">
        <f>IF(tblLog[[#This Row],[Date]]="","",tblLog[[#This Row],[Made (units)]]-tblLog[[#This Row],[Good (units)]])</f>
        <v>375</v>
      </c>
      <c r="P19" s="37">
        <f>IF(tblLog[[#This Row],[Date]]="","",IF(tblLog[[#This Row],[Plan (units)]]&gt;0,tblLog[[#This Row],[Good (units)]]/tblLog[[#This Row],[Plan (units)]],""))</f>
        <v>0.908838383838384</v>
      </c>
      <c r="Q19" s="37">
        <f>IF(tblLog[[#This Row],[Date]]="","",IF(N(tblLog[[#This Row],[Capacity (units)]])&gt;0,tblLog[[#This Row],[Good (units)]]/tblLog[[#This Row],[Capacity (units)]],""))</f>
        <v>0.799777777777778</v>
      </c>
      <c r="R19" s="37">
        <f>IF(tblLog[[#This Row],[Date]]="","",IF(tblLog[[#This Row],[Made (units)]]&gt;0,tblLog[[#This Row],[Good (units)]]/tblLog[[#This Row],[Made (units)]],""))</f>
        <v>0.979586281981492</v>
      </c>
      <c r="S19" s="38">
        <f>IF(tblLog[[#This Row],[Date]]="","",IF(tblLog[[#This Row],[Labour (h)]]&gt;0,tblLog[[#This Row],[Good (units)]]/tblLog[[#This Row],[Labour (h)]],""))</f>
        <v>449.875</v>
      </c>
      <c r="T19" s="39" t="str">
        <f>IF(NOT(ISNUMBER(tblLog[[#This Row],[Attainment]])),"",IF(tblLog[[#This Row],[Attainment]]&gt;=TargetAttain,"On target",IF(tblLog[[#This Row],[Attainment]]&gt;=TargetAttain*(1-0.05),"Near target","Below target")))</f>
        <v>Near target</v>
      </c>
      <c r="U19" s="40">
        <f>IF(tblLog[[#This Row],[Date]]="","",IF(AND(tblLog[[#This Row],[Date]]&gt;=FFrom,tblLog[[#This Row],[Date]]&lt;=FTo,OR(DashLine="",tblLog[[#This Row],[Line]]=DashLine)),tblLog[[#This Row],[Date]],""))</f>
        <v>46281</v>
      </c>
      <c r="V19"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19" s="42" t="s">
        <v>145</v>
      </c>
    </row>
    <row r="20" spans="2:23" x14ac:dyDescent="0.25">
      <c r="B20" s="35">
        <v>46281</v>
      </c>
      <c r="C20" s="28" t="s">
        <v>91</v>
      </c>
      <c r="D20" s="28" t="s">
        <v>87</v>
      </c>
      <c r="E20" s="28" t="s">
        <v>103</v>
      </c>
      <c r="F20" s="33">
        <v>7900</v>
      </c>
      <c r="G20" s="33">
        <v>450</v>
      </c>
      <c r="H20" s="33">
        <v>30</v>
      </c>
      <c r="I20" s="28" t="s">
        <v>110</v>
      </c>
      <c r="J20" s="33">
        <v>7923</v>
      </c>
      <c r="K20" s="33">
        <v>7790</v>
      </c>
      <c r="L20" s="30">
        <v>32</v>
      </c>
      <c r="M20" s="36">
        <f>IF(tblLog[[#This Row],[Date]]="","",IFERROR(INDEX(tblProducts[Rated speed (units/h)],MATCH(tblLog[[#This Row],[Product]],tblProducts[Product],0)),""))</f>
        <v>1200</v>
      </c>
      <c r="N20" s="36">
        <f>IF(tblLog[[#This Row],[Date]]="","",IF(tblLog[[#This Row],[Rated speed (units/h)]]="","",tblLog[[#This Row],[Rated speed (units/h)]]*tblLog[[#This Row],[Planned (min)]]/60))</f>
        <v>9000</v>
      </c>
      <c r="O20" s="36">
        <f>IF(tblLog[[#This Row],[Date]]="","",tblLog[[#This Row],[Made (units)]]-tblLog[[#This Row],[Good (units)]])</f>
        <v>133</v>
      </c>
      <c r="P20" s="37">
        <f>IF(tblLog[[#This Row],[Date]]="","",IF(tblLog[[#This Row],[Plan (units)]]&gt;0,tblLog[[#This Row],[Good (units)]]/tblLog[[#This Row],[Plan (units)]],""))</f>
        <v>0.986075949367089</v>
      </c>
      <c r="Q20" s="37">
        <f>IF(tblLog[[#This Row],[Date]]="","",IF(N(tblLog[[#This Row],[Capacity (units)]])&gt;0,tblLog[[#This Row],[Good (units)]]/tblLog[[#This Row],[Capacity (units)]],""))</f>
        <v>0.865555555555556</v>
      </c>
      <c r="R20" s="37">
        <f>IF(tblLog[[#This Row],[Date]]="","",IF(tblLog[[#This Row],[Made (units)]]&gt;0,tblLog[[#This Row],[Good (units)]]/tblLog[[#This Row],[Made (units)]],""))</f>
        <v>0.983213429256595</v>
      </c>
      <c r="S20" s="38">
        <f>IF(tblLog[[#This Row],[Date]]="","",IF(tblLog[[#This Row],[Labour (h)]]&gt;0,tblLog[[#This Row],[Good (units)]]/tblLog[[#This Row],[Labour (h)]],""))</f>
        <v>243.4375</v>
      </c>
      <c r="T20" s="39" t="str">
        <f>IF(NOT(ISNUMBER(tblLog[[#This Row],[Attainment]])),"",IF(tblLog[[#This Row],[Attainment]]&gt;=TargetAttain,"On target",IF(tblLog[[#This Row],[Attainment]]&gt;=TargetAttain*(1-0.05),"Near target","Below target")))</f>
        <v>On target</v>
      </c>
      <c r="U20" s="40">
        <f>IF(tblLog[[#This Row],[Date]]="","",IF(AND(tblLog[[#This Row],[Date]]&gt;=FFrom,tblLog[[#This Row],[Date]]&lt;=FTo,OR(DashLine="",tblLog[[#This Row],[Line]]=DashLine)),tblLog[[#This Row],[Date]],""))</f>
        <v>46281</v>
      </c>
      <c r="V20"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20" s="42" t="s">
        <v>141</v>
      </c>
    </row>
    <row r="21" spans="2:23" x14ac:dyDescent="0.25">
      <c r="B21" s="35">
        <v>46281</v>
      </c>
      <c r="C21" s="28" t="s">
        <v>94</v>
      </c>
      <c r="D21" s="28" t="s">
        <v>82</v>
      </c>
      <c r="E21" s="28" t="s">
        <v>101</v>
      </c>
      <c r="F21" s="33">
        <v>11900</v>
      </c>
      <c r="G21" s="33">
        <v>450</v>
      </c>
      <c r="H21" s="33">
        <v>15</v>
      </c>
      <c r="I21" s="28" t="s">
        <v>112</v>
      </c>
      <c r="J21" s="33">
        <v>11271</v>
      </c>
      <c r="K21" s="33">
        <v>11232</v>
      </c>
      <c r="L21" s="30">
        <v>40</v>
      </c>
      <c r="M21" s="36">
        <f>IF(tblLog[[#This Row],[Date]]="","",IFERROR(INDEX(tblProducts[Rated speed (units/h)],MATCH(tblLog[[#This Row],[Product]],tblProducts[Product],0)),""))</f>
        <v>1800</v>
      </c>
      <c r="N21" s="36">
        <f>IF(tblLog[[#This Row],[Date]]="","",IF(tblLog[[#This Row],[Rated speed (units/h)]]="","",tblLog[[#This Row],[Rated speed (units/h)]]*tblLog[[#This Row],[Planned (min)]]/60))</f>
        <v>13500</v>
      </c>
      <c r="O21" s="36">
        <f>IF(tblLog[[#This Row],[Date]]="","",tblLog[[#This Row],[Made (units)]]-tblLog[[#This Row],[Good (units)]])</f>
        <v>39</v>
      </c>
      <c r="P21" s="37">
        <f>IF(tblLog[[#This Row],[Date]]="","",IF(tblLog[[#This Row],[Plan (units)]]&gt;0,tblLog[[#This Row],[Good (units)]]/tblLog[[#This Row],[Plan (units)]],""))</f>
        <v>0.943865546218487</v>
      </c>
      <c r="Q21" s="37">
        <f>IF(tblLog[[#This Row],[Date]]="","",IF(N(tblLog[[#This Row],[Capacity (units)]])&gt;0,tblLog[[#This Row],[Good (units)]]/tblLog[[#This Row],[Capacity (units)]],""))</f>
        <v>0.832</v>
      </c>
      <c r="R21" s="37">
        <f>IF(tblLog[[#This Row],[Date]]="","",IF(tblLog[[#This Row],[Made (units)]]&gt;0,tblLog[[#This Row],[Good (units)]]/tblLog[[#This Row],[Made (units)]],""))</f>
        <v>0.996539792387543</v>
      </c>
      <c r="S21" s="38">
        <f>IF(tblLog[[#This Row],[Date]]="","",IF(tblLog[[#This Row],[Labour (h)]]&gt;0,tblLog[[#This Row],[Good (units)]]/tblLog[[#This Row],[Labour (h)]],""))</f>
        <v>280.8</v>
      </c>
      <c r="T21" s="39" t="str">
        <f>IF(NOT(ISNUMBER(tblLog[[#This Row],[Attainment]])),"",IF(tblLog[[#This Row],[Attainment]]&gt;=TargetAttain,"On target",IF(tblLog[[#This Row],[Attainment]]&gt;=TargetAttain*(1-0.05),"Near target","Below target")))</f>
        <v>Near target</v>
      </c>
      <c r="U21" s="40">
        <f>IF(tblLog[[#This Row],[Date]]="","",IF(AND(tblLog[[#This Row],[Date]]&gt;=FFrom,tblLog[[#This Row],[Date]]&lt;=FTo,OR(DashLine="",tblLog[[#This Row],[Line]]=DashLine)),tblLog[[#This Row],[Date]],""))</f>
        <v>46281</v>
      </c>
      <c r="V21"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21" s="42" t="s">
        <v>141</v>
      </c>
    </row>
    <row r="22" spans="2:23" x14ac:dyDescent="0.25">
      <c r="B22" s="35">
        <v>46281</v>
      </c>
      <c r="C22" s="28" t="s">
        <v>94</v>
      </c>
      <c r="D22" s="28" t="s">
        <v>85</v>
      </c>
      <c r="E22" s="28" t="s">
        <v>99</v>
      </c>
      <c r="F22" s="33">
        <v>19800</v>
      </c>
      <c r="G22" s="33">
        <v>450</v>
      </c>
      <c r="H22" s="33">
        <v>30</v>
      </c>
      <c r="I22" s="28" t="s">
        <v>108</v>
      </c>
      <c r="J22" s="33">
        <v>19256</v>
      </c>
      <c r="K22" s="33">
        <v>18937</v>
      </c>
      <c r="L22" s="30">
        <v>40</v>
      </c>
      <c r="M22" s="36">
        <f>IF(tblLog[[#This Row],[Date]]="","",IFERROR(INDEX(tblProducts[Rated speed (units/h)],MATCH(tblLog[[#This Row],[Product]],tblProducts[Product],0)),""))</f>
        <v>3000</v>
      </c>
      <c r="N22" s="36">
        <f>IF(tblLog[[#This Row],[Date]]="","",IF(tblLog[[#This Row],[Rated speed (units/h)]]="","",tblLog[[#This Row],[Rated speed (units/h)]]*tblLog[[#This Row],[Planned (min)]]/60))</f>
        <v>22500</v>
      </c>
      <c r="O22" s="36">
        <f>IF(tblLog[[#This Row],[Date]]="","",tblLog[[#This Row],[Made (units)]]-tblLog[[#This Row],[Good (units)]])</f>
        <v>319</v>
      </c>
      <c r="P22" s="37">
        <f>IF(tblLog[[#This Row],[Date]]="","",IF(tblLog[[#This Row],[Plan (units)]]&gt;0,tblLog[[#This Row],[Good (units)]]/tblLog[[#This Row],[Plan (units)]],""))</f>
        <v>0.956414141414141</v>
      </c>
      <c r="Q22" s="37">
        <f>IF(tblLog[[#This Row],[Date]]="","",IF(N(tblLog[[#This Row],[Capacity (units)]])&gt;0,tblLog[[#This Row],[Good (units)]]/tblLog[[#This Row],[Capacity (units)]],""))</f>
        <v>0.841644444444444</v>
      </c>
      <c r="R22" s="37">
        <f>IF(tblLog[[#This Row],[Date]]="","",IF(tblLog[[#This Row],[Made (units)]]&gt;0,tblLog[[#This Row],[Good (units)]]/tblLog[[#This Row],[Made (units)]],""))</f>
        <v>0.983433734939759</v>
      </c>
      <c r="S22" s="38">
        <f>IF(tblLog[[#This Row],[Date]]="","",IF(tblLog[[#This Row],[Labour (h)]]&gt;0,tblLog[[#This Row],[Good (units)]]/tblLog[[#This Row],[Labour (h)]],""))</f>
        <v>473.425</v>
      </c>
      <c r="T22" s="39" t="str">
        <f>IF(NOT(ISNUMBER(tblLog[[#This Row],[Attainment]])),"",IF(tblLog[[#This Row],[Attainment]]&gt;=TargetAttain,"On target",IF(tblLog[[#This Row],[Attainment]]&gt;=TargetAttain*(1-0.05),"Near target","Below target")))</f>
        <v>On target</v>
      </c>
      <c r="U22" s="40">
        <f>IF(tblLog[[#This Row],[Date]]="","",IF(AND(tblLog[[#This Row],[Date]]&gt;=FFrom,tblLog[[#This Row],[Date]]&lt;=FTo,OR(DashLine="",tblLog[[#This Row],[Line]]=DashLine)),tblLog[[#This Row],[Date]],""))</f>
        <v>46281</v>
      </c>
      <c r="V22"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22" s="42" t="s">
        <v>142</v>
      </c>
    </row>
    <row r="23" spans="2:23" x14ac:dyDescent="0.25">
      <c r="B23" s="35">
        <v>46281</v>
      </c>
      <c r="C23" s="28" t="s">
        <v>94</v>
      </c>
      <c r="D23" s="28" t="s">
        <v>87</v>
      </c>
      <c r="E23" s="28" t="s">
        <v>103</v>
      </c>
      <c r="F23" s="33">
        <v>7900</v>
      </c>
      <c r="G23" s="33">
        <v>450</v>
      </c>
      <c r="H23" s="33">
        <v>25</v>
      </c>
      <c r="I23" s="28" t="s">
        <v>118</v>
      </c>
      <c r="J23" s="33">
        <v>8011</v>
      </c>
      <c r="K23" s="33">
        <v>7919</v>
      </c>
      <c r="L23" s="30">
        <v>32</v>
      </c>
      <c r="M23" s="36">
        <f>IF(tblLog[[#This Row],[Date]]="","",IFERROR(INDEX(tblProducts[Rated speed (units/h)],MATCH(tblLog[[#This Row],[Product]],tblProducts[Product],0)),""))</f>
        <v>1200</v>
      </c>
      <c r="N23" s="36">
        <f>IF(tblLog[[#This Row],[Date]]="","",IF(tblLog[[#This Row],[Rated speed (units/h)]]="","",tblLog[[#This Row],[Rated speed (units/h)]]*tblLog[[#This Row],[Planned (min)]]/60))</f>
        <v>9000</v>
      </c>
      <c r="O23" s="36">
        <f>IF(tblLog[[#This Row],[Date]]="","",tblLog[[#This Row],[Made (units)]]-tblLog[[#This Row],[Good (units)]])</f>
        <v>92</v>
      </c>
      <c r="P23" s="37">
        <f>IF(tblLog[[#This Row],[Date]]="","",IF(tblLog[[#This Row],[Plan (units)]]&gt;0,tblLog[[#This Row],[Good (units)]]/tblLog[[#This Row],[Plan (units)]],""))</f>
        <v>1.00240506329114</v>
      </c>
      <c r="Q23" s="37">
        <f>IF(tblLog[[#This Row],[Date]]="","",IF(N(tblLog[[#This Row],[Capacity (units)]])&gt;0,tblLog[[#This Row],[Good (units)]]/tblLog[[#This Row],[Capacity (units)]],""))</f>
        <v>0.879888888888889</v>
      </c>
      <c r="R23" s="37">
        <f>IF(tblLog[[#This Row],[Date]]="","",IF(tblLog[[#This Row],[Made (units)]]&gt;0,tblLog[[#This Row],[Good (units)]]/tblLog[[#This Row],[Made (units)]],""))</f>
        <v>0.988515790787667</v>
      </c>
      <c r="S23" s="38">
        <f>IF(tblLog[[#This Row],[Date]]="","",IF(tblLog[[#This Row],[Labour (h)]]&gt;0,tblLog[[#This Row],[Good (units)]]/tblLog[[#This Row],[Labour (h)]],""))</f>
        <v>247.46875</v>
      </c>
      <c r="T23" s="39" t="str">
        <f>IF(NOT(ISNUMBER(tblLog[[#This Row],[Attainment]])),"",IF(tblLog[[#This Row],[Attainment]]&gt;=TargetAttain,"On target",IF(tblLog[[#This Row],[Attainment]]&gt;=TargetAttain*(1-0.05),"Near target","Below target")))</f>
        <v>On target</v>
      </c>
      <c r="U23" s="40">
        <f>IF(tblLog[[#This Row],[Date]]="","",IF(AND(tblLog[[#This Row],[Date]]&gt;=FFrom,tblLog[[#This Row],[Date]]&lt;=FTo,OR(DashLine="",tblLog[[#This Row],[Line]]=DashLine)),tblLog[[#This Row],[Date]],""))</f>
        <v>46281</v>
      </c>
      <c r="V23"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23" s="42" t="s">
        <v>141</v>
      </c>
    </row>
    <row r="24" spans="2:23" x14ac:dyDescent="0.25">
      <c r="B24" s="35">
        <v>46282</v>
      </c>
      <c r="C24" s="28" t="s">
        <v>91</v>
      </c>
      <c r="D24" s="28" t="s">
        <v>82</v>
      </c>
      <c r="E24" s="28" t="s">
        <v>101</v>
      </c>
      <c r="F24" s="33">
        <v>11900</v>
      </c>
      <c r="G24" s="33">
        <v>450</v>
      </c>
      <c r="H24" s="33">
        <v>15</v>
      </c>
      <c r="I24" s="28" t="s">
        <v>120</v>
      </c>
      <c r="J24" s="33">
        <v>12374</v>
      </c>
      <c r="K24" s="33">
        <v>12218</v>
      </c>
      <c r="L24" s="30">
        <v>40</v>
      </c>
      <c r="M24" s="36">
        <f>IF(tblLog[[#This Row],[Date]]="","",IFERROR(INDEX(tblProducts[Rated speed (units/h)],MATCH(tblLog[[#This Row],[Product]],tblProducts[Product],0)),""))</f>
        <v>1800</v>
      </c>
      <c r="N24" s="36">
        <f>IF(tblLog[[#This Row],[Date]]="","",IF(tblLog[[#This Row],[Rated speed (units/h)]]="","",tblLog[[#This Row],[Rated speed (units/h)]]*tblLog[[#This Row],[Planned (min)]]/60))</f>
        <v>13500</v>
      </c>
      <c r="O24" s="36">
        <f>IF(tblLog[[#This Row],[Date]]="","",tblLog[[#This Row],[Made (units)]]-tblLog[[#This Row],[Good (units)]])</f>
        <v>156</v>
      </c>
      <c r="P24" s="37">
        <f>IF(tblLog[[#This Row],[Date]]="","",IF(tblLog[[#This Row],[Plan (units)]]&gt;0,tblLog[[#This Row],[Good (units)]]/tblLog[[#This Row],[Plan (units)]],""))</f>
        <v>1.02672268907563</v>
      </c>
      <c r="Q24" s="37">
        <f>IF(tblLog[[#This Row],[Date]]="","",IF(N(tblLog[[#This Row],[Capacity (units)]])&gt;0,tblLog[[#This Row],[Good (units)]]/tblLog[[#This Row],[Capacity (units)]],""))</f>
        <v>0.905037037037037</v>
      </c>
      <c r="R24" s="37">
        <f>IF(tblLog[[#This Row],[Date]]="","",IF(tblLog[[#This Row],[Made (units)]]&gt;0,tblLog[[#This Row],[Good (units)]]/tblLog[[#This Row],[Made (units)]],""))</f>
        <v>0.987392920640052</v>
      </c>
      <c r="S24" s="38">
        <f>IF(tblLog[[#This Row],[Date]]="","",IF(tblLog[[#This Row],[Labour (h)]]&gt;0,tblLog[[#This Row],[Good (units)]]/tblLog[[#This Row],[Labour (h)]],""))</f>
        <v>305.45</v>
      </c>
      <c r="T24" s="39" t="str">
        <f>IF(NOT(ISNUMBER(tblLog[[#This Row],[Attainment]])),"",IF(tblLog[[#This Row],[Attainment]]&gt;=TargetAttain,"On target",IF(tblLog[[#This Row],[Attainment]]&gt;=TargetAttain*(1-0.05),"Near target","Below target")))</f>
        <v>On target</v>
      </c>
      <c r="U24" s="40">
        <f>IF(tblLog[[#This Row],[Date]]="","",IF(AND(tblLog[[#This Row],[Date]]&gt;=FFrom,tblLog[[#This Row],[Date]]&lt;=FTo,OR(DashLine="",tblLog[[#This Row],[Line]]=DashLine)),tblLog[[#This Row],[Date]],""))</f>
        <v>46282</v>
      </c>
      <c r="V24"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24" s="42" t="s">
        <v>141</v>
      </c>
    </row>
    <row r="25" spans="2:23" x14ac:dyDescent="0.25">
      <c r="B25" s="35">
        <v>46282</v>
      </c>
      <c r="C25" s="28" t="s">
        <v>91</v>
      </c>
      <c r="D25" s="28" t="s">
        <v>85</v>
      </c>
      <c r="E25" s="28" t="s">
        <v>97</v>
      </c>
      <c r="F25" s="33">
        <v>15800</v>
      </c>
      <c r="G25" s="33">
        <v>450</v>
      </c>
      <c r="H25" s="33">
        <v>125</v>
      </c>
      <c r="I25" s="28" t="s">
        <v>106</v>
      </c>
      <c r="J25" s="33">
        <v>11919</v>
      </c>
      <c r="K25" s="33">
        <v>11741</v>
      </c>
      <c r="L25" s="30">
        <v>40</v>
      </c>
      <c r="M25" s="36">
        <f>IF(tblLog[[#This Row],[Date]]="","",IFERROR(INDEX(tblProducts[Rated speed (units/h)],MATCH(tblLog[[#This Row],[Product]],tblProducts[Product],0)),""))</f>
        <v>2400</v>
      </c>
      <c r="N25" s="36">
        <f>IF(tblLog[[#This Row],[Date]]="","",IF(tblLog[[#This Row],[Rated speed (units/h)]]="","",tblLog[[#This Row],[Rated speed (units/h)]]*tblLog[[#This Row],[Planned (min)]]/60))</f>
        <v>18000</v>
      </c>
      <c r="O25" s="36">
        <f>IF(tblLog[[#This Row],[Date]]="","",tblLog[[#This Row],[Made (units)]]-tblLog[[#This Row],[Good (units)]])</f>
        <v>178</v>
      </c>
      <c r="P25" s="37">
        <f>IF(tblLog[[#This Row],[Date]]="","",IF(tblLog[[#This Row],[Plan (units)]]&gt;0,tblLog[[#This Row],[Good (units)]]/tblLog[[#This Row],[Plan (units)]],""))</f>
        <v>0.743101265822785</v>
      </c>
      <c r="Q25" s="37">
        <f>IF(tblLog[[#This Row],[Date]]="","",IF(N(tblLog[[#This Row],[Capacity (units)]])&gt;0,tblLog[[#This Row],[Good (units)]]/tblLog[[#This Row],[Capacity (units)]],""))</f>
        <v>0.652277777777778</v>
      </c>
      <c r="R25" s="37">
        <f>IF(tblLog[[#This Row],[Date]]="","",IF(tblLog[[#This Row],[Made (units)]]&gt;0,tblLog[[#This Row],[Good (units)]]/tblLog[[#This Row],[Made (units)]],""))</f>
        <v>0.985065861229969</v>
      </c>
      <c r="S25" s="38">
        <f>IF(tblLog[[#This Row],[Date]]="","",IF(tblLog[[#This Row],[Labour (h)]]&gt;0,tblLog[[#This Row],[Good (units)]]/tblLog[[#This Row],[Labour (h)]],""))</f>
        <v>293.525</v>
      </c>
      <c r="T25" s="39" t="str">
        <f>IF(NOT(ISNUMBER(tblLog[[#This Row],[Attainment]])),"",IF(tblLog[[#This Row],[Attainment]]&gt;=TargetAttain,"On target",IF(tblLog[[#This Row],[Attainment]]&gt;=TargetAttain*(1-0.05),"Near target","Below target")))</f>
        <v>Below target</v>
      </c>
      <c r="U25" s="40">
        <f>IF(tblLog[[#This Row],[Date]]="","",IF(AND(tblLog[[#This Row],[Date]]&gt;=FFrom,tblLog[[#This Row],[Date]]&lt;=FTo,OR(DashLine="",tblLog[[#This Row],[Line]]=DashLine)),tblLog[[#This Row],[Date]],""))</f>
        <v>46282</v>
      </c>
      <c r="V25"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25" s="42" t="s">
        <v>144</v>
      </c>
    </row>
    <row r="26" spans="2:23" x14ac:dyDescent="0.25">
      <c r="B26" s="35">
        <v>46282</v>
      </c>
      <c r="C26" s="28" t="s">
        <v>91</v>
      </c>
      <c r="D26" s="28" t="s">
        <v>87</v>
      </c>
      <c r="E26" s="28" t="s">
        <v>103</v>
      </c>
      <c r="F26" s="33">
        <v>7900</v>
      </c>
      <c r="G26" s="33">
        <v>450</v>
      </c>
      <c r="H26" s="33">
        <v>30</v>
      </c>
      <c r="I26" s="28" t="s">
        <v>110</v>
      </c>
      <c r="J26" s="33">
        <v>8284</v>
      </c>
      <c r="K26" s="33">
        <v>8142</v>
      </c>
      <c r="L26" s="30">
        <v>32</v>
      </c>
      <c r="M26" s="36">
        <f>IF(tblLog[[#This Row],[Date]]="","",IFERROR(INDEX(tblProducts[Rated speed (units/h)],MATCH(tblLog[[#This Row],[Product]],tblProducts[Product],0)),""))</f>
        <v>1200</v>
      </c>
      <c r="N26" s="36">
        <f>IF(tblLog[[#This Row],[Date]]="","",IF(tblLog[[#This Row],[Rated speed (units/h)]]="","",tblLog[[#This Row],[Rated speed (units/h)]]*tblLog[[#This Row],[Planned (min)]]/60))</f>
        <v>9000</v>
      </c>
      <c r="O26" s="36">
        <f>IF(tblLog[[#This Row],[Date]]="","",tblLog[[#This Row],[Made (units)]]-tblLog[[#This Row],[Good (units)]])</f>
        <v>142</v>
      </c>
      <c r="P26" s="37">
        <f>IF(tblLog[[#This Row],[Date]]="","",IF(tblLog[[#This Row],[Plan (units)]]&gt;0,tblLog[[#This Row],[Good (units)]]/tblLog[[#This Row],[Plan (units)]],""))</f>
        <v>1.03063291139241</v>
      </c>
      <c r="Q26" s="37">
        <f>IF(tblLog[[#This Row],[Date]]="","",IF(N(tblLog[[#This Row],[Capacity (units)]])&gt;0,tblLog[[#This Row],[Good (units)]]/tblLog[[#This Row],[Capacity (units)]],""))</f>
        <v>0.904666666666667</v>
      </c>
      <c r="R26" s="37">
        <f>IF(tblLog[[#This Row],[Date]]="","",IF(tblLog[[#This Row],[Made (units)]]&gt;0,tblLog[[#This Row],[Good (units)]]/tblLog[[#This Row],[Made (units)]],""))</f>
        <v>0.982858522452921</v>
      </c>
      <c r="S26" s="38">
        <f>IF(tblLog[[#This Row],[Date]]="","",IF(tblLog[[#This Row],[Labour (h)]]&gt;0,tblLog[[#This Row],[Good (units)]]/tblLog[[#This Row],[Labour (h)]],""))</f>
        <v>254.4375</v>
      </c>
      <c r="T26" s="39" t="str">
        <f>IF(NOT(ISNUMBER(tblLog[[#This Row],[Attainment]])),"",IF(tblLog[[#This Row],[Attainment]]&gt;=TargetAttain,"On target",IF(tblLog[[#This Row],[Attainment]]&gt;=TargetAttain*(1-0.05),"Near target","Below target")))</f>
        <v>On target</v>
      </c>
      <c r="U26" s="40">
        <f>IF(tblLog[[#This Row],[Date]]="","",IF(AND(tblLog[[#This Row],[Date]]&gt;=FFrom,tblLog[[#This Row],[Date]]&lt;=FTo,OR(DashLine="",tblLog[[#This Row],[Line]]=DashLine)),tblLog[[#This Row],[Date]],""))</f>
        <v>46282</v>
      </c>
      <c r="V26"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26" s="42" t="s">
        <v>141</v>
      </c>
    </row>
    <row r="27" spans="2:23" x14ac:dyDescent="0.25">
      <c r="B27" s="35">
        <v>46282</v>
      </c>
      <c r="C27" s="28" t="s">
        <v>94</v>
      </c>
      <c r="D27" s="28" t="s">
        <v>82</v>
      </c>
      <c r="E27" s="28" t="s">
        <v>97</v>
      </c>
      <c r="F27" s="33">
        <v>15800</v>
      </c>
      <c r="G27" s="33">
        <v>450</v>
      </c>
      <c r="H27" s="33">
        <v>45</v>
      </c>
      <c r="I27" s="28" t="s">
        <v>106</v>
      </c>
      <c r="J27" s="33">
        <v>15180</v>
      </c>
      <c r="K27" s="33">
        <v>14961</v>
      </c>
      <c r="L27" s="30">
        <v>40</v>
      </c>
      <c r="M27" s="36">
        <f>IF(tblLog[[#This Row],[Date]]="","",IFERROR(INDEX(tblProducts[Rated speed (units/h)],MATCH(tblLog[[#This Row],[Product]],tblProducts[Product],0)),""))</f>
        <v>2400</v>
      </c>
      <c r="N27" s="36">
        <f>IF(tblLog[[#This Row],[Date]]="","",IF(tblLog[[#This Row],[Rated speed (units/h)]]="","",tblLog[[#This Row],[Rated speed (units/h)]]*tblLog[[#This Row],[Planned (min)]]/60))</f>
        <v>18000</v>
      </c>
      <c r="O27" s="36">
        <f>IF(tblLog[[#This Row],[Date]]="","",tblLog[[#This Row],[Made (units)]]-tblLog[[#This Row],[Good (units)]])</f>
        <v>219</v>
      </c>
      <c r="P27" s="37">
        <f>IF(tblLog[[#This Row],[Date]]="","",IF(tblLog[[#This Row],[Plan (units)]]&gt;0,tblLog[[#This Row],[Good (units)]]/tblLog[[#This Row],[Plan (units)]],""))</f>
        <v>0.946898734177215</v>
      </c>
      <c r="Q27" s="37">
        <f>IF(tblLog[[#This Row],[Date]]="","",IF(N(tblLog[[#This Row],[Capacity (units)]])&gt;0,tblLog[[#This Row],[Good (units)]]/tblLog[[#This Row],[Capacity (units)]],""))</f>
        <v>0.831166666666667</v>
      </c>
      <c r="R27" s="37">
        <f>IF(tblLog[[#This Row],[Date]]="","",IF(tblLog[[#This Row],[Made (units)]]&gt;0,tblLog[[#This Row],[Good (units)]]/tblLog[[#This Row],[Made (units)]],""))</f>
        <v>0.985573122529644</v>
      </c>
      <c r="S27" s="38">
        <f>IF(tblLog[[#This Row],[Date]]="","",IF(tblLog[[#This Row],[Labour (h)]]&gt;0,tblLog[[#This Row],[Good (units)]]/tblLog[[#This Row],[Labour (h)]],""))</f>
        <v>374.025</v>
      </c>
      <c r="T27" s="39" t="str">
        <f>IF(NOT(ISNUMBER(tblLog[[#This Row],[Attainment]])),"",IF(tblLog[[#This Row],[Attainment]]&gt;=TargetAttain,"On target",IF(tblLog[[#This Row],[Attainment]]&gt;=TargetAttain*(1-0.05),"Near target","Below target")))</f>
        <v>Near target</v>
      </c>
      <c r="U27" s="40">
        <f>IF(tblLog[[#This Row],[Date]]="","",IF(AND(tblLog[[#This Row],[Date]]&gt;=FFrom,tblLog[[#This Row],[Date]]&lt;=FTo,OR(DashLine="",tblLog[[#This Row],[Line]]=DashLine)),tblLog[[#This Row],[Date]],""))</f>
        <v>46282</v>
      </c>
      <c r="V27"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27" s="42" t="s">
        <v>144</v>
      </c>
    </row>
    <row r="28" spans="2:23" x14ac:dyDescent="0.25">
      <c r="B28" s="35">
        <v>46282</v>
      </c>
      <c r="C28" s="28" t="s">
        <v>94</v>
      </c>
      <c r="D28" s="28" t="s">
        <v>85</v>
      </c>
      <c r="E28" s="28" t="s">
        <v>97</v>
      </c>
      <c r="F28" s="33">
        <v>15800</v>
      </c>
      <c r="G28" s="33">
        <v>450</v>
      </c>
      <c r="H28" s="33">
        <v>55</v>
      </c>
      <c r="I28" s="28" t="s">
        <v>108</v>
      </c>
      <c r="J28" s="33">
        <v>13440</v>
      </c>
      <c r="K28" s="33">
        <v>13195</v>
      </c>
      <c r="L28" s="30">
        <v>40</v>
      </c>
      <c r="M28" s="36">
        <f>IF(tblLog[[#This Row],[Date]]="","",IFERROR(INDEX(tblProducts[Rated speed (units/h)],MATCH(tblLog[[#This Row],[Product]],tblProducts[Product],0)),""))</f>
        <v>2400</v>
      </c>
      <c r="N28" s="36">
        <f>IF(tblLog[[#This Row],[Date]]="","",IF(tblLog[[#This Row],[Rated speed (units/h)]]="","",tblLog[[#This Row],[Rated speed (units/h)]]*tblLog[[#This Row],[Planned (min)]]/60))</f>
        <v>18000</v>
      </c>
      <c r="O28" s="36">
        <f>IF(tblLog[[#This Row],[Date]]="","",tblLog[[#This Row],[Made (units)]]-tblLog[[#This Row],[Good (units)]])</f>
        <v>245</v>
      </c>
      <c r="P28" s="37">
        <f>IF(tblLog[[#This Row],[Date]]="","",IF(tblLog[[#This Row],[Plan (units)]]&gt;0,tblLog[[#This Row],[Good (units)]]/tblLog[[#This Row],[Plan (units)]],""))</f>
        <v>0.835126582278481</v>
      </c>
      <c r="Q28" s="37">
        <f>IF(tblLog[[#This Row],[Date]]="","",IF(N(tblLog[[#This Row],[Capacity (units)]])&gt;0,tblLog[[#This Row],[Good (units)]]/tblLog[[#This Row],[Capacity (units)]],""))</f>
        <v>0.733055555555556</v>
      </c>
      <c r="R28" s="37">
        <f>IF(tblLog[[#This Row],[Date]]="","",IF(tblLog[[#This Row],[Made (units)]]&gt;0,tblLog[[#This Row],[Good (units)]]/tblLog[[#This Row],[Made (units)]],""))</f>
        <v>0.981770833333333</v>
      </c>
      <c r="S28" s="38">
        <f>IF(tblLog[[#This Row],[Date]]="","",IF(tblLog[[#This Row],[Labour (h)]]&gt;0,tblLog[[#This Row],[Good (units)]]/tblLog[[#This Row],[Labour (h)]],""))</f>
        <v>329.875</v>
      </c>
      <c r="T28" s="39" t="str">
        <f>IF(NOT(ISNUMBER(tblLog[[#This Row],[Attainment]])),"",IF(tblLog[[#This Row],[Attainment]]&gt;=TargetAttain,"On target",IF(tblLog[[#This Row],[Attainment]]&gt;=TargetAttain*(1-0.05),"Near target","Below target")))</f>
        <v>Below target</v>
      </c>
      <c r="U28" s="40">
        <f>IF(tblLog[[#This Row],[Date]]="","",IF(AND(tblLog[[#This Row],[Date]]&gt;=FFrom,tblLog[[#This Row],[Date]]&lt;=FTo,OR(DashLine="",tblLog[[#This Row],[Line]]=DashLine)),tblLog[[#This Row],[Date]],""))</f>
        <v>46282</v>
      </c>
      <c r="V28"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28" s="42" t="s">
        <v>142</v>
      </c>
    </row>
    <row r="29" spans="2:23" x14ac:dyDescent="0.25">
      <c r="B29" s="35">
        <v>46282</v>
      </c>
      <c r="C29" s="28" t="s">
        <v>94</v>
      </c>
      <c r="D29" s="28" t="s">
        <v>87</v>
      </c>
      <c r="E29" s="28" t="s">
        <v>103</v>
      </c>
      <c r="F29" s="33">
        <v>7900</v>
      </c>
      <c r="G29" s="33">
        <v>450</v>
      </c>
      <c r="H29" s="33">
        <v>10</v>
      </c>
      <c r="I29" s="28" t="s">
        <v>112</v>
      </c>
      <c r="J29" s="33">
        <v>8104</v>
      </c>
      <c r="K29" s="33">
        <v>8065</v>
      </c>
      <c r="L29" s="30">
        <v>32</v>
      </c>
      <c r="M29" s="36">
        <f>IF(tblLog[[#This Row],[Date]]="","",IFERROR(INDEX(tblProducts[Rated speed (units/h)],MATCH(tblLog[[#This Row],[Product]],tblProducts[Product],0)),""))</f>
        <v>1200</v>
      </c>
      <c r="N29" s="36">
        <f>IF(tblLog[[#This Row],[Date]]="","",IF(tblLog[[#This Row],[Rated speed (units/h)]]="","",tblLog[[#This Row],[Rated speed (units/h)]]*tblLog[[#This Row],[Planned (min)]]/60))</f>
        <v>9000</v>
      </c>
      <c r="O29" s="36">
        <f>IF(tblLog[[#This Row],[Date]]="","",tblLog[[#This Row],[Made (units)]]-tblLog[[#This Row],[Good (units)]])</f>
        <v>39</v>
      </c>
      <c r="P29" s="37">
        <f>IF(tblLog[[#This Row],[Date]]="","",IF(tblLog[[#This Row],[Plan (units)]]&gt;0,tblLog[[#This Row],[Good (units)]]/tblLog[[#This Row],[Plan (units)]],""))</f>
        <v>1.02088607594937</v>
      </c>
      <c r="Q29" s="37">
        <f>IF(tblLog[[#This Row],[Date]]="","",IF(N(tblLog[[#This Row],[Capacity (units)]])&gt;0,tblLog[[#This Row],[Good (units)]]/tblLog[[#This Row],[Capacity (units)]],""))</f>
        <v>0.896111111111111</v>
      </c>
      <c r="R29" s="37">
        <f>IF(tblLog[[#This Row],[Date]]="","",IF(tblLog[[#This Row],[Made (units)]]&gt;0,tblLog[[#This Row],[Good (units)]]/tblLog[[#This Row],[Made (units)]],""))</f>
        <v>0.995187561697927</v>
      </c>
      <c r="S29" s="38">
        <f>IF(tblLog[[#This Row],[Date]]="","",IF(tblLog[[#This Row],[Labour (h)]]&gt;0,tblLog[[#This Row],[Good (units)]]/tblLog[[#This Row],[Labour (h)]],""))</f>
        <v>252.03125</v>
      </c>
      <c r="T29" s="39" t="str">
        <f>IF(NOT(ISNUMBER(tblLog[[#This Row],[Attainment]])),"",IF(tblLog[[#This Row],[Attainment]]&gt;=TargetAttain,"On target",IF(tblLog[[#This Row],[Attainment]]&gt;=TargetAttain*(1-0.05),"Near target","Below target")))</f>
        <v>On target</v>
      </c>
      <c r="U29" s="40">
        <f>IF(tblLog[[#This Row],[Date]]="","",IF(AND(tblLog[[#This Row],[Date]]&gt;=FFrom,tblLog[[#This Row],[Date]]&lt;=FTo,OR(DashLine="",tblLog[[#This Row],[Line]]=DashLine)),tblLog[[#This Row],[Date]],""))</f>
        <v>46282</v>
      </c>
      <c r="V29"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29" s="42" t="s">
        <v>141</v>
      </c>
    </row>
    <row r="30" spans="2:23" x14ac:dyDescent="0.25">
      <c r="B30" s="35">
        <v>46283</v>
      </c>
      <c r="C30" s="28" t="s">
        <v>91</v>
      </c>
      <c r="D30" s="28" t="s">
        <v>82</v>
      </c>
      <c r="E30" s="28" t="s">
        <v>97</v>
      </c>
      <c r="F30" s="33">
        <v>15800</v>
      </c>
      <c r="G30" s="33">
        <v>450</v>
      </c>
      <c r="H30" s="33">
        <v>0</v>
      </c>
      <c r="I30" s="28"/>
      <c r="J30" s="33">
        <v>17361</v>
      </c>
      <c r="K30" s="33">
        <v>17206</v>
      </c>
      <c r="L30" s="30">
        <v>40</v>
      </c>
      <c r="M30" s="36">
        <f>IF(tblLog[[#This Row],[Date]]="","",IFERROR(INDEX(tblProducts[Rated speed (units/h)],MATCH(tblLog[[#This Row],[Product]],tblProducts[Product],0)),""))</f>
        <v>2400</v>
      </c>
      <c r="N30" s="36">
        <f>IF(tblLog[[#This Row],[Date]]="","",IF(tblLog[[#This Row],[Rated speed (units/h)]]="","",tblLog[[#This Row],[Rated speed (units/h)]]*tblLog[[#This Row],[Planned (min)]]/60))</f>
        <v>18000</v>
      </c>
      <c r="O30" s="36">
        <f>IF(tblLog[[#This Row],[Date]]="","",tblLog[[#This Row],[Made (units)]]-tblLog[[#This Row],[Good (units)]])</f>
        <v>155</v>
      </c>
      <c r="P30" s="37">
        <f>IF(tblLog[[#This Row],[Date]]="","",IF(tblLog[[#This Row],[Plan (units)]]&gt;0,tblLog[[#This Row],[Good (units)]]/tblLog[[#This Row],[Plan (units)]],""))</f>
        <v>1.08898734177215</v>
      </c>
      <c r="Q30" s="37">
        <f>IF(tblLog[[#This Row],[Date]]="","",IF(N(tblLog[[#This Row],[Capacity (units)]])&gt;0,tblLog[[#This Row],[Good (units)]]/tblLog[[#This Row],[Capacity (units)]],""))</f>
        <v>0.955888888888889</v>
      </c>
      <c r="R30" s="37">
        <f>IF(tblLog[[#This Row],[Date]]="","",IF(tblLog[[#This Row],[Made (units)]]&gt;0,tblLog[[#This Row],[Good (units)]]/tblLog[[#This Row],[Made (units)]],""))</f>
        <v>0.991071942860434</v>
      </c>
      <c r="S30" s="38">
        <f>IF(tblLog[[#This Row],[Date]]="","",IF(tblLog[[#This Row],[Labour (h)]]&gt;0,tblLog[[#This Row],[Good (units)]]/tblLog[[#This Row],[Labour (h)]],""))</f>
        <v>430.15</v>
      </c>
      <c r="T30" s="39" t="str">
        <f>IF(NOT(ISNUMBER(tblLog[[#This Row],[Attainment]])),"",IF(tblLog[[#This Row],[Attainment]]&gt;=TargetAttain,"On target",IF(tblLog[[#This Row],[Attainment]]&gt;=TargetAttain*(1-0.05),"Near target","Below target")))</f>
        <v>On target</v>
      </c>
      <c r="U30" s="40">
        <f>IF(tblLog[[#This Row],[Date]]="","",IF(AND(tblLog[[#This Row],[Date]]&gt;=FFrom,tblLog[[#This Row],[Date]]&lt;=FTo,OR(DashLine="",tblLog[[#This Row],[Line]]=DashLine)),tblLog[[#This Row],[Date]],""))</f>
        <v>46283</v>
      </c>
      <c r="V30"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30" s="42" t="s">
        <v>141</v>
      </c>
    </row>
    <row r="31" spans="2:23" x14ac:dyDescent="0.25">
      <c r="B31" s="35">
        <v>46283</v>
      </c>
      <c r="C31" s="28" t="s">
        <v>91</v>
      </c>
      <c r="D31" s="28" t="s">
        <v>85</v>
      </c>
      <c r="E31" s="28" t="s">
        <v>97</v>
      </c>
      <c r="F31" s="33">
        <v>15800</v>
      </c>
      <c r="G31" s="33">
        <v>450</v>
      </c>
      <c r="H31" s="33">
        <v>70</v>
      </c>
      <c r="I31" s="28" t="s">
        <v>116</v>
      </c>
      <c r="J31" s="33">
        <v>14550</v>
      </c>
      <c r="K31" s="33">
        <v>14356</v>
      </c>
      <c r="L31" s="30">
        <v>40</v>
      </c>
      <c r="M31" s="36">
        <f>IF(tblLog[[#This Row],[Date]]="","",IFERROR(INDEX(tblProducts[Rated speed (units/h)],MATCH(tblLog[[#This Row],[Product]],tblProducts[Product],0)),""))</f>
        <v>2400</v>
      </c>
      <c r="N31" s="36">
        <f>IF(tblLog[[#This Row],[Date]]="","",IF(tblLog[[#This Row],[Rated speed (units/h)]]="","",tblLog[[#This Row],[Rated speed (units/h)]]*tblLog[[#This Row],[Planned (min)]]/60))</f>
        <v>18000</v>
      </c>
      <c r="O31" s="36">
        <f>IF(tblLog[[#This Row],[Date]]="","",tblLog[[#This Row],[Made (units)]]-tblLog[[#This Row],[Good (units)]])</f>
        <v>194</v>
      </c>
      <c r="P31" s="37">
        <f>IF(tblLog[[#This Row],[Date]]="","",IF(tblLog[[#This Row],[Plan (units)]]&gt;0,tblLog[[#This Row],[Good (units)]]/tblLog[[#This Row],[Plan (units)]],""))</f>
        <v>0.908607594936709</v>
      </c>
      <c r="Q31" s="37">
        <f>IF(tblLog[[#This Row],[Date]]="","",IF(N(tblLog[[#This Row],[Capacity (units)]])&gt;0,tblLog[[#This Row],[Good (units)]]/tblLog[[#This Row],[Capacity (units)]],""))</f>
        <v>0.797555555555556</v>
      </c>
      <c r="R31" s="37">
        <f>IF(tblLog[[#This Row],[Date]]="","",IF(tblLog[[#This Row],[Made (units)]]&gt;0,tblLog[[#This Row],[Good (units)]]/tblLog[[#This Row],[Made (units)]],""))</f>
        <v>0.986666666666667</v>
      </c>
      <c r="S31" s="38">
        <f>IF(tblLog[[#This Row],[Date]]="","",IF(tblLog[[#This Row],[Labour (h)]]&gt;0,tblLog[[#This Row],[Good (units)]]/tblLog[[#This Row],[Labour (h)]],""))</f>
        <v>358.9</v>
      </c>
      <c r="T31" s="39" t="str">
        <f>IF(NOT(ISNUMBER(tblLog[[#This Row],[Attainment]])),"",IF(tblLog[[#This Row],[Attainment]]&gt;=TargetAttain,"On target",IF(tblLog[[#This Row],[Attainment]]&gt;=TargetAttain*(1-0.05),"Near target","Below target")))</f>
        <v>Near target</v>
      </c>
      <c r="U31" s="40">
        <f>IF(tblLog[[#This Row],[Date]]="","",IF(AND(tblLog[[#This Row],[Date]]&gt;=FFrom,tblLog[[#This Row],[Date]]&lt;=FTo,OR(DashLine="",tblLog[[#This Row],[Line]]=DashLine)),tblLog[[#This Row],[Date]],""))</f>
        <v>46283</v>
      </c>
      <c r="V31"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31" s="42" t="s">
        <v>141</v>
      </c>
    </row>
    <row r="32" spans="2:23" x14ac:dyDescent="0.25">
      <c r="B32" s="35">
        <v>46283</v>
      </c>
      <c r="C32" s="28" t="s">
        <v>91</v>
      </c>
      <c r="D32" s="28" t="s">
        <v>87</v>
      </c>
      <c r="E32" s="28" t="s">
        <v>103</v>
      </c>
      <c r="F32" s="33">
        <v>7900</v>
      </c>
      <c r="G32" s="33">
        <v>450</v>
      </c>
      <c r="H32" s="33">
        <v>0</v>
      </c>
      <c r="I32" s="28"/>
      <c r="J32" s="33">
        <v>8349</v>
      </c>
      <c r="K32" s="33">
        <v>8226</v>
      </c>
      <c r="L32" s="30">
        <v>32</v>
      </c>
      <c r="M32" s="36">
        <f>IF(tblLog[[#This Row],[Date]]="","",IFERROR(INDEX(tblProducts[Rated speed (units/h)],MATCH(tblLog[[#This Row],[Product]],tblProducts[Product],0)),""))</f>
        <v>1200</v>
      </c>
      <c r="N32" s="36">
        <f>IF(tblLog[[#This Row],[Date]]="","",IF(tblLog[[#This Row],[Rated speed (units/h)]]="","",tblLog[[#This Row],[Rated speed (units/h)]]*tblLog[[#This Row],[Planned (min)]]/60))</f>
        <v>9000</v>
      </c>
      <c r="O32" s="36">
        <f>IF(tblLog[[#This Row],[Date]]="","",tblLog[[#This Row],[Made (units)]]-tblLog[[#This Row],[Good (units)]])</f>
        <v>123</v>
      </c>
      <c r="P32" s="37">
        <f>IF(tblLog[[#This Row],[Date]]="","",IF(tblLog[[#This Row],[Plan (units)]]&gt;0,tblLog[[#This Row],[Good (units)]]/tblLog[[#This Row],[Plan (units)]],""))</f>
        <v>1.04126582278481</v>
      </c>
      <c r="Q32" s="37">
        <f>IF(tblLog[[#This Row],[Date]]="","",IF(N(tblLog[[#This Row],[Capacity (units)]])&gt;0,tblLog[[#This Row],[Good (units)]]/tblLog[[#This Row],[Capacity (units)]],""))</f>
        <v>0.914</v>
      </c>
      <c r="R32" s="37">
        <f>IF(tblLog[[#This Row],[Date]]="","",IF(tblLog[[#This Row],[Made (units)]]&gt;0,tblLog[[#This Row],[Good (units)]]/tblLog[[#This Row],[Made (units)]],""))</f>
        <v>0.985267696730147</v>
      </c>
      <c r="S32" s="38">
        <f>IF(tblLog[[#This Row],[Date]]="","",IF(tblLog[[#This Row],[Labour (h)]]&gt;0,tblLog[[#This Row],[Good (units)]]/tblLog[[#This Row],[Labour (h)]],""))</f>
        <v>257.0625</v>
      </c>
      <c r="T32" s="39" t="str">
        <f>IF(NOT(ISNUMBER(tblLog[[#This Row],[Attainment]])),"",IF(tblLog[[#This Row],[Attainment]]&gt;=TargetAttain,"On target",IF(tblLog[[#This Row],[Attainment]]&gt;=TargetAttain*(1-0.05),"Near target","Below target")))</f>
        <v>On target</v>
      </c>
      <c r="U32" s="40">
        <f>IF(tblLog[[#This Row],[Date]]="","",IF(AND(tblLog[[#This Row],[Date]]&gt;=FFrom,tblLog[[#This Row],[Date]]&lt;=FTo,OR(DashLine="",tblLog[[#This Row],[Line]]=DashLine)),tblLog[[#This Row],[Date]],""))</f>
        <v>46283</v>
      </c>
      <c r="V32"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32" s="42" t="s">
        <v>141</v>
      </c>
    </row>
    <row r="33" spans="2:23" x14ac:dyDescent="0.25">
      <c r="B33" s="35">
        <v>46283</v>
      </c>
      <c r="C33" s="28" t="s">
        <v>94</v>
      </c>
      <c r="D33" s="28" t="s">
        <v>82</v>
      </c>
      <c r="E33" s="28" t="s">
        <v>97</v>
      </c>
      <c r="F33" s="33">
        <v>15800</v>
      </c>
      <c r="G33" s="33">
        <v>450</v>
      </c>
      <c r="H33" s="33">
        <v>0</v>
      </c>
      <c r="I33" s="28"/>
      <c r="J33" s="33">
        <v>15801</v>
      </c>
      <c r="K33" s="33">
        <v>15663</v>
      </c>
      <c r="L33" s="30">
        <v>40</v>
      </c>
      <c r="M33" s="36">
        <f>IF(tblLog[[#This Row],[Date]]="","",IFERROR(INDEX(tblProducts[Rated speed (units/h)],MATCH(tblLog[[#This Row],[Product]],tblProducts[Product],0)),""))</f>
        <v>2400</v>
      </c>
      <c r="N33" s="36">
        <f>IF(tblLog[[#This Row],[Date]]="","",IF(tblLog[[#This Row],[Rated speed (units/h)]]="","",tblLog[[#This Row],[Rated speed (units/h)]]*tblLog[[#This Row],[Planned (min)]]/60))</f>
        <v>18000</v>
      </c>
      <c r="O33" s="36">
        <f>IF(tblLog[[#This Row],[Date]]="","",tblLog[[#This Row],[Made (units)]]-tblLog[[#This Row],[Good (units)]])</f>
        <v>138</v>
      </c>
      <c r="P33" s="37">
        <f>IF(tblLog[[#This Row],[Date]]="","",IF(tblLog[[#This Row],[Plan (units)]]&gt;0,tblLog[[#This Row],[Good (units)]]/tblLog[[#This Row],[Plan (units)]],""))</f>
        <v>0.991329113924051</v>
      </c>
      <c r="Q33" s="37">
        <f>IF(tblLog[[#This Row],[Date]]="","",IF(N(tblLog[[#This Row],[Capacity (units)]])&gt;0,tblLog[[#This Row],[Good (units)]]/tblLog[[#This Row],[Capacity (units)]],""))</f>
        <v>0.870166666666667</v>
      </c>
      <c r="R33" s="37">
        <f>IF(tblLog[[#This Row],[Date]]="","",IF(tblLog[[#This Row],[Made (units)]]&gt;0,tblLog[[#This Row],[Good (units)]]/tblLog[[#This Row],[Made (units)]],""))</f>
        <v>0.991266375545852</v>
      </c>
      <c r="S33" s="38">
        <f>IF(tblLog[[#This Row],[Date]]="","",IF(tblLog[[#This Row],[Labour (h)]]&gt;0,tblLog[[#This Row],[Good (units)]]/tblLog[[#This Row],[Labour (h)]],""))</f>
        <v>391.575</v>
      </c>
      <c r="T33" s="39" t="str">
        <f>IF(NOT(ISNUMBER(tblLog[[#This Row],[Attainment]])),"",IF(tblLog[[#This Row],[Attainment]]&gt;=TargetAttain,"On target",IF(tblLog[[#This Row],[Attainment]]&gt;=TargetAttain*(1-0.05),"Near target","Below target")))</f>
        <v>On target</v>
      </c>
      <c r="U33" s="40">
        <f>IF(tblLog[[#This Row],[Date]]="","",IF(AND(tblLog[[#This Row],[Date]]&gt;=FFrom,tblLog[[#This Row],[Date]]&lt;=FTo,OR(DashLine="",tblLog[[#This Row],[Line]]=DashLine)),tblLog[[#This Row],[Date]],""))</f>
        <v>46283</v>
      </c>
      <c r="V33"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33" s="42" t="s">
        <v>141</v>
      </c>
    </row>
    <row r="34" spans="2:23" x14ac:dyDescent="0.25">
      <c r="B34" s="35">
        <v>46283</v>
      </c>
      <c r="C34" s="28" t="s">
        <v>94</v>
      </c>
      <c r="D34" s="28" t="s">
        <v>85</v>
      </c>
      <c r="E34" s="28" t="s">
        <v>97</v>
      </c>
      <c r="F34" s="33">
        <v>15800</v>
      </c>
      <c r="G34" s="33">
        <v>450</v>
      </c>
      <c r="H34" s="33">
        <v>50</v>
      </c>
      <c r="I34" s="28" t="s">
        <v>108</v>
      </c>
      <c r="J34" s="33">
        <v>13339</v>
      </c>
      <c r="K34" s="33">
        <v>13211</v>
      </c>
      <c r="L34" s="30">
        <v>40</v>
      </c>
      <c r="M34" s="36">
        <f>IF(tblLog[[#This Row],[Date]]="","",IFERROR(INDEX(tblProducts[Rated speed (units/h)],MATCH(tblLog[[#This Row],[Product]],tblProducts[Product],0)),""))</f>
        <v>2400</v>
      </c>
      <c r="N34" s="36">
        <f>IF(tblLog[[#This Row],[Date]]="","",IF(tblLog[[#This Row],[Rated speed (units/h)]]="","",tblLog[[#This Row],[Rated speed (units/h)]]*tblLog[[#This Row],[Planned (min)]]/60))</f>
        <v>18000</v>
      </c>
      <c r="O34" s="36">
        <f>IF(tblLog[[#This Row],[Date]]="","",tblLog[[#This Row],[Made (units)]]-tblLog[[#This Row],[Good (units)]])</f>
        <v>128</v>
      </c>
      <c r="P34" s="37">
        <f>IF(tblLog[[#This Row],[Date]]="","",IF(tblLog[[#This Row],[Plan (units)]]&gt;0,tblLog[[#This Row],[Good (units)]]/tblLog[[#This Row],[Plan (units)]],""))</f>
        <v>0.836139240506329</v>
      </c>
      <c r="Q34" s="37">
        <f>IF(tblLog[[#This Row],[Date]]="","",IF(N(tblLog[[#This Row],[Capacity (units)]])&gt;0,tblLog[[#This Row],[Good (units)]]/tblLog[[#This Row],[Capacity (units)]],""))</f>
        <v>0.733944444444444</v>
      </c>
      <c r="R34" s="37">
        <f>IF(tblLog[[#This Row],[Date]]="","",IF(tblLog[[#This Row],[Made (units)]]&gt;0,tblLog[[#This Row],[Good (units)]]/tblLog[[#This Row],[Made (units)]],""))</f>
        <v>0.990404078266737</v>
      </c>
      <c r="S34" s="38">
        <f>IF(tblLog[[#This Row],[Date]]="","",IF(tblLog[[#This Row],[Labour (h)]]&gt;0,tblLog[[#This Row],[Good (units)]]/tblLog[[#This Row],[Labour (h)]],""))</f>
        <v>330.275</v>
      </c>
      <c r="T34" s="39" t="str">
        <f>IF(NOT(ISNUMBER(tblLog[[#This Row],[Attainment]])),"",IF(tblLog[[#This Row],[Attainment]]&gt;=TargetAttain,"On target",IF(tblLog[[#This Row],[Attainment]]&gt;=TargetAttain*(1-0.05),"Near target","Below target")))</f>
        <v>Below target</v>
      </c>
      <c r="U34" s="40">
        <f>IF(tblLog[[#This Row],[Date]]="","",IF(AND(tblLog[[#This Row],[Date]]&gt;=FFrom,tblLog[[#This Row],[Date]]&lt;=FTo,OR(DashLine="",tblLog[[#This Row],[Line]]=DashLine)),tblLog[[#This Row],[Date]],""))</f>
        <v>46283</v>
      </c>
      <c r="V34"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34" s="42" t="s">
        <v>142</v>
      </c>
    </row>
    <row r="35" spans="2:23" x14ac:dyDescent="0.25">
      <c r="B35" s="35">
        <v>46283</v>
      </c>
      <c r="C35" s="28" t="s">
        <v>94</v>
      </c>
      <c r="D35" s="28" t="s">
        <v>87</v>
      </c>
      <c r="E35" s="28" t="s">
        <v>103</v>
      </c>
      <c r="F35" s="33">
        <v>7900</v>
      </c>
      <c r="G35" s="33">
        <v>450</v>
      </c>
      <c r="H35" s="33">
        <v>15</v>
      </c>
      <c r="I35" s="28" t="s">
        <v>116</v>
      </c>
      <c r="J35" s="33">
        <v>7957</v>
      </c>
      <c r="K35" s="33">
        <v>7887</v>
      </c>
      <c r="L35" s="30">
        <v>32</v>
      </c>
      <c r="M35" s="36">
        <f>IF(tblLog[[#This Row],[Date]]="","",IFERROR(INDEX(tblProducts[Rated speed (units/h)],MATCH(tblLog[[#This Row],[Product]],tblProducts[Product],0)),""))</f>
        <v>1200</v>
      </c>
      <c r="N35" s="36">
        <f>IF(tblLog[[#This Row],[Date]]="","",IF(tblLog[[#This Row],[Rated speed (units/h)]]="","",tblLog[[#This Row],[Rated speed (units/h)]]*tblLog[[#This Row],[Planned (min)]]/60))</f>
        <v>9000</v>
      </c>
      <c r="O35" s="36">
        <f>IF(tblLog[[#This Row],[Date]]="","",tblLog[[#This Row],[Made (units)]]-tblLog[[#This Row],[Good (units)]])</f>
        <v>70</v>
      </c>
      <c r="P35" s="37">
        <f>IF(tblLog[[#This Row],[Date]]="","",IF(tblLog[[#This Row],[Plan (units)]]&gt;0,tblLog[[#This Row],[Good (units)]]/tblLog[[#This Row],[Plan (units)]],""))</f>
        <v>0.998354430379747</v>
      </c>
      <c r="Q35" s="37">
        <f>IF(tblLog[[#This Row],[Date]]="","",IF(N(tblLog[[#This Row],[Capacity (units)]])&gt;0,tblLog[[#This Row],[Good (units)]]/tblLog[[#This Row],[Capacity (units)]],""))</f>
        <v>0.876333333333333</v>
      </c>
      <c r="R35" s="37">
        <f>IF(tblLog[[#This Row],[Date]]="","",IF(tblLog[[#This Row],[Made (units)]]&gt;0,tblLog[[#This Row],[Good (units)]]/tblLog[[#This Row],[Made (units)]],""))</f>
        <v>0.991202714590926</v>
      </c>
      <c r="S35" s="38">
        <f>IF(tblLog[[#This Row],[Date]]="","",IF(tblLog[[#This Row],[Labour (h)]]&gt;0,tblLog[[#This Row],[Good (units)]]/tblLog[[#This Row],[Labour (h)]],""))</f>
        <v>246.46875</v>
      </c>
      <c r="T35" s="39" t="str">
        <f>IF(NOT(ISNUMBER(tblLog[[#This Row],[Attainment]])),"",IF(tblLog[[#This Row],[Attainment]]&gt;=TargetAttain,"On target",IF(tblLog[[#This Row],[Attainment]]&gt;=TargetAttain*(1-0.05),"Near target","Below target")))</f>
        <v>On target</v>
      </c>
      <c r="U35" s="40">
        <f>IF(tblLog[[#This Row],[Date]]="","",IF(AND(tblLog[[#This Row],[Date]]&gt;=FFrom,tblLog[[#This Row],[Date]]&lt;=FTo,OR(DashLine="",tblLog[[#This Row],[Line]]=DashLine)),tblLog[[#This Row],[Date]],""))</f>
        <v>46283</v>
      </c>
      <c r="V35"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35" s="42" t="s">
        <v>141</v>
      </c>
    </row>
    <row r="36" spans="2:23" x14ac:dyDescent="0.25">
      <c r="B36" s="35">
        <v>46286</v>
      </c>
      <c r="C36" s="28" t="s">
        <v>91</v>
      </c>
      <c r="D36" s="28" t="s">
        <v>82</v>
      </c>
      <c r="E36" s="28" t="s">
        <v>97</v>
      </c>
      <c r="F36" s="33">
        <v>15800</v>
      </c>
      <c r="G36" s="33">
        <v>450</v>
      </c>
      <c r="H36" s="33">
        <v>25</v>
      </c>
      <c r="I36" s="28" t="s">
        <v>118</v>
      </c>
      <c r="J36" s="33">
        <v>16002</v>
      </c>
      <c r="K36" s="33">
        <v>15849</v>
      </c>
      <c r="L36" s="30">
        <v>40</v>
      </c>
      <c r="M36" s="36">
        <f>IF(tblLog[[#This Row],[Date]]="","",IFERROR(INDEX(tblProducts[Rated speed (units/h)],MATCH(tblLog[[#This Row],[Product]],tblProducts[Product],0)),""))</f>
        <v>2400</v>
      </c>
      <c r="N36" s="36">
        <f>IF(tblLog[[#This Row],[Date]]="","",IF(tblLog[[#This Row],[Rated speed (units/h)]]="","",tblLog[[#This Row],[Rated speed (units/h)]]*tblLog[[#This Row],[Planned (min)]]/60))</f>
        <v>18000</v>
      </c>
      <c r="O36" s="36">
        <f>IF(tblLog[[#This Row],[Date]]="","",tblLog[[#This Row],[Made (units)]]-tblLog[[#This Row],[Good (units)]])</f>
        <v>153</v>
      </c>
      <c r="P36" s="37">
        <f>IF(tblLog[[#This Row],[Date]]="","",IF(tblLog[[#This Row],[Plan (units)]]&gt;0,tblLog[[#This Row],[Good (units)]]/tblLog[[#This Row],[Plan (units)]],""))</f>
        <v>1.00310126582279</v>
      </c>
      <c r="Q36" s="37">
        <f>IF(tblLog[[#This Row],[Date]]="","",IF(N(tblLog[[#This Row],[Capacity (units)]])&gt;0,tblLog[[#This Row],[Good (units)]]/tblLog[[#This Row],[Capacity (units)]],""))</f>
        <v>0.8805</v>
      </c>
      <c r="R36" s="37">
        <f>IF(tblLog[[#This Row],[Date]]="","",IF(tblLog[[#This Row],[Made (units)]]&gt;0,tblLog[[#This Row],[Good (units)]]/tblLog[[#This Row],[Made (units)]],""))</f>
        <v>0.990438695163105</v>
      </c>
      <c r="S36" s="38">
        <f>IF(tblLog[[#This Row],[Date]]="","",IF(tblLog[[#This Row],[Labour (h)]]&gt;0,tblLog[[#This Row],[Good (units)]]/tblLog[[#This Row],[Labour (h)]],""))</f>
        <v>396.225</v>
      </c>
      <c r="T36" s="39" t="str">
        <f>IF(NOT(ISNUMBER(tblLog[[#This Row],[Attainment]])),"",IF(tblLog[[#This Row],[Attainment]]&gt;=TargetAttain,"On target",IF(tblLog[[#This Row],[Attainment]]&gt;=TargetAttain*(1-0.05),"Near target","Below target")))</f>
        <v>On target</v>
      </c>
      <c r="U36" s="40">
        <f>IF(tblLog[[#This Row],[Date]]="","",IF(AND(tblLog[[#This Row],[Date]]&gt;=FFrom,tblLog[[#This Row],[Date]]&lt;=FTo,OR(DashLine="",tblLog[[#This Row],[Line]]=DashLine)),tblLog[[#This Row],[Date]],""))</f>
        <v>46286</v>
      </c>
      <c r="V36"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36" s="42" t="s">
        <v>141</v>
      </c>
    </row>
    <row r="37" spans="2:23" x14ac:dyDescent="0.25">
      <c r="B37" s="35">
        <v>46286</v>
      </c>
      <c r="C37" s="28" t="s">
        <v>91</v>
      </c>
      <c r="D37" s="28" t="s">
        <v>85</v>
      </c>
      <c r="E37" s="28" t="s">
        <v>97</v>
      </c>
      <c r="F37" s="33">
        <v>15800</v>
      </c>
      <c r="G37" s="33">
        <v>450</v>
      </c>
      <c r="H37" s="33">
        <v>10</v>
      </c>
      <c r="I37" s="28" t="s">
        <v>108</v>
      </c>
      <c r="J37" s="33">
        <v>16312</v>
      </c>
      <c r="K37" s="33">
        <v>16060</v>
      </c>
      <c r="L37" s="30">
        <v>40</v>
      </c>
      <c r="M37" s="36">
        <f>IF(tblLog[[#This Row],[Date]]="","",IFERROR(INDEX(tblProducts[Rated speed (units/h)],MATCH(tblLog[[#This Row],[Product]],tblProducts[Product],0)),""))</f>
        <v>2400</v>
      </c>
      <c r="N37" s="36">
        <f>IF(tblLog[[#This Row],[Date]]="","",IF(tblLog[[#This Row],[Rated speed (units/h)]]="","",tblLog[[#This Row],[Rated speed (units/h)]]*tblLog[[#This Row],[Planned (min)]]/60))</f>
        <v>18000</v>
      </c>
      <c r="O37" s="36">
        <f>IF(tblLog[[#This Row],[Date]]="","",tblLog[[#This Row],[Made (units)]]-tblLog[[#This Row],[Good (units)]])</f>
        <v>252</v>
      </c>
      <c r="P37" s="37">
        <f>IF(tblLog[[#This Row],[Date]]="","",IF(tblLog[[#This Row],[Plan (units)]]&gt;0,tblLog[[#This Row],[Good (units)]]/tblLog[[#This Row],[Plan (units)]],""))</f>
        <v>1.01645569620253</v>
      </c>
      <c r="Q37" s="37">
        <f>IF(tblLog[[#This Row],[Date]]="","",IF(N(tblLog[[#This Row],[Capacity (units)]])&gt;0,tblLog[[#This Row],[Good (units)]]/tblLog[[#This Row],[Capacity (units)]],""))</f>
        <v>0.892222222222222</v>
      </c>
      <c r="R37" s="37">
        <f>IF(tblLog[[#This Row],[Date]]="","",IF(tblLog[[#This Row],[Made (units)]]&gt;0,tblLog[[#This Row],[Good (units)]]/tblLog[[#This Row],[Made (units)]],""))</f>
        <v>0.984551250613046</v>
      </c>
      <c r="S37" s="38">
        <f>IF(tblLog[[#This Row],[Date]]="","",IF(tblLog[[#This Row],[Labour (h)]]&gt;0,tblLog[[#This Row],[Good (units)]]/tblLog[[#This Row],[Labour (h)]],""))</f>
        <v>401.5</v>
      </c>
      <c r="T37" s="39" t="str">
        <f>IF(NOT(ISNUMBER(tblLog[[#This Row],[Attainment]])),"",IF(tblLog[[#This Row],[Attainment]]&gt;=TargetAttain,"On target",IF(tblLog[[#This Row],[Attainment]]&gt;=TargetAttain*(1-0.05),"Near target","Below target")))</f>
        <v>On target</v>
      </c>
      <c r="U37" s="40">
        <f>IF(tblLog[[#This Row],[Date]]="","",IF(AND(tblLog[[#This Row],[Date]]&gt;=FFrom,tblLog[[#This Row],[Date]]&lt;=FTo,OR(DashLine="",tblLog[[#This Row],[Line]]=DashLine)),tblLog[[#This Row],[Date]],""))</f>
        <v>46286</v>
      </c>
      <c r="V37"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37" s="42" t="s">
        <v>141</v>
      </c>
    </row>
    <row r="38" spans="2:23" x14ac:dyDescent="0.25">
      <c r="B38" s="35">
        <v>46286</v>
      </c>
      <c r="C38" s="28" t="s">
        <v>91</v>
      </c>
      <c r="D38" s="28" t="s">
        <v>87</v>
      </c>
      <c r="E38" s="28" t="s">
        <v>103</v>
      </c>
      <c r="F38" s="33">
        <v>7900</v>
      </c>
      <c r="G38" s="33">
        <v>450</v>
      </c>
      <c r="H38" s="33">
        <v>25</v>
      </c>
      <c r="I38" s="28" t="s">
        <v>116</v>
      </c>
      <c r="J38" s="33">
        <v>8290</v>
      </c>
      <c r="K38" s="33">
        <v>8246</v>
      </c>
      <c r="L38" s="30">
        <v>32</v>
      </c>
      <c r="M38" s="36">
        <f>IF(tblLog[[#This Row],[Date]]="","",IFERROR(INDEX(tblProducts[Rated speed (units/h)],MATCH(tblLog[[#This Row],[Product]],tblProducts[Product],0)),""))</f>
        <v>1200</v>
      </c>
      <c r="N38" s="36">
        <f>IF(tblLog[[#This Row],[Date]]="","",IF(tblLog[[#This Row],[Rated speed (units/h)]]="","",tblLog[[#This Row],[Rated speed (units/h)]]*tblLog[[#This Row],[Planned (min)]]/60))</f>
        <v>9000</v>
      </c>
      <c r="O38" s="36">
        <f>IF(tblLog[[#This Row],[Date]]="","",tblLog[[#This Row],[Made (units)]]-tblLog[[#This Row],[Good (units)]])</f>
        <v>44</v>
      </c>
      <c r="P38" s="37">
        <f>IF(tblLog[[#This Row],[Date]]="","",IF(tblLog[[#This Row],[Plan (units)]]&gt;0,tblLog[[#This Row],[Good (units)]]/tblLog[[#This Row],[Plan (units)]],""))</f>
        <v>1.04379746835443</v>
      </c>
      <c r="Q38" s="37">
        <f>IF(tblLog[[#This Row],[Date]]="","",IF(N(tblLog[[#This Row],[Capacity (units)]])&gt;0,tblLog[[#This Row],[Good (units)]]/tblLog[[#This Row],[Capacity (units)]],""))</f>
        <v>0.916222222222222</v>
      </c>
      <c r="R38" s="37">
        <f>IF(tblLog[[#This Row],[Date]]="","",IF(tblLog[[#This Row],[Made (units)]]&gt;0,tblLog[[#This Row],[Good (units)]]/tblLog[[#This Row],[Made (units)]],""))</f>
        <v>0.994692400482509</v>
      </c>
      <c r="S38" s="38">
        <f>IF(tblLog[[#This Row],[Date]]="","",IF(tblLog[[#This Row],[Labour (h)]]&gt;0,tblLog[[#This Row],[Good (units)]]/tblLog[[#This Row],[Labour (h)]],""))</f>
        <v>257.6875</v>
      </c>
      <c r="T38" s="39" t="str">
        <f>IF(NOT(ISNUMBER(tblLog[[#This Row],[Attainment]])),"",IF(tblLog[[#This Row],[Attainment]]&gt;=TargetAttain,"On target",IF(tblLog[[#This Row],[Attainment]]&gt;=TargetAttain*(1-0.05),"Near target","Below target")))</f>
        <v>On target</v>
      </c>
      <c r="U38" s="40">
        <f>IF(tblLog[[#This Row],[Date]]="","",IF(AND(tblLog[[#This Row],[Date]]&gt;=FFrom,tblLog[[#This Row],[Date]]&lt;=FTo,OR(DashLine="",tblLog[[#This Row],[Line]]=DashLine)),tblLog[[#This Row],[Date]],""))</f>
        <v>46286</v>
      </c>
      <c r="V38"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38" s="42" t="s">
        <v>141</v>
      </c>
    </row>
    <row r="39" spans="2:23" x14ac:dyDescent="0.25">
      <c r="B39" s="35">
        <v>46286</v>
      </c>
      <c r="C39" s="28" t="s">
        <v>94</v>
      </c>
      <c r="D39" s="28" t="s">
        <v>82</v>
      </c>
      <c r="E39" s="28" t="s">
        <v>101</v>
      </c>
      <c r="F39" s="33">
        <v>11900</v>
      </c>
      <c r="G39" s="33">
        <v>450</v>
      </c>
      <c r="H39" s="33">
        <v>40</v>
      </c>
      <c r="I39" s="28" t="s">
        <v>106</v>
      </c>
      <c r="J39" s="33">
        <v>11570</v>
      </c>
      <c r="K39" s="33">
        <v>11426</v>
      </c>
      <c r="L39" s="30">
        <v>40</v>
      </c>
      <c r="M39" s="36">
        <f>IF(tblLog[[#This Row],[Date]]="","",IFERROR(INDEX(tblProducts[Rated speed (units/h)],MATCH(tblLog[[#This Row],[Product]],tblProducts[Product],0)),""))</f>
        <v>1800</v>
      </c>
      <c r="N39" s="36">
        <f>IF(tblLog[[#This Row],[Date]]="","",IF(tblLog[[#This Row],[Rated speed (units/h)]]="","",tblLog[[#This Row],[Rated speed (units/h)]]*tblLog[[#This Row],[Planned (min)]]/60))</f>
        <v>13500</v>
      </c>
      <c r="O39" s="36">
        <f>IF(tblLog[[#This Row],[Date]]="","",tblLog[[#This Row],[Made (units)]]-tblLog[[#This Row],[Good (units)]])</f>
        <v>144</v>
      </c>
      <c r="P39" s="37">
        <f>IF(tblLog[[#This Row],[Date]]="","",IF(tblLog[[#This Row],[Plan (units)]]&gt;0,tblLog[[#This Row],[Good (units)]]/tblLog[[#This Row],[Plan (units)]],""))</f>
        <v>0.960168067226891</v>
      </c>
      <c r="Q39" s="37">
        <f>IF(tblLog[[#This Row],[Date]]="","",IF(N(tblLog[[#This Row],[Capacity (units)]])&gt;0,tblLog[[#This Row],[Good (units)]]/tblLog[[#This Row],[Capacity (units)]],""))</f>
        <v>0.84637037037037</v>
      </c>
      <c r="R39" s="37">
        <f>IF(tblLog[[#This Row],[Date]]="","",IF(tblLog[[#This Row],[Made (units)]]&gt;0,tblLog[[#This Row],[Good (units)]]/tblLog[[#This Row],[Made (units)]],""))</f>
        <v>0.987554019014693</v>
      </c>
      <c r="S39" s="38">
        <f>IF(tblLog[[#This Row],[Date]]="","",IF(tblLog[[#This Row],[Labour (h)]]&gt;0,tblLog[[#This Row],[Good (units)]]/tblLog[[#This Row],[Labour (h)]],""))</f>
        <v>285.65</v>
      </c>
      <c r="T39" s="39" t="str">
        <f>IF(NOT(ISNUMBER(tblLog[[#This Row],[Attainment]])),"",IF(tblLog[[#This Row],[Attainment]]&gt;=TargetAttain,"On target",IF(tblLog[[#This Row],[Attainment]]&gt;=TargetAttain*(1-0.05),"Near target","Below target")))</f>
        <v>On target</v>
      </c>
      <c r="U39" s="40">
        <f>IF(tblLog[[#This Row],[Date]]="","",IF(AND(tblLog[[#This Row],[Date]]&gt;=FFrom,tblLog[[#This Row],[Date]]&lt;=FTo,OR(DashLine="",tblLog[[#This Row],[Line]]=DashLine)),tblLog[[#This Row],[Date]],""))</f>
        <v>46286</v>
      </c>
      <c r="V39"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39" s="42" t="s">
        <v>143</v>
      </c>
    </row>
    <row r="40" spans="2:23" x14ac:dyDescent="0.25">
      <c r="B40" s="35">
        <v>46286</v>
      </c>
      <c r="C40" s="28" t="s">
        <v>94</v>
      </c>
      <c r="D40" s="28" t="s">
        <v>85</v>
      </c>
      <c r="E40" s="28" t="s">
        <v>97</v>
      </c>
      <c r="F40" s="33">
        <v>15800</v>
      </c>
      <c r="G40" s="33">
        <v>450</v>
      </c>
      <c r="H40" s="33">
        <v>85</v>
      </c>
      <c r="I40" s="28" t="s">
        <v>116</v>
      </c>
      <c r="J40" s="33">
        <v>12601</v>
      </c>
      <c r="K40" s="33">
        <v>12389</v>
      </c>
      <c r="L40" s="30">
        <v>40</v>
      </c>
      <c r="M40" s="36">
        <f>IF(tblLog[[#This Row],[Date]]="","",IFERROR(INDEX(tblProducts[Rated speed (units/h)],MATCH(tblLog[[#This Row],[Product]],tblProducts[Product],0)),""))</f>
        <v>2400</v>
      </c>
      <c r="N40" s="36">
        <f>IF(tblLog[[#This Row],[Date]]="","",IF(tblLog[[#This Row],[Rated speed (units/h)]]="","",tblLog[[#This Row],[Rated speed (units/h)]]*tblLog[[#This Row],[Planned (min)]]/60))</f>
        <v>18000</v>
      </c>
      <c r="O40" s="36">
        <f>IF(tblLog[[#This Row],[Date]]="","",tblLog[[#This Row],[Made (units)]]-tblLog[[#This Row],[Good (units)]])</f>
        <v>212</v>
      </c>
      <c r="P40" s="37">
        <f>IF(tblLog[[#This Row],[Date]]="","",IF(tblLog[[#This Row],[Plan (units)]]&gt;0,tblLog[[#This Row],[Good (units)]]/tblLog[[#This Row],[Plan (units)]],""))</f>
        <v>0.784113924050633</v>
      </c>
      <c r="Q40" s="37">
        <f>IF(tblLog[[#This Row],[Date]]="","",IF(N(tblLog[[#This Row],[Capacity (units)]])&gt;0,tblLog[[#This Row],[Good (units)]]/tblLog[[#This Row],[Capacity (units)]],""))</f>
        <v>0.688277777777778</v>
      </c>
      <c r="R40" s="37">
        <f>IF(tblLog[[#This Row],[Date]]="","",IF(tblLog[[#This Row],[Made (units)]]&gt;0,tblLog[[#This Row],[Good (units)]]/tblLog[[#This Row],[Made (units)]],""))</f>
        <v>0.983175938417586</v>
      </c>
      <c r="S40" s="38">
        <f>IF(tblLog[[#This Row],[Date]]="","",IF(tblLog[[#This Row],[Labour (h)]]&gt;0,tblLog[[#This Row],[Good (units)]]/tblLog[[#This Row],[Labour (h)]],""))</f>
        <v>309.725</v>
      </c>
      <c r="T40" s="39" t="str">
        <f>IF(NOT(ISNUMBER(tblLog[[#This Row],[Attainment]])),"",IF(tblLog[[#This Row],[Attainment]]&gt;=TargetAttain,"On target",IF(tblLog[[#This Row],[Attainment]]&gt;=TargetAttain*(1-0.05),"Near target","Below target")))</f>
        <v>Below target</v>
      </c>
      <c r="U40" s="40">
        <f>IF(tblLog[[#This Row],[Date]]="","",IF(AND(tblLog[[#This Row],[Date]]&gt;=FFrom,tblLog[[#This Row],[Date]]&lt;=FTo,OR(DashLine="",tblLog[[#This Row],[Line]]=DashLine)),tblLog[[#This Row],[Date]],""))</f>
        <v>46286</v>
      </c>
      <c r="V40"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40" s="42" t="s">
        <v>141</v>
      </c>
    </row>
    <row r="41" spans="2:23" x14ac:dyDescent="0.25">
      <c r="B41" s="35">
        <v>46286</v>
      </c>
      <c r="C41" s="28" t="s">
        <v>94</v>
      </c>
      <c r="D41" s="28" t="s">
        <v>87</v>
      </c>
      <c r="E41" s="28" t="s">
        <v>103</v>
      </c>
      <c r="F41" s="33">
        <v>7900</v>
      </c>
      <c r="G41" s="33">
        <v>450</v>
      </c>
      <c r="H41" s="33">
        <v>0</v>
      </c>
      <c r="I41" s="28"/>
      <c r="J41" s="33">
        <v>8082</v>
      </c>
      <c r="K41" s="33">
        <v>7984</v>
      </c>
      <c r="L41" s="30">
        <v>32</v>
      </c>
      <c r="M41" s="36">
        <f>IF(tblLog[[#This Row],[Date]]="","",IFERROR(INDEX(tblProducts[Rated speed (units/h)],MATCH(tblLog[[#This Row],[Product]],tblProducts[Product],0)),""))</f>
        <v>1200</v>
      </c>
      <c r="N41" s="36">
        <f>IF(tblLog[[#This Row],[Date]]="","",IF(tblLog[[#This Row],[Rated speed (units/h)]]="","",tblLog[[#This Row],[Rated speed (units/h)]]*tblLog[[#This Row],[Planned (min)]]/60))</f>
        <v>9000</v>
      </c>
      <c r="O41" s="36">
        <f>IF(tblLog[[#This Row],[Date]]="","",tblLog[[#This Row],[Made (units)]]-tblLog[[#This Row],[Good (units)]])</f>
        <v>98</v>
      </c>
      <c r="P41" s="37">
        <f>IF(tblLog[[#This Row],[Date]]="","",IF(tblLog[[#This Row],[Plan (units)]]&gt;0,tblLog[[#This Row],[Good (units)]]/tblLog[[#This Row],[Plan (units)]],""))</f>
        <v>1.01063291139241</v>
      </c>
      <c r="Q41" s="37">
        <f>IF(tblLog[[#This Row],[Date]]="","",IF(N(tblLog[[#This Row],[Capacity (units)]])&gt;0,tblLog[[#This Row],[Good (units)]]/tblLog[[#This Row],[Capacity (units)]],""))</f>
        <v>0.887111111111111</v>
      </c>
      <c r="R41" s="37">
        <f>IF(tblLog[[#This Row],[Date]]="","",IF(tblLog[[#This Row],[Made (units)]]&gt;0,tblLog[[#This Row],[Good (units)]]/tblLog[[#This Row],[Made (units)]],""))</f>
        <v>0.98787428854244</v>
      </c>
      <c r="S41" s="38">
        <f>IF(tblLog[[#This Row],[Date]]="","",IF(tblLog[[#This Row],[Labour (h)]]&gt;0,tblLog[[#This Row],[Good (units)]]/tblLog[[#This Row],[Labour (h)]],""))</f>
        <v>249.5</v>
      </c>
      <c r="T41" s="39" t="str">
        <f>IF(NOT(ISNUMBER(tblLog[[#This Row],[Attainment]])),"",IF(tblLog[[#This Row],[Attainment]]&gt;=TargetAttain,"On target",IF(tblLog[[#This Row],[Attainment]]&gt;=TargetAttain*(1-0.05),"Near target","Below target")))</f>
        <v>On target</v>
      </c>
      <c r="U41" s="40">
        <f>IF(tblLog[[#This Row],[Date]]="","",IF(AND(tblLog[[#This Row],[Date]]&gt;=FFrom,tblLog[[#This Row],[Date]]&lt;=FTo,OR(DashLine="",tblLog[[#This Row],[Line]]=DashLine)),tblLog[[#This Row],[Date]],""))</f>
        <v>46286</v>
      </c>
      <c r="V41"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41" s="42" t="s">
        <v>141</v>
      </c>
    </row>
    <row r="42" spans="2:23" x14ac:dyDescent="0.25">
      <c r="B42" s="35">
        <v>46287</v>
      </c>
      <c r="C42" s="28" t="s">
        <v>91</v>
      </c>
      <c r="D42" s="28" t="s">
        <v>82</v>
      </c>
      <c r="E42" s="28" t="s">
        <v>101</v>
      </c>
      <c r="F42" s="33">
        <v>11900</v>
      </c>
      <c r="G42" s="33">
        <v>450</v>
      </c>
      <c r="H42" s="33">
        <v>25</v>
      </c>
      <c r="I42" s="28" t="s">
        <v>108</v>
      </c>
      <c r="J42" s="33">
        <v>12498</v>
      </c>
      <c r="K42" s="33">
        <v>12276</v>
      </c>
      <c r="L42" s="30">
        <v>40</v>
      </c>
      <c r="M42" s="36">
        <f>IF(tblLog[[#This Row],[Date]]="","",IFERROR(INDEX(tblProducts[Rated speed (units/h)],MATCH(tblLog[[#This Row],[Product]],tblProducts[Product],0)),""))</f>
        <v>1800</v>
      </c>
      <c r="N42" s="36">
        <f>IF(tblLog[[#This Row],[Date]]="","",IF(tblLog[[#This Row],[Rated speed (units/h)]]="","",tblLog[[#This Row],[Rated speed (units/h)]]*tblLog[[#This Row],[Planned (min)]]/60))</f>
        <v>13500</v>
      </c>
      <c r="O42" s="36">
        <f>IF(tblLog[[#This Row],[Date]]="","",tblLog[[#This Row],[Made (units)]]-tblLog[[#This Row],[Good (units)]])</f>
        <v>222</v>
      </c>
      <c r="P42" s="37">
        <f>IF(tblLog[[#This Row],[Date]]="","",IF(tblLog[[#This Row],[Plan (units)]]&gt;0,tblLog[[#This Row],[Good (units)]]/tblLog[[#This Row],[Plan (units)]],""))</f>
        <v>1.03159663865546</v>
      </c>
      <c r="Q42" s="37">
        <f>IF(tblLog[[#This Row],[Date]]="","",IF(N(tblLog[[#This Row],[Capacity (units)]])&gt;0,tblLog[[#This Row],[Good (units)]]/tblLog[[#This Row],[Capacity (units)]],""))</f>
        <v>0.909333333333333</v>
      </c>
      <c r="R42" s="37">
        <f>IF(tblLog[[#This Row],[Date]]="","",IF(tblLog[[#This Row],[Made (units)]]&gt;0,tblLog[[#This Row],[Good (units)]]/tblLog[[#This Row],[Made (units)]],""))</f>
        <v>0.982237157945271</v>
      </c>
      <c r="S42" s="38">
        <f>IF(tblLog[[#This Row],[Date]]="","",IF(tblLog[[#This Row],[Labour (h)]]&gt;0,tblLog[[#This Row],[Good (units)]]/tblLog[[#This Row],[Labour (h)]],""))</f>
        <v>306.9</v>
      </c>
      <c r="T42" s="39" t="str">
        <f>IF(NOT(ISNUMBER(tblLog[[#This Row],[Attainment]])),"",IF(tblLog[[#This Row],[Attainment]]&gt;=TargetAttain,"On target",IF(tblLog[[#This Row],[Attainment]]&gt;=TargetAttain*(1-0.05),"Near target","Below target")))</f>
        <v>On target</v>
      </c>
      <c r="U42" s="40">
        <f>IF(tblLog[[#This Row],[Date]]="","",IF(AND(tblLog[[#This Row],[Date]]&gt;=FFrom,tblLog[[#This Row],[Date]]&lt;=FTo,OR(DashLine="",tblLog[[#This Row],[Line]]=DashLine)),tblLog[[#This Row],[Date]],""))</f>
        <v>46287</v>
      </c>
      <c r="V42"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42" s="42" t="s">
        <v>142</v>
      </c>
    </row>
    <row r="43" spans="2:23" x14ac:dyDescent="0.25">
      <c r="B43" s="35">
        <v>46287</v>
      </c>
      <c r="C43" s="28" t="s">
        <v>91</v>
      </c>
      <c r="D43" s="28" t="s">
        <v>85</v>
      </c>
      <c r="E43" s="28" t="s">
        <v>97</v>
      </c>
      <c r="F43" s="33">
        <v>15800</v>
      </c>
      <c r="G43" s="33">
        <v>450</v>
      </c>
      <c r="H43" s="33">
        <v>0</v>
      </c>
      <c r="I43" s="28"/>
      <c r="J43" s="33">
        <v>15862</v>
      </c>
      <c r="K43" s="33">
        <v>15648</v>
      </c>
      <c r="L43" s="30">
        <v>40</v>
      </c>
      <c r="M43" s="36">
        <f>IF(tblLog[[#This Row],[Date]]="","",IFERROR(INDEX(tblProducts[Rated speed (units/h)],MATCH(tblLog[[#This Row],[Product]],tblProducts[Product],0)),""))</f>
        <v>2400</v>
      </c>
      <c r="N43" s="36">
        <f>IF(tblLog[[#This Row],[Date]]="","",IF(tblLog[[#This Row],[Rated speed (units/h)]]="","",tblLog[[#This Row],[Rated speed (units/h)]]*tblLog[[#This Row],[Planned (min)]]/60))</f>
        <v>18000</v>
      </c>
      <c r="O43" s="36">
        <f>IF(tblLog[[#This Row],[Date]]="","",tblLog[[#This Row],[Made (units)]]-tblLog[[#This Row],[Good (units)]])</f>
        <v>214</v>
      </c>
      <c r="P43" s="37">
        <f>IF(tblLog[[#This Row],[Date]]="","",IF(tblLog[[#This Row],[Plan (units)]]&gt;0,tblLog[[#This Row],[Good (units)]]/tblLog[[#This Row],[Plan (units)]],""))</f>
        <v>0.990379746835443</v>
      </c>
      <c r="Q43" s="37">
        <f>IF(tblLog[[#This Row],[Date]]="","",IF(N(tblLog[[#This Row],[Capacity (units)]])&gt;0,tblLog[[#This Row],[Good (units)]]/tblLog[[#This Row],[Capacity (units)]],""))</f>
        <v>0.869333333333333</v>
      </c>
      <c r="R43" s="37">
        <f>IF(tblLog[[#This Row],[Date]]="","",IF(tblLog[[#This Row],[Made (units)]]&gt;0,tblLog[[#This Row],[Good (units)]]/tblLog[[#This Row],[Made (units)]],""))</f>
        <v>0.986508636994074</v>
      </c>
      <c r="S43" s="38">
        <f>IF(tblLog[[#This Row],[Date]]="","",IF(tblLog[[#This Row],[Labour (h)]]&gt;0,tblLog[[#This Row],[Good (units)]]/tblLog[[#This Row],[Labour (h)]],""))</f>
        <v>391.2</v>
      </c>
      <c r="T43" s="39" t="str">
        <f>IF(NOT(ISNUMBER(tblLog[[#This Row],[Attainment]])),"",IF(tblLog[[#This Row],[Attainment]]&gt;=TargetAttain,"On target",IF(tblLog[[#This Row],[Attainment]]&gt;=TargetAttain*(1-0.05),"Near target","Below target")))</f>
        <v>On target</v>
      </c>
      <c r="U43" s="40">
        <f>IF(tblLog[[#This Row],[Date]]="","",IF(AND(tblLog[[#This Row],[Date]]&gt;=FFrom,tblLog[[#This Row],[Date]]&lt;=FTo,OR(DashLine="",tblLog[[#This Row],[Line]]=DashLine)),tblLog[[#This Row],[Date]],""))</f>
        <v>46287</v>
      </c>
      <c r="V43"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43" s="42" t="s">
        <v>141</v>
      </c>
    </row>
    <row r="44" spans="2:23" x14ac:dyDescent="0.25">
      <c r="B44" s="35">
        <v>46287</v>
      </c>
      <c r="C44" s="28" t="s">
        <v>91</v>
      </c>
      <c r="D44" s="28" t="s">
        <v>87</v>
      </c>
      <c r="E44" s="28" t="s">
        <v>103</v>
      </c>
      <c r="F44" s="33">
        <v>7900</v>
      </c>
      <c r="G44" s="33">
        <v>450</v>
      </c>
      <c r="H44" s="33">
        <v>15</v>
      </c>
      <c r="I44" s="28" t="s">
        <v>114</v>
      </c>
      <c r="J44" s="33">
        <v>7886</v>
      </c>
      <c r="K44" s="33">
        <v>7754</v>
      </c>
      <c r="L44" s="30">
        <v>32</v>
      </c>
      <c r="M44" s="36">
        <f>IF(tblLog[[#This Row],[Date]]="","",IFERROR(INDEX(tblProducts[Rated speed (units/h)],MATCH(tblLog[[#This Row],[Product]],tblProducts[Product],0)),""))</f>
        <v>1200</v>
      </c>
      <c r="N44" s="36">
        <f>IF(tblLog[[#This Row],[Date]]="","",IF(tblLog[[#This Row],[Rated speed (units/h)]]="","",tblLog[[#This Row],[Rated speed (units/h)]]*tblLog[[#This Row],[Planned (min)]]/60))</f>
        <v>9000</v>
      </c>
      <c r="O44" s="36">
        <f>IF(tblLog[[#This Row],[Date]]="","",tblLog[[#This Row],[Made (units)]]-tblLog[[#This Row],[Good (units)]])</f>
        <v>132</v>
      </c>
      <c r="P44" s="37">
        <f>IF(tblLog[[#This Row],[Date]]="","",IF(tblLog[[#This Row],[Plan (units)]]&gt;0,tblLog[[#This Row],[Good (units)]]/tblLog[[#This Row],[Plan (units)]],""))</f>
        <v>0.981518987341772</v>
      </c>
      <c r="Q44" s="37">
        <f>IF(tblLog[[#This Row],[Date]]="","",IF(N(tblLog[[#This Row],[Capacity (units)]])&gt;0,tblLog[[#This Row],[Good (units)]]/tblLog[[#This Row],[Capacity (units)]],""))</f>
        <v>0.861555555555556</v>
      </c>
      <c r="R44" s="37">
        <f>IF(tblLog[[#This Row],[Date]]="","",IF(tblLog[[#This Row],[Made (units)]]&gt;0,tblLog[[#This Row],[Good (units)]]/tblLog[[#This Row],[Made (units)]],""))</f>
        <v>0.983261476033477</v>
      </c>
      <c r="S44" s="38">
        <f>IF(tblLog[[#This Row],[Date]]="","",IF(tblLog[[#This Row],[Labour (h)]]&gt;0,tblLog[[#This Row],[Good (units)]]/tblLog[[#This Row],[Labour (h)]],""))</f>
        <v>242.3125</v>
      </c>
      <c r="T44" s="39" t="str">
        <f>IF(NOT(ISNUMBER(tblLog[[#This Row],[Attainment]])),"",IF(tblLog[[#This Row],[Attainment]]&gt;=TargetAttain,"On target",IF(tblLog[[#This Row],[Attainment]]&gt;=TargetAttain*(1-0.05),"Near target","Below target")))</f>
        <v>On target</v>
      </c>
      <c r="U44" s="40">
        <f>IF(tblLog[[#This Row],[Date]]="","",IF(AND(tblLog[[#This Row],[Date]]&gt;=FFrom,tblLog[[#This Row],[Date]]&lt;=FTo,OR(DashLine="",tblLog[[#This Row],[Line]]=DashLine)),tblLog[[#This Row],[Date]],""))</f>
        <v>46287</v>
      </c>
      <c r="V44"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44" s="42" t="s">
        <v>146</v>
      </c>
    </row>
    <row r="45" spans="2:23" x14ac:dyDescent="0.25">
      <c r="B45" s="35">
        <v>46287</v>
      </c>
      <c r="C45" s="28" t="s">
        <v>94</v>
      </c>
      <c r="D45" s="28" t="s">
        <v>82</v>
      </c>
      <c r="E45" s="28" t="s">
        <v>101</v>
      </c>
      <c r="F45" s="33">
        <v>11900</v>
      </c>
      <c r="G45" s="33">
        <v>450</v>
      </c>
      <c r="H45" s="33">
        <v>25</v>
      </c>
      <c r="I45" s="28" t="s">
        <v>108</v>
      </c>
      <c r="J45" s="33">
        <v>11469</v>
      </c>
      <c r="K45" s="33">
        <v>11277</v>
      </c>
      <c r="L45" s="30">
        <v>40</v>
      </c>
      <c r="M45" s="36">
        <f>IF(tblLog[[#This Row],[Date]]="","",IFERROR(INDEX(tblProducts[Rated speed (units/h)],MATCH(tblLog[[#This Row],[Product]],tblProducts[Product],0)),""))</f>
        <v>1800</v>
      </c>
      <c r="N45" s="36">
        <f>IF(tblLog[[#This Row],[Date]]="","",IF(tblLog[[#This Row],[Rated speed (units/h)]]="","",tblLog[[#This Row],[Rated speed (units/h)]]*tblLog[[#This Row],[Planned (min)]]/60))</f>
        <v>13500</v>
      </c>
      <c r="O45" s="36">
        <f>IF(tblLog[[#This Row],[Date]]="","",tblLog[[#This Row],[Made (units)]]-tblLog[[#This Row],[Good (units)]])</f>
        <v>192</v>
      </c>
      <c r="P45" s="37">
        <f>IF(tblLog[[#This Row],[Date]]="","",IF(tblLog[[#This Row],[Plan (units)]]&gt;0,tblLog[[#This Row],[Good (units)]]/tblLog[[#This Row],[Plan (units)]],""))</f>
        <v>0.947647058823529</v>
      </c>
      <c r="Q45" s="37">
        <f>IF(tblLog[[#This Row],[Date]]="","",IF(N(tblLog[[#This Row],[Capacity (units)]])&gt;0,tblLog[[#This Row],[Good (units)]]/tblLog[[#This Row],[Capacity (units)]],""))</f>
        <v>0.835333333333333</v>
      </c>
      <c r="R45" s="37">
        <f>IF(tblLog[[#This Row],[Date]]="","",IF(tblLog[[#This Row],[Made (units)]]&gt;0,tblLog[[#This Row],[Good (units)]]/tblLog[[#This Row],[Made (units)]],""))</f>
        <v>0.983259220507455</v>
      </c>
      <c r="S45" s="38">
        <f>IF(tblLog[[#This Row],[Date]]="","",IF(tblLog[[#This Row],[Labour (h)]]&gt;0,tblLog[[#This Row],[Good (units)]]/tblLog[[#This Row],[Labour (h)]],""))</f>
        <v>281.925</v>
      </c>
      <c r="T45" s="39" t="str">
        <f>IF(NOT(ISNUMBER(tblLog[[#This Row],[Attainment]])),"",IF(tblLog[[#This Row],[Attainment]]&gt;=TargetAttain,"On target",IF(tblLog[[#This Row],[Attainment]]&gt;=TargetAttain*(1-0.05),"Near target","Below target")))</f>
        <v>Near target</v>
      </c>
      <c r="U45" s="40">
        <f>IF(tblLog[[#This Row],[Date]]="","",IF(AND(tblLog[[#This Row],[Date]]&gt;=FFrom,tblLog[[#This Row],[Date]]&lt;=FTo,OR(DashLine="",tblLog[[#This Row],[Line]]=DashLine)),tblLog[[#This Row],[Date]],""))</f>
        <v>46287</v>
      </c>
      <c r="V45"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45" s="42" t="s">
        <v>142</v>
      </c>
    </row>
    <row r="46" spans="2:23" x14ac:dyDescent="0.25">
      <c r="B46" s="35">
        <v>46287</v>
      </c>
      <c r="C46" s="28" t="s">
        <v>94</v>
      </c>
      <c r="D46" s="28" t="s">
        <v>85</v>
      </c>
      <c r="E46" s="28" t="s">
        <v>97</v>
      </c>
      <c r="F46" s="33">
        <v>15800</v>
      </c>
      <c r="G46" s="33">
        <v>450</v>
      </c>
      <c r="H46" s="33">
        <v>0</v>
      </c>
      <c r="I46" s="28"/>
      <c r="J46" s="33">
        <v>14940</v>
      </c>
      <c r="K46" s="33">
        <v>14666</v>
      </c>
      <c r="L46" s="30">
        <v>32</v>
      </c>
      <c r="M46" s="36">
        <f>IF(tblLog[[#This Row],[Date]]="","",IFERROR(INDEX(tblProducts[Rated speed (units/h)],MATCH(tblLog[[#This Row],[Product]],tblProducts[Product],0)),""))</f>
        <v>2400</v>
      </c>
      <c r="N46" s="36">
        <f>IF(tblLog[[#This Row],[Date]]="","",IF(tblLog[[#This Row],[Rated speed (units/h)]]="","",tblLog[[#This Row],[Rated speed (units/h)]]*tblLog[[#This Row],[Planned (min)]]/60))</f>
        <v>18000</v>
      </c>
      <c r="O46" s="36">
        <f>IF(tblLog[[#This Row],[Date]]="","",tblLog[[#This Row],[Made (units)]]-tblLog[[#This Row],[Good (units)]])</f>
        <v>274</v>
      </c>
      <c r="P46" s="37">
        <f>IF(tblLog[[#This Row],[Date]]="","",IF(tblLog[[#This Row],[Plan (units)]]&gt;0,tblLog[[#This Row],[Good (units)]]/tblLog[[#This Row],[Plan (units)]],""))</f>
        <v>0.928227848101266</v>
      </c>
      <c r="Q46" s="37">
        <f>IF(tblLog[[#This Row],[Date]]="","",IF(N(tblLog[[#This Row],[Capacity (units)]])&gt;0,tblLog[[#This Row],[Good (units)]]/tblLog[[#This Row],[Capacity (units)]],""))</f>
        <v>0.814777777777778</v>
      </c>
      <c r="R46" s="37">
        <f>IF(tblLog[[#This Row],[Date]]="","",IF(tblLog[[#This Row],[Made (units)]]&gt;0,tblLog[[#This Row],[Good (units)]]/tblLog[[#This Row],[Made (units)]],""))</f>
        <v>0.981659973226238</v>
      </c>
      <c r="S46" s="38">
        <f>IF(tblLog[[#This Row],[Date]]="","",IF(tblLog[[#This Row],[Labour (h)]]&gt;0,tblLog[[#This Row],[Good (units)]]/tblLog[[#This Row],[Labour (h)]],""))</f>
        <v>458.3125</v>
      </c>
      <c r="T46" s="39" t="str">
        <f>IF(NOT(ISNUMBER(tblLog[[#This Row],[Attainment]])),"",IF(tblLog[[#This Row],[Attainment]]&gt;=TargetAttain,"On target",IF(tblLog[[#This Row],[Attainment]]&gt;=TargetAttain*(1-0.05),"Near target","Below target")))</f>
        <v>Near target</v>
      </c>
      <c r="U46" s="40">
        <f>IF(tblLog[[#This Row],[Date]]="","",IF(AND(tblLog[[#This Row],[Date]]&gt;=FFrom,tblLog[[#This Row],[Date]]&lt;=FTo,OR(DashLine="",tblLog[[#This Row],[Line]]=DashLine)),tblLog[[#This Row],[Date]],""))</f>
        <v>46287</v>
      </c>
      <c r="V46"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46" s="42" t="s">
        <v>141</v>
      </c>
    </row>
    <row r="47" spans="2:23" x14ac:dyDescent="0.25">
      <c r="B47" s="35">
        <v>46287</v>
      </c>
      <c r="C47" s="28" t="s">
        <v>94</v>
      </c>
      <c r="D47" s="28" t="s">
        <v>87</v>
      </c>
      <c r="E47" s="28" t="s">
        <v>103</v>
      </c>
      <c r="F47" s="33">
        <v>7900</v>
      </c>
      <c r="G47" s="33">
        <v>450</v>
      </c>
      <c r="H47" s="33">
        <v>0</v>
      </c>
      <c r="I47" s="28"/>
      <c r="J47" s="33">
        <v>7920</v>
      </c>
      <c r="K47" s="33">
        <v>7879</v>
      </c>
      <c r="L47" s="30">
        <v>32</v>
      </c>
      <c r="M47" s="36">
        <f>IF(tblLog[[#This Row],[Date]]="","",IFERROR(INDEX(tblProducts[Rated speed (units/h)],MATCH(tblLog[[#This Row],[Product]],tblProducts[Product],0)),""))</f>
        <v>1200</v>
      </c>
      <c r="N47" s="36">
        <f>IF(tblLog[[#This Row],[Date]]="","",IF(tblLog[[#This Row],[Rated speed (units/h)]]="","",tblLog[[#This Row],[Rated speed (units/h)]]*tblLog[[#This Row],[Planned (min)]]/60))</f>
        <v>9000</v>
      </c>
      <c r="O47" s="36">
        <f>IF(tblLog[[#This Row],[Date]]="","",tblLog[[#This Row],[Made (units)]]-tblLog[[#This Row],[Good (units)]])</f>
        <v>41</v>
      </c>
      <c r="P47" s="37">
        <f>IF(tblLog[[#This Row],[Date]]="","",IF(tblLog[[#This Row],[Plan (units)]]&gt;0,tblLog[[#This Row],[Good (units)]]/tblLog[[#This Row],[Plan (units)]],""))</f>
        <v>0.997341772151899</v>
      </c>
      <c r="Q47" s="37">
        <f>IF(tblLog[[#This Row],[Date]]="","",IF(N(tblLog[[#This Row],[Capacity (units)]])&gt;0,tblLog[[#This Row],[Good (units)]]/tblLog[[#This Row],[Capacity (units)]],""))</f>
        <v>0.875444444444445</v>
      </c>
      <c r="R47" s="37">
        <f>IF(tblLog[[#This Row],[Date]]="","",IF(tblLog[[#This Row],[Made (units)]]&gt;0,tblLog[[#This Row],[Good (units)]]/tblLog[[#This Row],[Made (units)]],""))</f>
        <v>0.994823232323232</v>
      </c>
      <c r="S47" s="38">
        <f>IF(tblLog[[#This Row],[Date]]="","",IF(tblLog[[#This Row],[Labour (h)]]&gt;0,tblLog[[#This Row],[Good (units)]]/tblLog[[#This Row],[Labour (h)]],""))</f>
        <v>246.21875</v>
      </c>
      <c r="T47" s="39" t="str">
        <f>IF(NOT(ISNUMBER(tblLog[[#This Row],[Attainment]])),"",IF(tblLog[[#This Row],[Attainment]]&gt;=TargetAttain,"On target",IF(tblLog[[#This Row],[Attainment]]&gt;=TargetAttain*(1-0.05),"Near target","Below target")))</f>
        <v>On target</v>
      </c>
      <c r="U47" s="40">
        <f>IF(tblLog[[#This Row],[Date]]="","",IF(AND(tblLog[[#This Row],[Date]]&gt;=FFrom,tblLog[[#This Row],[Date]]&lt;=FTo,OR(DashLine="",tblLog[[#This Row],[Line]]=DashLine)),tblLog[[#This Row],[Date]],""))</f>
        <v>46287</v>
      </c>
      <c r="V47"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47" s="42" t="s">
        <v>141</v>
      </c>
    </row>
    <row r="48" spans="2:23" x14ac:dyDescent="0.25">
      <c r="B48" s="35">
        <v>46288</v>
      </c>
      <c r="C48" s="28" t="s">
        <v>91</v>
      </c>
      <c r="D48" s="28" t="s">
        <v>82</v>
      </c>
      <c r="E48" s="28" t="s">
        <v>101</v>
      </c>
      <c r="F48" s="33">
        <v>11900</v>
      </c>
      <c r="G48" s="33">
        <v>450</v>
      </c>
      <c r="H48" s="33">
        <v>40</v>
      </c>
      <c r="I48" s="28" t="s">
        <v>108</v>
      </c>
      <c r="J48" s="33">
        <v>12140</v>
      </c>
      <c r="K48" s="33">
        <v>11986</v>
      </c>
      <c r="L48" s="30">
        <v>40</v>
      </c>
      <c r="M48" s="36">
        <f>IF(tblLog[[#This Row],[Date]]="","",IFERROR(INDEX(tblProducts[Rated speed (units/h)],MATCH(tblLog[[#This Row],[Product]],tblProducts[Product],0)),""))</f>
        <v>1800</v>
      </c>
      <c r="N48" s="36">
        <f>IF(tblLog[[#This Row],[Date]]="","",IF(tblLog[[#This Row],[Rated speed (units/h)]]="","",tblLog[[#This Row],[Rated speed (units/h)]]*tblLog[[#This Row],[Planned (min)]]/60))</f>
        <v>13500</v>
      </c>
      <c r="O48" s="36">
        <f>IF(tblLog[[#This Row],[Date]]="","",tblLog[[#This Row],[Made (units)]]-tblLog[[#This Row],[Good (units)]])</f>
        <v>154</v>
      </c>
      <c r="P48" s="37">
        <f>IF(tblLog[[#This Row],[Date]]="","",IF(tblLog[[#This Row],[Plan (units)]]&gt;0,tblLog[[#This Row],[Good (units)]]/tblLog[[#This Row],[Plan (units)]],""))</f>
        <v>1.0072268907563</v>
      </c>
      <c r="Q48" s="37">
        <f>IF(tblLog[[#This Row],[Date]]="","",IF(N(tblLog[[#This Row],[Capacity (units)]])&gt;0,tblLog[[#This Row],[Good (units)]]/tblLog[[#This Row],[Capacity (units)]],""))</f>
        <v>0.887851851851852</v>
      </c>
      <c r="R48" s="37">
        <f>IF(tblLog[[#This Row],[Date]]="","",IF(tblLog[[#This Row],[Made (units)]]&gt;0,tblLog[[#This Row],[Good (units)]]/tblLog[[#This Row],[Made (units)]],""))</f>
        <v>0.987314662273476</v>
      </c>
      <c r="S48" s="38">
        <f>IF(tblLog[[#This Row],[Date]]="","",IF(tblLog[[#This Row],[Labour (h)]]&gt;0,tblLog[[#This Row],[Good (units)]]/tblLog[[#This Row],[Labour (h)]],""))</f>
        <v>299.65</v>
      </c>
      <c r="T48" s="39" t="str">
        <f>IF(NOT(ISNUMBER(tblLog[[#This Row],[Attainment]])),"",IF(tblLog[[#This Row],[Attainment]]&gt;=TargetAttain,"On target",IF(tblLog[[#This Row],[Attainment]]&gt;=TargetAttain*(1-0.05),"Near target","Below target")))</f>
        <v>On target</v>
      </c>
      <c r="U48" s="40">
        <f>IF(tblLog[[#This Row],[Date]]="","",IF(AND(tblLog[[#This Row],[Date]]&gt;=FFrom,tblLog[[#This Row],[Date]]&lt;=FTo,OR(DashLine="",tblLog[[#This Row],[Line]]=DashLine)),tblLog[[#This Row],[Date]],""))</f>
        <v>46288</v>
      </c>
      <c r="V48"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48" s="42" t="s">
        <v>142</v>
      </c>
    </row>
    <row r="49" spans="2:23" x14ac:dyDescent="0.25">
      <c r="B49" s="35">
        <v>46288</v>
      </c>
      <c r="C49" s="28" t="s">
        <v>91</v>
      </c>
      <c r="D49" s="28" t="s">
        <v>85</v>
      </c>
      <c r="E49" s="28" t="s">
        <v>99</v>
      </c>
      <c r="F49" s="33">
        <v>19800</v>
      </c>
      <c r="G49" s="33">
        <v>450</v>
      </c>
      <c r="H49" s="33">
        <v>70</v>
      </c>
      <c r="I49" s="28" t="s">
        <v>106</v>
      </c>
      <c r="J49" s="33">
        <v>17926</v>
      </c>
      <c r="K49" s="33">
        <v>17728</v>
      </c>
      <c r="L49" s="30">
        <v>40</v>
      </c>
      <c r="M49" s="36">
        <f>IF(tblLog[[#This Row],[Date]]="","",IFERROR(INDEX(tblProducts[Rated speed (units/h)],MATCH(tblLog[[#This Row],[Product]],tblProducts[Product],0)),""))</f>
        <v>3000</v>
      </c>
      <c r="N49" s="36">
        <f>IF(tblLog[[#This Row],[Date]]="","",IF(tblLog[[#This Row],[Rated speed (units/h)]]="","",tblLog[[#This Row],[Rated speed (units/h)]]*tblLog[[#This Row],[Planned (min)]]/60))</f>
        <v>22500</v>
      </c>
      <c r="O49" s="36">
        <f>IF(tblLog[[#This Row],[Date]]="","",tblLog[[#This Row],[Made (units)]]-tblLog[[#This Row],[Good (units)]])</f>
        <v>198</v>
      </c>
      <c r="P49" s="37">
        <f>IF(tblLog[[#This Row],[Date]]="","",IF(tblLog[[#This Row],[Plan (units)]]&gt;0,tblLog[[#This Row],[Good (units)]]/tblLog[[#This Row],[Plan (units)]],""))</f>
        <v>0.895353535353535</v>
      </c>
      <c r="Q49" s="37">
        <f>IF(tblLog[[#This Row],[Date]]="","",IF(N(tblLog[[#This Row],[Capacity (units)]])&gt;0,tblLog[[#This Row],[Good (units)]]/tblLog[[#This Row],[Capacity (units)]],""))</f>
        <v>0.787911111111111</v>
      </c>
      <c r="R49" s="37">
        <f>IF(tblLog[[#This Row],[Date]]="","",IF(tblLog[[#This Row],[Made (units)]]&gt;0,tblLog[[#This Row],[Good (units)]]/tblLog[[#This Row],[Made (units)]],""))</f>
        <v>0.988954591096731</v>
      </c>
      <c r="S49" s="38">
        <f>IF(tblLog[[#This Row],[Date]]="","",IF(tblLog[[#This Row],[Labour (h)]]&gt;0,tblLog[[#This Row],[Good (units)]]/tblLog[[#This Row],[Labour (h)]],""))</f>
        <v>443.2</v>
      </c>
      <c r="T49" s="39" t="str">
        <f>IF(NOT(ISNUMBER(tblLog[[#This Row],[Attainment]])),"",IF(tblLog[[#This Row],[Attainment]]&gt;=TargetAttain,"On target",IF(tblLog[[#This Row],[Attainment]]&gt;=TargetAttain*(1-0.05),"Near target","Below target")))</f>
        <v>Below target</v>
      </c>
      <c r="U49" s="40">
        <f>IF(tblLog[[#This Row],[Date]]="","",IF(AND(tblLog[[#This Row],[Date]]&gt;=FFrom,tblLog[[#This Row],[Date]]&lt;=FTo,OR(DashLine="",tblLog[[#This Row],[Line]]=DashLine)),tblLog[[#This Row],[Date]],""))</f>
        <v>46288</v>
      </c>
      <c r="V49"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49" s="42" t="s">
        <v>145</v>
      </c>
    </row>
    <row r="50" spans="2:23" x14ac:dyDescent="0.25">
      <c r="B50" s="35">
        <v>46288</v>
      </c>
      <c r="C50" s="28" t="s">
        <v>91</v>
      </c>
      <c r="D50" s="28" t="s">
        <v>87</v>
      </c>
      <c r="E50" s="28" t="s">
        <v>103</v>
      </c>
      <c r="F50" s="33">
        <v>7900</v>
      </c>
      <c r="G50" s="33">
        <v>450</v>
      </c>
      <c r="H50" s="33">
        <v>15</v>
      </c>
      <c r="I50" s="28" t="s">
        <v>120</v>
      </c>
      <c r="J50" s="33">
        <v>8017</v>
      </c>
      <c r="K50" s="33">
        <v>7958</v>
      </c>
      <c r="L50" s="30">
        <v>32</v>
      </c>
      <c r="M50" s="36">
        <f>IF(tblLog[[#This Row],[Date]]="","",IFERROR(INDEX(tblProducts[Rated speed (units/h)],MATCH(tblLog[[#This Row],[Product]],tblProducts[Product],0)),""))</f>
        <v>1200</v>
      </c>
      <c r="N50" s="36">
        <f>IF(tblLog[[#This Row],[Date]]="","",IF(tblLog[[#This Row],[Rated speed (units/h)]]="","",tblLog[[#This Row],[Rated speed (units/h)]]*tblLog[[#This Row],[Planned (min)]]/60))</f>
        <v>9000</v>
      </c>
      <c r="O50" s="36">
        <f>IF(tblLog[[#This Row],[Date]]="","",tblLog[[#This Row],[Made (units)]]-tblLog[[#This Row],[Good (units)]])</f>
        <v>59</v>
      </c>
      <c r="P50" s="37">
        <f>IF(tblLog[[#This Row],[Date]]="","",IF(tblLog[[#This Row],[Plan (units)]]&gt;0,tblLog[[#This Row],[Good (units)]]/tblLog[[#This Row],[Plan (units)]],""))</f>
        <v>1.0073417721519</v>
      </c>
      <c r="Q50" s="37">
        <f>IF(tblLog[[#This Row],[Date]]="","",IF(N(tblLog[[#This Row],[Capacity (units)]])&gt;0,tblLog[[#This Row],[Good (units)]]/tblLog[[#This Row],[Capacity (units)]],""))</f>
        <v>0.884222222222222</v>
      </c>
      <c r="R50" s="37">
        <f>IF(tblLog[[#This Row],[Date]]="","",IF(tblLog[[#This Row],[Made (units)]]&gt;0,tblLog[[#This Row],[Good (units)]]/tblLog[[#This Row],[Made (units)]],""))</f>
        <v>0.992640638642884</v>
      </c>
      <c r="S50" s="38">
        <f>IF(tblLog[[#This Row],[Date]]="","",IF(tblLog[[#This Row],[Labour (h)]]&gt;0,tblLog[[#This Row],[Good (units)]]/tblLog[[#This Row],[Labour (h)]],""))</f>
        <v>248.6875</v>
      </c>
      <c r="T50" s="39" t="str">
        <f>IF(NOT(ISNUMBER(tblLog[[#This Row],[Attainment]])),"",IF(tblLog[[#This Row],[Attainment]]&gt;=TargetAttain,"On target",IF(tblLog[[#This Row],[Attainment]]&gt;=TargetAttain*(1-0.05),"Near target","Below target")))</f>
        <v>On target</v>
      </c>
      <c r="U50" s="40">
        <f>IF(tblLog[[#This Row],[Date]]="","",IF(AND(tblLog[[#This Row],[Date]]&gt;=FFrom,tblLog[[#This Row],[Date]]&lt;=FTo,OR(DashLine="",tblLog[[#This Row],[Line]]=DashLine)),tblLog[[#This Row],[Date]],""))</f>
        <v>46288</v>
      </c>
      <c r="V50"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50" s="42" t="s">
        <v>141</v>
      </c>
    </row>
    <row r="51" spans="2:23" x14ac:dyDescent="0.25">
      <c r="B51" s="35">
        <v>46288</v>
      </c>
      <c r="C51" s="28" t="s">
        <v>94</v>
      </c>
      <c r="D51" s="28" t="s">
        <v>82</v>
      </c>
      <c r="E51" s="28" t="s">
        <v>101</v>
      </c>
      <c r="F51" s="33">
        <v>11900</v>
      </c>
      <c r="G51" s="33">
        <v>450</v>
      </c>
      <c r="H51" s="33">
        <v>0</v>
      </c>
      <c r="I51" s="28"/>
      <c r="J51" s="33">
        <v>12301</v>
      </c>
      <c r="K51" s="33">
        <v>12124</v>
      </c>
      <c r="L51" s="30">
        <v>40</v>
      </c>
      <c r="M51" s="36">
        <f>IF(tblLog[[#This Row],[Date]]="","",IFERROR(INDEX(tblProducts[Rated speed (units/h)],MATCH(tblLog[[#This Row],[Product]],tblProducts[Product],0)),""))</f>
        <v>1800</v>
      </c>
      <c r="N51" s="36">
        <f>IF(tblLog[[#This Row],[Date]]="","",IF(tblLog[[#This Row],[Rated speed (units/h)]]="","",tblLog[[#This Row],[Rated speed (units/h)]]*tblLog[[#This Row],[Planned (min)]]/60))</f>
        <v>13500</v>
      </c>
      <c r="O51" s="36">
        <f>IF(tblLog[[#This Row],[Date]]="","",tblLog[[#This Row],[Made (units)]]-tblLog[[#This Row],[Good (units)]])</f>
        <v>177</v>
      </c>
      <c r="P51" s="37">
        <f>IF(tblLog[[#This Row],[Date]]="","",IF(tblLog[[#This Row],[Plan (units)]]&gt;0,tblLog[[#This Row],[Good (units)]]/tblLog[[#This Row],[Plan (units)]],""))</f>
        <v>1.01882352941176</v>
      </c>
      <c r="Q51" s="37">
        <f>IF(tblLog[[#This Row],[Date]]="","",IF(N(tblLog[[#This Row],[Capacity (units)]])&gt;0,tblLog[[#This Row],[Good (units)]]/tblLog[[#This Row],[Capacity (units)]],""))</f>
        <v>0.898074074074074</v>
      </c>
      <c r="R51" s="37">
        <f>IF(tblLog[[#This Row],[Date]]="","",IF(tblLog[[#This Row],[Made (units)]]&gt;0,tblLog[[#This Row],[Good (units)]]/tblLog[[#This Row],[Made (units)]],""))</f>
        <v>0.98561092594098</v>
      </c>
      <c r="S51" s="38">
        <f>IF(tblLog[[#This Row],[Date]]="","",IF(tblLog[[#This Row],[Labour (h)]]&gt;0,tblLog[[#This Row],[Good (units)]]/tblLog[[#This Row],[Labour (h)]],""))</f>
        <v>303.1</v>
      </c>
      <c r="T51" s="39" t="str">
        <f>IF(NOT(ISNUMBER(tblLog[[#This Row],[Attainment]])),"",IF(tblLog[[#This Row],[Attainment]]&gt;=TargetAttain,"On target",IF(tblLog[[#This Row],[Attainment]]&gt;=TargetAttain*(1-0.05),"Near target","Below target")))</f>
        <v>On target</v>
      </c>
      <c r="U51" s="40">
        <f>IF(tblLog[[#This Row],[Date]]="","",IF(AND(tblLog[[#This Row],[Date]]&gt;=FFrom,tblLog[[#This Row],[Date]]&lt;=FTo,OR(DashLine="",tblLog[[#This Row],[Line]]=DashLine)),tblLog[[#This Row],[Date]],""))</f>
        <v>46288</v>
      </c>
      <c r="V51"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51" s="42" t="s">
        <v>141</v>
      </c>
    </row>
    <row r="52" spans="2:23" x14ac:dyDescent="0.25">
      <c r="B52" s="35">
        <v>46288</v>
      </c>
      <c r="C52" s="28" t="s">
        <v>94</v>
      </c>
      <c r="D52" s="28" t="s">
        <v>85</v>
      </c>
      <c r="E52" s="28" t="s">
        <v>99</v>
      </c>
      <c r="F52" s="33">
        <v>19800</v>
      </c>
      <c r="G52" s="33">
        <v>450</v>
      </c>
      <c r="H52" s="33">
        <v>60</v>
      </c>
      <c r="I52" s="28" t="s">
        <v>114</v>
      </c>
      <c r="J52" s="33">
        <v>17116</v>
      </c>
      <c r="K52" s="33">
        <v>16777</v>
      </c>
      <c r="L52" s="30">
        <v>40</v>
      </c>
      <c r="M52" s="36">
        <f>IF(tblLog[[#This Row],[Date]]="","",IFERROR(INDEX(tblProducts[Rated speed (units/h)],MATCH(tblLog[[#This Row],[Product]],tblProducts[Product],0)),""))</f>
        <v>3000</v>
      </c>
      <c r="N52" s="36">
        <f>IF(tblLog[[#This Row],[Date]]="","",IF(tblLog[[#This Row],[Rated speed (units/h)]]="","",tblLog[[#This Row],[Rated speed (units/h)]]*tblLog[[#This Row],[Planned (min)]]/60))</f>
        <v>22500</v>
      </c>
      <c r="O52" s="36">
        <f>IF(tblLog[[#This Row],[Date]]="","",tblLog[[#This Row],[Made (units)]]-tblLog[[#This Row],[Good (units)]])</f>
        <v>339</v>
      </c>
      <c r="P52" s="37">
        <f>IF(tblLog[[#This Row],[Date]]="","",IF(tblLog[[#This Row],[Plan (units)]]&gt;0,tblLog[[#This Row],[Good (units)]]/tblLog[[#This Row],[Plan (units)]],""))</f>
        <v>0.847323232323232</v>
      </c>
      <c r="Q52" s="37">
        <f>IF(tblLog[[#This Row],[Date]]="","",IF(N(tblLog[[#This Row],[Capacity (units)]])&gt;0,tblLog[[#This Row],[Good (units)]]/tblLog[[#This Row],[Capacity (units)]],""))</f>
        <v>0.745644444444444</v>
      </c>
      <c r="R52" s="37">
        <f>IF(tblLog[[#This Row],[Date]]="","",IF(tblLog[[#This Row],[Made (units)]]&gt;0,tblLog[[#This Row],[Good (units)]]/tblLog[[#This Row],[Made (units)]],""))</f>
        <v>0.980193970553868</v>
      </c>
      <c r="S52" s="38">
        <f>IF(tblLog[[#This Row],[Date]]="","",IF(tblLog[[#This Row],[Labour (h)]]&gt;0,tblLog[[#This Row],[Good (units)]]/tblLog[[#This Row],[Labour (h)]],""))</f>
        <v>419.425</v>
      </c>
      <c r="T52" s="39" t="str">
        <f>IF(NOT(ISNUMBER(tblLog[[#This Row],[Attainment]])),"",IF(tblLog[[#This Row],[Attainment]]&gt;=TargetAttain,"On target",IF(tblLog[[#This Row],[Attainment]]&gt;=TargetAttain*(1-0.05),"Near target","Below target")))</f>
        <v>Below target</v>
      </c>
      <c r="U52" s="40">
        <f>IF(tblLog[[#This Row],[Date]]="","",IF(AND(tblLog[[#This Row],[Date]]&gt;=FFrom,tblLog[[#This Row],[Date]]&lt;=FTo,OR(DashLine="",tblLog[[#This Row],[Line]]=DashLine)),tblLog[[#This Row],[Date]],""))</f>
        <v>46288</v>
      </c>
      <c r="V52"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52" s="42" t="s">
        <v>146</v>
      </c>
    </row>
    <row r="53" spans="2:23" x14ac:dyDescent="0.25">
      <c r="B53" s="35">
        <v>46288</v>
      </c>
      <c r="C53" s="28" t="s">
        <v>94</v>
      </c>
      <c r="D53" s="28" t="s">
        <v>87</v>
      </c>
      <c r="E53" s="28" t="s">
        <v>103</v>
      </c>
      <c r="F53" s="33">
        <v>7900</v>
      </c>
      <c r="G53" s="33">
        <v>450</v>
      </c>
      <c r="H53" s="33">
        <v>0</v>
      </c>
      <c r="I53" s="28"/>
      <c r="J53" s="33">
        <v>8153</v>
      </c>
      <c r="K53" s="33">
        <v>8124</v>
      </c>
      <c r="L53" s="30">
        <v>24</v>
      </c>
      <c r="M53" s="36">
        <f>IF(tblLog[[#This Row],[Date]]="","",IFERROR(INDEX(tblProducts[Rated speed (units/h)],MATCH(tblLog[[#This Row],[Product]],tblProducts[Product],0)),""))</f>
        <v>1200</v>
      </c>
      <c r="N53" s="36">
        <f>IF(tblLog[[#This Row],[Date]]="","",IF(tblLog[[#This Row],[Rated speed (units/h)]]="","",tblLog[[#This Row],[Rated speed (units/h)]]*tblLog[[#This Row],[Planned (min)]]/60))</f>
        <v>9000</v>
      </c>
      <c r="O53" s="36">
        <f>IF(tblLog[[#This Row],[Date]]="","",tblLog[[#This Row],[Made (units)]]-tblLog[[#This Row],[Good (units)]])</f>
        <v>29</v>
      </c>
      <c r="P53" s="37">
        <f>IF(tblLog[[#This Row],[Date]]="","",IF(tblLog[[#This Row],[Plan (units)]]&gt;0,tblLog[[#This Row],[Good (units)]]/tblLog[[#This Row],[Plan (units)]],""))</f>
        <v>1.02835443037975</v>
      </c>
      <c r="Q53" s="37">
        <f>IF(tblLog[[#This Row],[Date]]="","",IF(N(tblLog[[#This Row],[Capacity (units)]])&gt;0,tblLog[[#This Row],[Good (units)]]/tblLog[[#This Row],[Capacity (units)]],""))</f>
        <v>0.902666666666667</v>
      </c>
      <c r="R53" s="37">
        <f>IF(tblLog[[#This Row],[Date]]="","",IF(tblLog[[#This Row],[Made (units)]]&gt;0,tblLog[[#This Row],[Good (units)]]/tblLog[[#This Row],[Made (units)]],""))</f>
        <v>0.996443027106587</v>
      </c>
      <c r="S53" s="38">
        <f>IF(tblLog[[#This Row],[Date]]="","",IF(tblLog[[#This Row],[Labour (h)]]&gt;0,tblLog[[#This Row],[Good (units)]]/tblLog[[#This Row],[Labour (h)]],""))</f>
        <v>338.5</v>
      </c>
      <c r="T53" s="39" t="str">
        <f>IF(NOT(ISNUMBER(tblLog[[#This Row],[Attainment]])),"",IF(tblLog[[#This Row],[Attainment]]&gt;=TargetAttain,"On target",IF(tblLog[[#This Row],[Attainment]]&gt;=TargetAttain*(1-0.05),"Near target","Below target")))</f>
        <v>On target</v>
      </c>
      <c r="U53" s="40">
        <f>IF(tblLog[[#This Row],[Date]]="","",IF(AND(tblLog[[#This Row],[Date]]&gt;=FFrom,tblLog[[#This Row],[Date]]&lt;=FTo,OR(DashLine="",tblLog[[#This Row],[Line]]=DashLine)),tblLog[[#This Row],[Date]],""))</f>
        <v>46288</v>
      </c>
      <c r="V53"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53" s="42" t="s">
        <v>141</v>
      </c>
    </row>
    <row r="54" spans="2:23" x14ac:dyDescent="0.25">
      <c r="B54" s="35">
        <v>46289</v>
      </c>
      <c r="C54" s="28" t="s">
        <v>91</v>
      </c>
      <c r="D54" s="28" t="s">
        <v>82</v>
      </c>
      <c r="E54" s="28" t="s">
        <v>97</v>
      </c>
      <c r="F54" s="33">
        <v>15800</v>
      </c>
      <c r="G54" s="33">
        <v>450</v>
      </c>
      <c r="H54" s="33">
        <v>40</v>
      </c>
      <c r="I54" s="28" t="s">
        <v>106</v>
      </c>
      <c r="J54" s="33">
        <v>16007</v>
      </c>
      <c r="K54" s="33">
        <v>15834</v>
      </c>
      <c r="L54" s="30">
        <v>32</v>
      </c>
      <c r="M54" s="36">
        <f>IF(tblLog[[#This Row],[Date]]="","",IFERROR(INDEX(tblProducts[Rated speed (units/h)],MATCH(tblLog[[#This Row],[Product]],tblProducts[Product],0)),""))</f>
        <v>2400</v>
      </c>
      <c r="N54" s="36">
        <f>IF(tblLog[[#This Row],[Date]]="","",IF(tblLog[[#This Row],[Rated speed (units/h)]]="","",tblLog[[#This Row],[Rated speed (units/h)]]*tblLog[[#This Row],[Planned (min)]]/60))</f>
        <v>18000</v>
      </c>
      <c r="O54" s="36">
        <f>IF(tblLog[[#This Row],[Date]]="","",tblLog[[#This Row],[Made (units)]]-tblLog[[#This Row],[Good (units)]])</f>
        <v>173</v>
      </c>
      <c r="P54" s="37">
        <f>IF(tblLog[[#This Row],[Date]]="","",IF(tblLog[[#This Row],[Plan (units)]]&gt;0,tblLog[[#This Row],[Good (units)]]/tblLog[[#This Row],[Plan (units)]],""))</f>
        <v>1.00215189873418</v>
      </c>
      <c r="Q54" s="37">
        <f>IF(tblLog[[#This Row],[Date]]="","",IF(N(tblLog[[#This Row],[Capacity (units)]])&gt;0,tblLog[[#This Row],[Good (units)]]/tblLog[[#This Row],[Capacity (units)]],""))</f>
        <v>0.879666666666667</v>
      </c>
      <c r="R54" s="37">
        <f>IF(tblLog[[#This Row],[Date]]="","",IF(tblLog[[#This Row],[Made (units)]]&gt;0,tblLog[[#This Row],[Good (units)]]/tblLog[[#This Row],[Made (units)]],""))</f>
        <v>0.989192228400075</v>
      </c>
      <c r="S54" s="38">
        <f>IF(tblLog[[#This Row],[Date]]="","",IF(tblLog[[#This Row],[Labour (h)]]&gt;0,tblLog[[#This Row],[Good (units)]]/tblLog[[#This Row],[Labour (h)]],""))</f>
        <v>494.8125</v>
      </c>
      <c r="T54" s="39" t="str">
        <f>IF(NOT(ISNUMBER(tblLog[[#This Row],[Attainment]])),"",IF(tblLog[[#This Row],[Attainment]]&gt;=TargetAttain,"On target",IF(tblLog[[#This Row],[Attainment]]&gt;=TargetAttain*(1-0.05),"Near target","Below target")))</f>
        <v>On target</v>
      </c>
      <c r="U54" s="40">
        <f>IF(tblLog[[#This Row],[Date]]="","",IF(AND(tblLog[[#This Row],[Date]]&gt;=FFrom,tblLog[[#This Row],[Date]]&lt;=FTo,OR(DashLine="",tblLog[[#This Row],[Line]]=DashLine)),tblLog[[#This Row],[Date]],""))</f>
        <v>46289</v>
      </c>
      <c r="V54"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54" s="42" t="s">
        <v>144</v>
      </c>
    </row>
    <row r="55" spans="2:23" x14ac:dyDescent="0.25">
      <c r="B55" s="35">
        <v>46289</v>
      </c>
      <c r="C55" s="28" t="s">
        <v>91</v>
      </c>
      <c r="D55" s="28" t="s">
        <v>85</v>
      </c>
      <c r="E55" s="28" t="s">
        <v>99</v>
      </c>
      <c r="F55" s="33">
        <v>19800</v>
      </c>
      <c r="G55" s="33">
        <v>450</v>
      </c>
      <c r="H55" s="33">
        <v>25</v>
      </c>
      <c r="I55" s="28" t="s">
        <v>114</v>
      </c>
      <c r="J55" s="33">
        <v>19717</v>
      </c>
      <c r="K55" s="33">
        <v>19460</v>
      </c>
      <c r="L55" s="30">
        <v>40</v>
      </c>
      <c r="M55" s="36">
        <f>IF(tblLog[[#This Row],[Date]]="","",IFERROR(INDEX(tblProducts[Rated speed (units/h)],MATCH(tblLog[[#This Row],[Product]],tblProducts[Product],0)),""))</f>
        <v>3000</v>
      </c>
      <c r="N55" s="36">
        <f>IF(tblLog[[#This Row],[Date]]="","",IF(tblLog[[#This Row],[Rated speed (units/h)]]="","",tblLog[[#This Row],[Rated speed (units/h)]]*tblLog[[#This Row],[Planned (min)]]/60))</f>
        <v>22500</v>
      </c>
      <c r="O55" s="36">
        <f>IF(tblLog[[#This Row],[Date]]="","",tblLog[[#This Row],[Made (units)]]-tblLog[[#This Row],[Good (units)]])</f>
        <v>257</v>
      </c>
      <c r="P55" s="37">
        <f>IF(tblLog[[#This Row],[Date]]="","",IF(tblLog[[#This Row],[Plan (units)]]&gt;0,tblLog[[#This Row],[Good (units)]]/tblLog[[#This Row],[Plan (units)]],""))</f>
        <v>0.982828282828283</v>
      </c>
      <c r="Q55" s="37">
        <f>IF(tblLog[[#This Row],[Date]]="","",IF(N(tblLog[[#This Row],[Capacity (units)]])&gt;0,tblLog[[#This Row],[Good (units)]]/tblLog[[#This Row],[Capacity (units)]],""))</f>
        <v>0.864888888888889</v>
      </c>
      <c r="R55" s="37">
        <f>IF(tblLog[[#This Row],[Date]]="","",IF(tblLog[[#This Row],[Made (units)]]&gt;0,tblLog[[#This Row],[Good (units)]]/tblLog[[#This Row],[Made (units)]],""))</f>
        <v>0.98696556271238</v>
      </c>
      <c r="S55" s="38">
        <f>IF(tblLog[[#This Row],[Date]]="","",IF(tblLog[[#This Row],[Labour (h)]]&gt;0,tblLog[[#This Row],[Good (units)]]/tblLog[[#This Row],[Labour (h)]],""))</f>
        <v>486.5</v>
      </c>
      <c r="T55" s="39" t="str">
        <f>IF(NOT(ISNUMBER(tblLog[[#This Row],[Attainment]])),"",IF(tblLog[[#This Row],[Attainment]]&gt;=TargetAttain,"On target",IF(tblLog[[#This Row],[Attainment]]&gt;=TargetAttain*(1-0.05),"Near target","Below target")))</f>
        <v>On target</v>
      </c>
      <c r="U55" s="40">
        <f>IF(tblLog[[#This Row],[Date]]="","",IF(AND(tblLog[[#This Row],[Date]]&gt;=FFrom,tblLog[[#This Row],[Date]]&lt;=FTo,OR(DashLine="",tblLog[[#This Row],[Line]]=DashLine)),tblLog[[#This Row],[Date]],""))</f>
        <v>46289</v>
      </c>
      <c r="V55"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55" s="42" t="s">
        <v>146</v>
      </c>
    </row>
    <row r="56" spans="2:23" x14ac:dyDescent="0.25">
      <c r="B56" s="35">
        <v>46289</v>
      </c>
      <c r="C56" s="28" t="s">
        <v>91</v>
      </c>
      <c r="D56" s="28" t="s">
        <v>87</v>
      </c>
      <c r="E56" s="28" t="s">
        <v>103</v>
      </c>
      <c r="F56" s="33">
        <v>7900</v>
      </c>
      <c r="G56" s="33">
        <v>450</v>
      </c>
      <c r="H56" s="33">
        <v>10</v>
      </c>
      <c r="I56" s="28" t="s">
        <v>112</v>
      </c>
      <c r="J56" s="33">
        <v>7995</v>
      </c>
      <c r="K56" s="33">
        <v>7953</v>
      </c>
      <c r="L56" s="30">
        <v>32</v>
      </c>
      <c r="M56" s="36">
        <f>IF(tblLog[[#This Row],[Date]]="","",IFERROR(INDEX(tblProducts[Rated speed (units/h)],MATCH(tblLog[[#This Row],[Product]],tblProducts[Product],0)),""))</f>
        <v>1200</v>
      </c>
      <c r="N56" s="36">
        <f>IF(tblLog[[#This Row],[Date]]="","",IF(tblLog[[#This Row],[Rated speed (units/h)]]="","",tblLog[[#This Row],[Rated speed (units/h)]]*tblLog[[#This Row],[Planned (min)]]/60))</f>
        <v>9000</v>
      </c>
      <c r="O56" s="36">
        <f>IF(tblLog[[#This Row],[Date]]="","",tblLog[[#This Row],[Made (units)]]-tblLog[[#This Row],[Good (units)]])</f>
        <v>42</v>
      </c>
      <c r="P56" s="37">
        <f>IF(tblLog[[#This Row],[Date]]="","",IF(tblLog[[#This Row],[Plan (units)]]&gt;0,tblLog[[#This Row],[Good (units)]]/tblLog[[#This Row],[Plan (units)]],""))</f>
        <v>1.00670886075949</v>
      </c>
      <c r="Q56" s="37">
        <f>IF(tblLog[[#This Row],[Date]]="","",IF(N(tblLog[[#This Row],[Capacity (units)]])&gt;0,tblLog[[#This Row],[Good (units)]]/tblLog[[#This Row],[Capacity (units)]],""))</f>
        <v>0.883666666666667</v>
      </c>
      <c r="R56" s="37">
        <f>IF(tblLog[[#This Row],[Date]]="","",IF(tblLog[[#This Row],[Made (units)]]&gt;0,tblLog[[#This Row],[Good (units)]]/tblLog[[#This Row],[Made (units)]],""))</f>
        <v>0.994746716697936</v>
      </c>
      <c r="S56" s="38">
        <f>IF(tblLog[[#This Row],[Date]]="","",IF(tblLog[[#This Row],[Labour (h)]]&gt;0,tblLog[[#This Row],[Good (units)]]/tblLog[[#This Row],[Labour (h)]],""))</f>
        <v>248.53125</v>
      </c>
      <c r="T56" s="39" t="str">
        <f>IF(NOT(ISNUMBER(tblLog[[#This Row],[Attainment]])),"",IF(tblLog[[#This Row],[Attainment]]&gt;=TargetAttain,"On target",IF(tblLog[[#This Row],[Attainment]]&gt;=TargetAttain*(1-0.05),"Near target","Below target")))</f>
        <v>On target</v>
      </c>
      <c r="U56" s="40">
        <f>IF(tblLog[[#This Row],[Date]]="","",IF(AND(tblLog[[#This Row],[Date]]&gt;=FFrom,tblLog[[#This Row],[Date]]&lt;=FTo,OR(DashLine="",tblLog[[#This Row],[Line]]=DashLine)),tblLog[[#This Row],[Date]],""))</f>
        <v>46289</v>
      </c>
      <c r="V56"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56" s="42" t="s">
        <v>141</v>
      </c>
    </row>
    <row r="57" spans="2:23" x14ac:dyDescent="0.25">
      <c r="B57" s="35">
        <v>46289</v>
      </c>
      <c r="C57" s="28" t="s">
        <v>94</v>
      </c>
      <c r="D57" s="28" t="s">
        <v>82</v>
      </c>
      <c r="E57" s="28" t="s">
        <v>97</v>
      </c>
      <c r="F57" s="33">
        <v>15800</v>
      </c>
      <c r="G57" s="33">
        <v>450</v>
      </c>
      <c r="H57" s="33">
        <v>30</v>
      </c>
      <c r="I57" s="28" t="s">
        <v>114</v>
      </c>
      <c r="J57" s="33">
        <v>14927</v>
      </c>
      <c r="K57" s="33">
        <v>14699</v>
      </c>
      <c r="L57" s="30">
        <v>40</v>
      </c>
      <c r="M57" s="36">
        <f>IF(tblLog[[#This Row],[Date]]="","",IFERROR(INDEX(tblProducts[Rated speed (units/h)],MATCH(tblLog[[#This Row],[Product]],tblProducts[Product],0)),""))</f>
        <v>2400</v>
      </c>
      <c r="N57" s="36">
        <f>IF(tblLog[[#This Row],[Date]]="","",IF(tblLog[[#This Row],[Rated speed (units/h)]]="","",tblLog[[#This Row],[Rated speed (units/h)]]*tblLog[[#This Row],[Planned (min)]]/60))</f>
        <v>18000</v>
      </c>
      <c r="O57" s="36">
        <f>IF(tblLog[[#This Row],[Date]]="","",tblLog[[#This Row],[Made (units)]]-tblLog[[#This Row],[Good (units)]])</f>
        <v>228</v>
      </c>
      <c r="P57" s="37">
        <f>IF(tblLog[[#This Row],[Date]]="","",IF(tblLog[[#This Row],[Plan (units)]]&gt;0,tblLog[[#This Row],[Good (units)]]/tblLog[[#This Row],[Plan (units)]],""))</f>
        <v>0.930316455696203</v>
      </c>
      <c r="Q57" s="37">
        <f>IF(tblLog[[#This Row],[Date]]="","",IF(N(tblLog[[#This Row],[Capacity (units)]])&gt;0,tblLog[[#This Row],[Good (units)]]/tblLog[[#This Row],[Capacity (units)]],""))</f>
        <v>0.816611111111111</v>
      </c>
      <c r="R57" s="37">
        <f>IF(tblLog[[#This Row],[Date]]="","",IF(tblLog[[#This Row],[Made (units)]]&gt;0,tblLog[[#This Row],[Good (units)]]/tblLog[[#This Row],[Made (units)]],""))</f>
        <v>0.984725664902526</v>
      </c>
      <c r="S57" s="38">
        <f>IF(tblLog[[#This Row],[Date]]="","",IF(tblLog[[#This Row],[Labour (h)]]&gt;0,tblLog[[#This Row],[Good (units)]]/tblLog[[#This Row],[Labour (h)]],""))</f>
        <v>367.475</v>
      </c>
      <c r="T57" s="39" t="str">
        <f>IF(NOT(ISNUMBER(tblLog[[#This Row],[Attainment]])),"",IF(tblLog[[#This Row],[Attainment]]&gt;=TargetAttain,"On target",IF(tblLog[[#This Row],[Attainment]]&gt;=TargetAttain*(1-0.05),"Near target","Below target")))</f>
        <v>Near target</v>
      </c>
      <c r="U57" s="40">
        <f>IF(tblLog[[#This Row],[Date]]="","",IF(AND(tblLog[[#This Row],[Date]]&gt;=FFrom,tblLog[[#This Row],[Date]]&lt;=FTo,OR(DashLine="",tblLog[[#This Row],[Line]]=DashLine)),tblLog[[#This Row],[Date]],""))</f>
        <v>46289</v>
      </c>
      <c r="V57"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57" s="42" t="s">
        <v>146</v>
      </c>
    </row>
    <row r="58" spans="2:23" x14ac:dyDescent="0.25">
      <c r="B58" s="35">
        <v>46289</v>
      </c>
      <c r="C58" s="28" t="s">
        <v>94</v>
      </c>
      <c r="D58" s="28" t="s">
        <v>85</v>
      </c>
      <c r="E58" s="28" t="s">
        <v>97</v>
      </c>
      <c r="F58" s="33">
        <v>15800</v>
      </c>
      <c r="G58" s="33">
        <v>450</v>
      </c>
      <c r="H58" s="33">
        <v>100</v>
      </c>
      <c r="I58" s="28" t="s">
        <v>106</v>
      </c>
      <c r="J58" s="33">
        <v>12710</v>
      </c>
      <c r="K58" s="33">
        <v>12464</v>
      </c>
      <c r="L58" s="30">
        <v>40</v>
      </c>
      <c r="M58" s="36">
        <f>IF(tblLog[[#This Row],[Date]]="","",IFERROR(INDEX(tblProducts[Rated speed (units/h)],MATCH(tblLog[[#This Row],[Product]],tblProducts[Product],0)),""))</f>
        <v>2400</v>
      </c>
      <c r="N58" s="36">
        <f>IF(tblLog[[#This Row],[Date]]="","",IF(tblLog[[#This Row],[Rated speed (units/h)]]="","",tblLog[[#This Row],[Rated speed (units/h)]]*tblLog[[#This Row],[Planned (min)]]/60))</f>
        <v>18000</v>
      </c>
      <c r="O58" s="36">
        <f>IF(tblLog[[#This Row],[Date]]="","",tblLog[[#This Row],[Made (units)]]-tblLog[[#This Row],[Good (units)]])</f>
        <v>246</v>
      </c>
      <c r="P58" s="37">
        <f>IF(tblLog[[#This Row],[Date]]="","",IF(tblLog[[#This Row],[Plan (units)]]&gt;0,tblLog[[#This Row],[Good (units)]]/tblLog[[#This Row],[Plan (units)]],""))</f>
        <v>0.788860759493671</v>
      </c>
      <c r="Q58" s="37">
        <f>IF(tblLog[[#This Row],[Date]]="","",IF(N(tblLog[[#This Row],[Capacity (units)]])&gt;0,tblLog[[#This Row],[Good (units)]]/tblLog[[#This Row],[Capacity (units)]],""))</f>
        <v>0.692444444444444</v>
      </c>
      <c r="R58" s="37">
        <f>IF(tblLog[[#This Row],[Date]]="","",IF(tblLog[[#This Row],[Made (units)]]&gt;0,tblLog[[#This Row],[Good (units)]]/tblLog[[#This Row],[Made (units)]],""))</f>
        <v>0.980645161290323</v>
      </c>
      <c r="S58" s="38">
        <f>IF(tblLog[[#This Row],[Date]]="","",IF(tblLog[[#This Row],[Labour (h)]]&gt;0,tblLog[[#This Row],[Good (units)]]/tblLog[[#This Row],[Labour (h)]],""))</f>
        <v>311.6</v>
      </c>
      <c r="T58" s="39" t="str">
        <f>IF(NOT(ISNUMBER(tblLog[[#This Row],[Attainment]])),"",IF(tblLog[[#This Row],[Attainment]]&gt;=TargetAttain,"On target",IF(tblLog[[#This Row],[Attainment]]&gt;=TargetAttain*(1-0.05),"Near target","Below target")))</f>
        <v>Below target</v>
      </c>
      <c r="U58" s="40">
        <f>IF(tblLog[[#This Row],[Date]]="","",IF(AND(tblLog[[#This Row],[Date]]&gt;=FFrom,tblLog[[#This Row],[Date]]&lt;=FTo,OR(DashLine="",tblLog[[#This Row],[Line]]=DashLine)),tblLog[[#This Row],[Date]],""))</f>
        <v>46289</v>
      </c>
      <c r="V58"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58" s="42" t="s">
        <v>144</v>
      </c>
    </row>
    <row r="59" spans="2:23" x14ac:dyDescent="0.25">
      <c r="B59" s="35">
        <v>46289</v>
      </c>
      <c r="C59" s="28" t="s">
        <v>94</v>
      </c>
      <c r="D59" s="28" t="s">
        <v>87</v>
      </c>
      <c r="E59" s="28" t="s">
        <v>103</v>
      </c>
      <c r="F59" s="33">
        <v>7900</v>
      </c>
      <c r="G59" s="33">
        <v>450</v>
      </c>
      <c r="H59" s="33">
        <v>10</v>
      </c>
      <c r="I59" s="28" t="s">
        <v>110</v>
      </c>
      <c r="J59" s="33">
        <v>7598</v>
      </c>
      <c r="K59" s="33">
        <v>7510</v>
      </c>
      <c r="L59" s="30">
        <v>32</v>
      </c>
      <c r="M59" s="36">
        <f>IF(tblLog[[#This Row],[Date]]="","",IFERROR(INDEX(tblProducts[Rated speed (units/h)],MATCH(tblLog[[#This Row],[Product]],tblProducts[Product],0)),""))</f>
        <v>1200</v>
      </c>
      <c r="N59" s="36">
        <f>IF(tblLog[[#This Row],[Date]]="","",IF(tblLog[[#This Row],[Rated speed (units/h)]]="","",tblLog[[#This Row],[Rated speed (units/h)]]*tblLog[[#This Row],[Planned (min)]]/60))</f>
        <v>9000</v>
      </c>
      <c r="O59" s="36">
        <f>IF(tblLog[[#This Row],[Date]]="","",tblLog[[#This Row],[Made (units)]]-tblLog[[#This Row],[Good (units)]])</f>
        <v>88</v>
      </c>
      <c r="P59" s="37">
        <f>IF(tblLog[[#This Row],[Date]]="","",IF(tblLog[[#This Row],[Plan (units)]]&gt;0,tblLog[[#This Row],[Good (units)]]/tblLog[[#This Row],[Plan (units)]],""))</f>
        <v>0.950632911392405</v>
      </c>
      <c r="Q59" s="37">
        <f>IF(tblLog[[#This Row],[Date]]="","",IF(N(tblLog[[#This Row],[Capacity (units)]])&gt;0,tblLog[[#This Row],[Good (units)]]/tblLog[[#This Row],[Capacity (units)]],""))</f>
        <v>0.834444444444444</v>
      </c>
      <c r="R59" s="37">
        <f>IF(tblLog[[#This Row],[Date]]="","",IF(tblLog[[#This Row],[Made (units)]]&gt;0,tblLog[[#This Row],[Good (units)]]/tblLog[[#This Row],[Made (units)]],""))</f>
        <v>0.988418004738089</v>
      </c>
      <c r="S59" s="38">
        <f>IF(tblLog[[#This Row],[Date]]="","",IF(tblLog[[#This Row],[Labour (h)]]&gt;0,tblLog[[#This Row],[Good (units)]]/tblLog[[#This Row],[Labour (h)]],""))</f>
        <v>234.6875</v>
      </c>
      <c r="T59" s="39" t="str">
        <f>IF(NOT(ISNUMBER(tblLog[[#This Row],[Attainment]])),"",IF(tblLog[[#This Row],[Attainment]]&gt;=TargetAttain,"On target",IF(tblLog[[#This Row],[Attainment]]&gt;=TargetAttain*(1-0.05),"Near target","Below target")))</f>
        <v>On target</v>
      </c>
      <c r="U59" s="40">
        <f>IF(tblLog[[#This Row],[Date]]="","",IF(AND(tblLog[[#This Row],[Date]]&gt;=FFrom,tblLog[[#This Row],[Date]]&lt;=FTo,OR(DashLine="",tblLog[[#This Row],[Line]]=DashLine)),tblLog[[#This Row],[Date]],""))</f>
        <v>46289</v>
      </c>
      <c r="V59"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59" s="42" t="s">
        <v>141</v>
      </c>
    </row>
    <row r="60" spans="2:23" x14ac:dyDescent="0.25">
      <c r="B60" s="35">
        <v>46290</v>
      </c>
      <c r="C60" s="28" t="s">
        <v>91</v>
      </c>
      <c r="D60" s="28" t="s">
        <v>82</v>
      </c>
      <c r="E60" s="28" t="s">
        <v>97</v>
      </c>
      <c r="F60" s="33">
        <v>15800</v>
      </c>
      <c r="G60" s="33">
        <v>450</v>
      </c>
      <c r="H60" s="33">
        <v>0</v>
      </c>
      <c r="I60" s="28"/>
      <c r="J60" s="33">
        <v>17316</v>
      </c>
      <c r="K60" s="33">
        <v>17058</v>
      </c>
      <c r="L60" s="30">
        <v>40</v>
      </c>
      <c r="M60" s="36">
        <f>IF(tblLog[[#This Row],[Date]]="","",IFERROR(INDEX(tblProducts[Rated speed (units/h)],MATCH(tblLog[[#This Row],[Product]],tblProducts[Product],0)),""))</f>
        <v>2400</v>
      </c>
      <c r="N60" s="36">
        <f>IF(tblLog[[#This Row],[Date]]="","",IF(tblLog[[#This Row],[Rated speed (units/h)]]="","",tblLog[[#This Row],[Rated speed (units/h)]]*tblLog[[#This Row],[Planned (min)]]/60))</f>
        <v>18000</v>
      </c>
      <c r="O60" s="36">
        <f>IF(tblLog[[#This Row],[Date]]="","",tblLog[[#This Row],[Made (units)]]-tblLog[[#This Row],[Good (units)]])</f>
        <v>258</v>
      </c>
      <c r="P60" s="37">
        <f>IF(tblLog[[#This Row],[Date]]="","",IF(tblLog[[#This Row],[Plan (units)]]&gt;0,tblLog[[#This Row],[Good (units)]]/tblLog[[#This Row],[Plan (units)]],""))</f>
        <v>1.07962025316456</v>
      </c>
      <c r="Q60" s="37">
        <f>IF(tblLog[[#This Row],[Date]]="","",IF(N(tblLog[[#This Row],[Capacity (units)]])&gt;0,tblLog[[#This Row],[Good (units)]]/tblLog[[#This Row],[Capacity (units)]],""))</f>
        <v>0.947666666666667</v>
      </c>
      <c r="R60" s="37">
        <f>IF(tblLog[[#This Row],[Date]]="","",IF(tblLog[[#This Row],[Made (units)]]&gt;0,tblLog[[#This Row],[Good (units)]]/tblLog[[#This Row],[Made (units)]],""))</f>
        <v>0.985100485100485</v>
      </c>
      <c r="S60" s="38">
        <f>IF(tblLog[[#This Row],[Date]]="","",IF(tblLog[[#This Row],[Labour (h)]]&gt;0,tblLog[[#This Row],[Good (units)]]/tblLog[[#This Row],[Labour (h)]],""))</f>
        <v>426.45</v>
      </c>
      <c r="T60" s="39" t="str">
        <f>IF(NOT(ISNUMBER(tblLog[[#This Row],[Attainment]])),"",IF(tblLog[[#This Row],[Attainment]]&gt;=TargetAttain,"On target",IF(tblLog[[#This Row],[Attainment]]&gt;=TargetAttain*(1-0.05),"Near target","Below target")))</f>
        <v>On target</v>
      </c>
      <c r="U60" s="40">
        <f>IF(tblLog[[#This Row],[Date]]="","",IF(AND(tblLog[[#This Row],[Date]]&gt;=FFrom,tblLog[[#This Row],[Date]]&lt;=FTo,OR(DashLine="",tblLog[[#This Row],[Line]]=DashLine)),tblLog[[#This Row],[Date]],""))</f>
        <v>46290</v>
      </c>
      <c r="V60"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60" s="42" t="s">
        <v>141</v>
      </c>
    </row>
    <row r="61" spans="2:23" x14ac:dyDescent="0.25">
      <c r="B61" s="35">
        <v>46290</v>
      </c>
      <c r="C61" s="28" t="s">
        <v>91</v>
      </c>
      <c r="D61" s="28" t="s">
        <v>85</v>
      </c>
      <c r="E61" s="28" t="s">
        <v>97</v>
      </c>
      <c r="F61" s="33">
        <v>15800</v>
      </c>
      <c r="G61" s="33">
        <v>450</v>
      </c>
      <c r="H61" s="33">
        <v>20</v>
      </c>
      <c r="I61" s="28" t="s">
        <v>108</v>
      </c>
      <c r="J61" s="33">
        <v>15703</v>
      </c>
      <c r="K61" s="33">
        <v>15467</v>
      </c>
      <c r="L61" s="30">
        <v>40</v>
      </c>
      <c r="M61" s="36">
        <f>IF(tblLog[[#This Row],[Date]]="","",IFERROR(INDEX(tblProducts[Rated speed (units/h)],MATCH(tblLog[[#This Row],[Product]],tblProducts[Product],0)),""))</f>
        <v>2400</v>
      </c>
      <c r="N61" s="36">
        <f>IF(tblLog[[#This Row],[Date]]="","",IF(tblLog[[#This Row],[Rated speed (units/h)]]="","",tblLog[[#This Row],[Rated speed (units/h)]]*tblLog[[#This Row],[Planned (min)]]/60))</f>
        <v>18000</v>
      </c>
      <c r="O61" s="36">
        <f>IF(tblLog[[#This Row],[Date]]="","",tblLog[[#This Row],[Made (units)]]-tblLog[[#This Row],[Good (units)]])</f>
        <v>236</v>
      </c>
      <c r="P61" s="37">
        <f>IF(tblLog[[#This Row],[Date]]="","",IF(tblLog[[#This Row],[Plan (units)]]&gt;0,tblLog[[#This Row],[Good (units)]]/tblLog[[#This Row],[Plan (units)]],""))</f>
        <v>0.978924050632911</v>
      </c>
      <c r="Q61" s="37">
        <f>IF(tblLog[[#This Row],[Date]]="","",IF(N(tblLog[[#This Row],[Capacity (units)]])&gt;0,tblLog[[#This Row],[Good (units)]]/tblLog[[#This Row],[Capacity (units)]],""))</f>
        <v>0.859277777777778</v>
      </c>
      <c r="R61" s="37">
        <f>IF(tblLog[[#This Row],[Date]]="","",IF(tblLog[[#This Row],[Made (units)]]&gt;0,tblLog[[#This Row],[Good (units)]]/tblLog[[#This Row],[Made (units)]],""))</f>
        <v>0.984971024644972</v>
      </c>
      <c r="S61" s="38">
        <f>IF(tblLog[[#This Row],[Date]]="","",IF(tblLog[[#This Row],[Labour (h)]]&gt;0,tblLog[[#This Row],[Good (units)]]/tblLog[[#This Row],[Labour (h)]],""))</f>
        <v>386.675</v>
      </c>
      <c r="T61" s="39" t="str">
        <f>IF(NOT(ISNUMBER(tblLog[[#This Row],[Attainment]])),"",IF(tblLog[[#This Row],[Attainment]]&gt;=TargetAttain,"On target",IF(tblLog[[#This Row],[Attainment]]&gt;=TargetAttain*(1-0.05),"Near target","Below target")))</f>
        <v>On target</v>
      </c>
      <c r="U61" s="40">
        <f>IF(tblLog[[#This Row],[Date]]="","",IF(AND(tblLog[[#This Row],[Date]]&gt;=FFrom,tblLog[[#This Row],[Date]]&lt;=FTo,OR(DashLine="",tblLog[[#This Row],[Line]]=DashLine)),tblLog[[#This Row],[Date]],""))</f>
        <v>46290</v>
      </c>
      <c r="V61"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61" s="42" t="s">
        <v>142</v>
      </c>
    </row>
    <row r="62" spans="2:23" x14ac:dyDescent="0.25">
      <c r="B62" s="35">
        <v>46290</v>
      </c>
      <c r="C62" s="28" t="s">
        <v>91</v>
      </c>
      <c r="D62" s="28" t="s">
        <v>87</v>
      </c>
      <c r="E62" s="28" t="s">
        <v>103</v>
      </c>
      <c r="F62" s="33">
        <v>7900</v>
      </c>
      <c r="G62" s="33">
        <v>450</v>
      </c>
      <c r="H62" s="33">
        <v>30</v>
      </c>
      <c r="I62" s="28" t="s">
        <v>114</v>
      </c>
      <c r="J62" s="33">
        <v>7866</v>
      </c>
      <c r="K62" s="33">
        <v>7801</v>
      </c>
      <c r="L62" s="30">
        <v>32</v>
      </c>
      <c r="M62" s="36">
        <f>IF(tblLog[[#This Row],[Date]]="","",IFERROR(INDEX(tblProducts[Rated speed (units/h)],MATCH(tblLog[[#This Row],[Product]],tblProducts[Product],0)),""))</f>
        <v>1200</v>
      </c>
      <c r="N62" s="36">
        <f>IF(tblLog[[#This Row],[Date]]="","",IF(tblLog[[#This Row],[Rated speed (units/h)]]="","",tblLog[[#This Row],[Rated speed (units/h)]]*tblLog[[#This Row],[Planned (min)]]/60))</f>
        <v>9000</v>
      </c>
      <c r="O62" s="36">
        <f>IF(tblLog[[#This Row],[Date]]="","",tblLog[[#This Row],[Made (units)]]-tblLog[[#This Row],[Good (units)]])</f>
        <v>65</v>
      </c>
      <c r="P62" s="37">
        <f>IF(tblLog[[#This Row],[Date]]="","",IF(tblLog[[#This Row],[Plan (units)]]&gt;0,tblLog[[#This Row],[Good (units)]]/tblLog[[#This Row],[Plan (units)]],""))</f>
        <v>0.98746835443038</v>
      </c>
      <c r="Q62" s="37">
        <f>IF(tblLog[[#This Row],[Date]]="","",IF(N(tblLog[[#This Row],[Capacity (units)]])&gt;0,tblLog[[#This Row],[Good (units)]]/tblLog[[#This Row],[Capacity (units)]],""))</f>
        <v>0.866777777777778</v>
      </c>
      <c r="R62" s="37">
        <f>IF(tblLog[[#This Row],[Date]]="","",IF(tblLog[[#This Row],[Made (units)]]&gt;0,tblLog[[#This Row],[Good (units)]]/tblLog[[#This Row],[Made (units)]],""))</f>
        <v>0.991736587846428</v>
      </c>
      <c r="S62" s="38">
        <f>IF(tblLog[[#This Row],[Date]]="","",IF(tblLog[[#This Row],[Labour (h)]]&gt;0,tblLog[[#This Row],[Good (units)]]/tblLog[[#This Row],[Labour (h)]],""))</f>
        <v>243.78125</v>
      </c>
      <c r="T62" s="39" t="str">
        <f>IF(NOT(ISNUMBER(tblLog[[#This Row],[Attainment]])),"",IF(tblLog[[#This Row],[Attainment]]&gt;=TargetAttain,"On target",IF(tblLog[[#This Row],[Attainment]]&gt;=TargetAttain*(1-0.05),"Near target","Below target")))</f>
        <v>On target</v>
      </c>
      <c r="U62" s="40">
        <f>IF(tblLog[[#This Row],[Date]]="","",IF(AND(tblLog[[#This Row],[Date]]&gt;=FFrom,tblLog[[#This Row],[Date]]&lt;=FTo,OR(DashLine="",tblLog[[#This Row],[Line]]=DashLine)),tblLog[[#This Row],[Date]],""))</f>
        <v>46290</v>
      </c>
      <c r="V62"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62" s="42" t="s">
        <v>146</v>
      </c>
    </row>
    <row r="63" spans="2:23" x14ac:dyDescent="0.25">
      <c r="B63" s="35">
        <v>46290</v>
      </c>
      <c r="C63" s="28" t="s">
        <v>94</v>
      </c>
      <c r="D63" s="28" t="s">
        <v>82</v>
      </c>
      <c r="E63" s="28" t="s">
        <v>97</v>
      </c>
      <c r="F63" s="33">
        <v>15800</v>
      </c>
      <c r="G63" s="33">
        <v>450</v>
      </c>
      <c r="H63" s="33">
        <v>20</v>
      </c>
      <c r="I63" s="28" t="s">
        <v>116</v>
      </c>
      <c r="J63" s="33">
        <v>15578</v>
      </c>
      <c r="K63" s="33">
        <v>15511</v>
      </c>
      <c r="L63" s="30">
        <v>40</v>
      </c>
      <c r="M63" s="36">
        <f>IF(tblLog[[#This Row],[Date]]="","",IFERROR(INDEX(tblProducts[Rated speed (units/h)],MATCH(tblLog[[#This Row],[Product]],tblProducts[Product],0)),""))</f>
        <v>2400</v>
      </c>
      <c r="N63" s="36">
        <f>IF(tblLog[[#This Row],[Date]]="","",IF(tblLog[[#This Row],[Rated speed (units/h)]]="","",tblLog[[#This Row],[Rated speed (units/h)]]*tblLog[[#This Row],[Planned (min)]]/60))</f>
        <v>18000</v>
      </c>
      <c r="O63" s="36">
        <f>IF(tblLog[[#This Row],[Date]]="","",tblLog[[#This Row],[Made (units)]]-tblLog[[#This Row],[Good (units)]])</f>
        <v>67</v>
      </c>
      <c r="P63" s="37">
        <f>IF(tblLog[[#This Row],[Date]]="","",IF(tblLog[[#This Row],[Plan (units)]]&gt;0,tblLog[[#This Row],[Good (units)]]/tblLog[[#This Row],[Plan (units)]],""))</f>
        <v>0.981708860759494</v>
      </c>
      <c r="Q63" s="37">
        <f>IF(tblLog[[#This Row],[Date]]="","",IF(N(tblLog[[#This Row],[Capacity (units)]])&gt;0,tblLog[[#This Row],[Good (units)]]/tblLog[[#This Row],[Capacity (units)]],""))</f>
        <v>0.861722222222222</v>
      </c>
      <c r="R63" s="37">
        <f>IF(tblLog[[#This Row],[Date]]="","",IF(tblLog[[#This Row],[Made (units)]]&gt;0,tblLog[[#This Row],[Good (units)]]/tblLog[[#This Row],[Made (units)]],""))</f>
        <v>0.995699062780845</v>
      </c>
      <c r="S63" s="38">
        <f>IF(tblLog[[#This Row],[Date]]="","",IF(tblLog[[#This Row],[Labour (h)]]&gt;0,tblLog[[#This Row],[Good (units)]]/tblLog[[#This Row],[Labour (h)]],""))</f>
        <v>387.775</v>
      </c>
      <c r="T63" s="39" t="str">
        <f>IF(NOT(ISNUMBER(tblLog[[#This Row],[Attainment]])),"",IF(tblLog[[#This Row],[Attainment]]&gt;=TargetAttain,"On target",IF(tblLog[[#This Row],[Attainment]]&gt;=TargetAttain*(1-0.05),"Near target","Below target")))</f>
        <v>On target</v>
      </c>
      <c r="U63" s="40">
        <f>IF(tblLog[[#This Row],[Date]]="","",IF(AND(tblLog[[#This Row],[Date]]&gt;=FFrom,tblLog[[#This Row],[Date]]&lt;=FTo,OR(DashLine="",tblLog[[#This Row],[Line]]=DashLine)),tblLog[[#This Row],[Date]],""))</f>
        <v>46290</v>
      </c>
      <c r="V63"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63" s="42" t="s">
        <v>141</v>
      </c>
    </row>
    <row r="64" spans="2:23" x14ac:dyDescent="0.25">
      <c r="B64" s="35">
        <v>46290</v>
      </c>
      <c r="C64" s="28" t="s">
        <v>94</v>
      </c>
      <c r="D64" s="28" t="s">
        <v>85</v>
      </c>
      <c r="E64" s="28" t="s">
        <v>99</v>
      </c>
      <c r="F64" s="33">
        <v>19800</v>
      </c>
      <c r="G64" s="33">
        <v>450</v>
      </c>
      <c r="H64" s="33">
        <v>125</v>
      </c>
      <c r="I64" s="28" t="s">
        <v>108</v>
      </c>
      <c r="J64" s="33">
        <v>13498</v>
      </c>
      <c r="K64" s="33">
        <v>13334</v>
      </c>
      <c r="L64" s="30">
        <v>40</v>
      </c>
      <c r="M64" s="36">
        <f>IF(tblLog[[#This Row],[Date]]="","",IFERROR(INDEX(tblProducts[Rated speed (units/h)],MATCH(tblLog[[#This Row],[Product]],tblProducts[Product],0)),""))</f>
        <v>3000</v>
      </c>
      <c r="N64" s="36">
        <f>IF(tblLog[[#This Row],[Date]]="","",IF(tblLog[[#This Row],[Rated speed (units/h)]]="","",tblLog[[#This Row],[Rated speed (units/h)]]*tblLog[[#This Row],[Planned (min)]]/60))</f>
        <v>22500</v>
      </c>
      <c r="O64" s="36">
        <f>IF(tblLog[[#This Row],[Date]]="","",tblLog[[#This Row],[Made (units)]]-tblLog[[#This Row],[Good (units)]])</f>
        <v>164</v>
      </c>
      <c r="P64" s="37">
        <f>IF(tblLog[[#This Row],[Date]]="","",IF(tblLog[[#This Row],[Plan (units)]]&gt;0,tblLog[[#This Row],[Good (units)]]/tblLog[[#This Row],[Plan (units)]],""))</f>
        <v>0.673434343434343</v>
      </c>
      <c r="Q64" s="37">
        <f>IF(tblLog[[#This Row],[Date]]="","",IF(N(tblLog[[#This Row],[Capacity (units)]])&gt;0,tblLog[[#This Row],[Good (units)]]/tblLog[[#This Row],[Capacity (units)]],""))</f>
        <v>0.592622222222222</v>
      </c>
      <c r="R64" s="37">
        <f>IF(tblLog[[#This Row],[Date]]="","",IF(tblLog[[#This Row],[Made (units)]]&gt;0,tblLog[[#This Row],[Good (units)]]/tblLog[[#This Row],[Made (units)]],""))</f>
        <v>0.987850051859535</v>
      </c>
      <c r="S64" s="38">
        <f>IF(tblLog[[#This Row],[Date]]="","",IF(tblLog[[#This Row],[Labour (h)]]&gt;0,tblLog[[#This Row],[Good (units)]]/tblLog[[#This Row],[Labour (h)]],""))</f>
        <v>333.35</v>
      </c>
      <c r="T64" s="39" t="str">
        <f>IF(NOT(ISNUMBER(tblLog[[#This Row],[Attainment]])),"",IF(tblLog[[#This Row],[Attainment]]&gt;=TargetAttain,"On target",IF(tblLog[[#This Row],[Attainment]]&gt;=TargetAttain*(1-0.05),"Near target","Below target")))</f>
        <v>Below target</v>
      </c>
      <c r="U64" s="40">
        <f>IF(tblLog[[#This Row],[Date]]="","",IF(AND(tblLog[[#This Row],[Date]]&gt;=FFrom,tblLog[[#This Row],[Date]]&lt;=FTo,OR(DashLine="",tblLog[[#This Row],[Line]]=DashLine)),tblLog[[#This Row],[Date]],""))</f>
        <v>46290</v>
      </c>
      <c r="V64"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64" s="42" t="s">
        <v>145</v>
      </c>
    </row>
    <row r="65" spans="2:23" x14ac:dyDescent="0.25">
      <c r="B65" s="35">
        <v>46290</v>
      </c>
      <c r="C65" s="28" t="s">
        <v>94</v>
      </c>
      <c r="D65" s="28" t="s">
        <v>87</v>
      </c>
      <c r="E65" s="28" t="s">
        <v>103</v>
      </c>
      <c r="F65" s="33">
        <v>7900</v>
      </c>
      <c r="G65" s="33">
        <v>450</v>
      </c>
      <c r="H65" s="33">
        <v>30</v>
      </c>
      <c r="I65" s="28" t="s">
        <v>114</v>
      </c>
      <c r="J65" s="33">
        <v>7830</v>
      </c>
      <c r="K65" s="33">
        <v>7721</v>
      </c>
      <c r="L65" s="30">
        <v>32</v>
      </c>
      <c r="M65" s="36">
        <f>IF(tblLog[[#This Row],[Date]]="","",IFERROR(INDEX(tblProducts[Rated speed (units/h)],MATCH(tblLog[[#This Row],[Product]],tblProducts[Product],0)),""))</f>
        <v>1200</v>
      </c>
      <c r="N65" s="36">
        <f>IF(tblLog[[#This Row],[Date]]="","",IF(tblLog[[#This Row],[Rated speed (units/h)]]="","",tblLog[[#This Row],[Rated speed (units/h)]]*tblLog[[#This Row],[Planned (min)]]/60))</f>
        <v>9000</v>
      </c>
      <c r="O65" s="36">
        <f>IF(tblLog[[#This Row],[Date]]="","",tblLog[[#This Row],[Made (units)]]-tblLog[[#This Row],[Good (units)]])</f>
        <v>109</v>
      </c>
      <c r="P65" s="37">
        <f>IF(tblLog[[#This Row],[Date]]="","",IF(tblLog[[#This Row],[Plan (units)]]&gt;0,tblLog[[#This Row],[Good (units)]]/tblLog[[#This Row],[Plan (units)]],""))</f>
        <v>0.977341772151899</v>
      </c>
      <c r="Q65" s="37">
        <f>IF(tblLog[[#This Row],[Date]]="","",IF(N(tblLog[[#This Row],[Capacity (units)]])&gt;0,tblLog[[#This Row],[Good (units)]]/tblLog[[#This Row],[Capacity (units)]],""))</f>
        <v>0.857888888888889</v>
      </c>
      <c r="R65" s="37">
        <f>IF(tblLog[[#This Row],[Date]]="","",IF(tblLog[[#This Row],[Made (units)]]&gt;0,tblLog[[#This Row],[Good (units)]]/tblLog[[#This Row],[Made (units)]],""))</f>
        <v>0.986079182630907</v>
      </c>
      <c r="S65" s="38">
        <f>IF(tblLog[[#This Row],[Date]]="","",IF(tblLog[[#This Row],[Labour (h)]]&gt;0,tblLog[[#This Row],[Good (units)]]/tblLog[[#This Row],[Labour (h)]],""))</f>
        <v>241.28125</v>
      </c>
      <c r="T65" s="39" t="str">
        <f>IF(NOT(ISNUMBER(tblLog[[#This Row],[Attainment]])),"",IF(tblLog[[#This Row],[Attainment]]&gt;=TargetAttain,"On target",IF(tblLog[[#This Row],[Attainment]]&gt;=TargetAttain*(1-0.05),"Near target","Below target")))</f>
        <v>On target</v>
      </c>
      <c r="U65" s="40">
        <f>IF(tblLog[[#This Row],[Date]]="","",IF(AND(tblLog[[#This Row],[Date]]&gt;=FFrom,tblLog[[#This Row],[Date]]&lt;=FTo,OR(DashLine="",tblLog[[#This Row],[Line]]=DashLine)),tblLog[[#This Row],[Date]],""))</f>
        <v>46290</v>
      </c>
      <c r="V65" s="41" t="str">
        <f>IF(tblLog[[#This Row],[Date]]="","",IF(tblLog[[#This Row],[Shift]]="","Missing shift",IF(tblLog[[#This Row],[Line]]="","Missing line",IF(tblLog[[#This Row],[Product]]="","Missing product",IF(tblLog[[#This Row],[Good (units)]]="","Missing good",IF(tblLog[[#This Row],[Rated speed (units/h)]]="","Product not on Setup list",IF(tblLog[[#This Row],[Good (units)]]&gt;tblLog[[#This Row],[Made (units)]],"Good &gt; made",IF(tblLog[[#This Row],[Downtime (min)]]&gt;tblLog[[#This Row],[Planned (min)]],"Downtime &gt; planned time",IF(AND(tblLog[[#This Row],[Downtime (min)]]&gt;0,tblLog[[#This Row],[Main loss]]=""),"Give the main loss reason",IF(tblLog[[#This Row],[Made (units)]]&gt;tblLog[[#This Row],[Capacity (units)]]*1.02,"Above rated speed: check speed",IF(COUNTIFS(tblLog[Date],tblLog[[#This Row],[Date]],tblLog[Shift],tblLog[[#This Row],[Shift]],tblLog[Line],tblLog[[#This Row],[Line]])&gt;1,"Duplicate line-shift row","OK")))))))))))</f>
        <v>OK</v>
      </c>
      <c r="W65" s="42" t="s">
        <v>146</v>
      </c>
    </row>
  </sheetData>
  <mergeCells count="3">
    <mergeCell ref="A1:W1"/>
    <mergeCell ref="B2:V2"/>
    <mergeCell ref="B4:W4"/>
  </mergeCells>
  <conditionalFormatting sqref="P6:P565">
    <cfRule type="expression" dxfId="3" priority="1" stopIfTrue="1">
      <formula>AND(ISNUMBER(P6),P6&gt;=(TargetAttain))</formula>
    </cfRule>
    <cfRule type="expression" dxfId="4" priority="2" stopIfTrue="1">
      <formula>AND(ISNUMBER(P6),P6&gt;=(TargetAttain)*(1-0.05))</formula>
    </cfRule>
    <cfRule type="expression" dxfId="5" priority="3">
      <formula>ISNUMBER(P6)</formula>
    </cfRule>
    <cfRule type="dataBar" priority="4">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Q6:Q565">
    <cfRule type="expression" dxfId="3" priority="5" stopIfTrue="1">
      <formula>AND(ISNUMBER(Q6),Q6&gt;=(TargetEff))</formula>
    </cfRule>
    <cfRule type="expression" dxfId="4" priority="6" stopIfTrue="1">
      <formula>AND(ISNUMBER(Q6),Q6&gt;=(TargetEff)*(1-0.05))</formula>
    </cfRule>
    <cfRule type="expression" dxfId="5" priority="7">
      <formula>ISNUMBER(Q6)</formula>
    </cfRule>
  </conditionalFormatting>
  <conditionalFormatting sqref="R6:R565">
    <cfRule type="expression" dxfId="3" priority="8" stopIfTrue="1">
      <formula>AND(ISNUMBER(R6),R6&gt;=(TargetFPY))</formula>
    </cfRule>
    <cfRule type="expression" dxfId="4" priority="9" stopIfTrue="1">
      <formula>AND(ISNUMBER(R6),R6&gt;=(TargetFPY)*(1-0.05))</formula>
    </cfRule>
    <cfRule type="expression" dxfId="5" priority="10">
      <formula>ISNUMBER(R6)</formula>
    </cfRule>
  </conditionalFormatting>
  <conditionalFormatting sqref="S6:S565">
    <cfRule type="expression" dxfId="3" priority="11" stopIfTrue="1">
      <formula>AND(ISNUMBER(S6),S6&gt;=(TargetUPLH))</formula>
    </cfRule>
    <cfRule type="expression" dxfId="4" priority="12" stopIfTrue="1">
      <formula>AND(ISNUMBER(S6),S6&gt;=(TargetUPLH)*(1-0.05))</formula>
    </cfRule>
    <cfRule type="expression" dxfId="5" priority="13">
      <formula>ISNUMBER(S6)</formula>
    </cfRule>
  </conditionalFormatting>
  <conditionalFormatting sqref="T6:T565">
    <cfRule type="cellIs" dxfId="0" priority="14" operator="equal">
      <formula>"On target"</formula>
    </cfRule>
    <cfRule type="cellIs" dxfId="0" priority="15" operator="equal">
      <formula>"PASS"</formula>
    </cfRule>
    <cfRule type="cellIs" dxfId="0" priority="16" operator="equal">
      <formula>"OK"</formula>
    </cfRule>
    <cfRule type="cellIs" dxfId="0" priority="17" operator="equal">
      <formula>"Within limits"</formula>
    </cfRule>
    <cfRule type="cellIs" dxfId="0" priority="18" operator="equal">
      <formula>"Under capacity"</formula>
    </cfRule>
    <cfRule type="cellIs" dxfId="0" priority="19" operator="equal">
      <formula>"Complete"</formula>
    </cfRule>
    <cfRule type="cellIs" dxfId="0" priority="20" operator="equal">
      <formula>"Yes"</formula>
    </cfRule>
    <cfRule type="cellIs" dxfId="1" priority="21" operator="equal">
      <formula>"Near target"</formula>
    </cfRule>
    <cfRule type="cellIs" dxfId="1" priority="22" operator="equal">
      <formula>"Check"</formula>
    </cfRule>
    <cfRule type="cellIs" dxfId="1" priority="23" operator="equal">
      <formula>"Due soon"</formula>
    </cfRule>
    <cfRule type="cellIs" dxfId="1" priority="24" operator="equal">
      <formula>"Near capacity"</formula>
    </cfRule>
    <cfRule type="cellIs" dxfId="1" priority="25" operator="equal">
      <formula>"In progress"</formula>
    </cfRule>
    <cfRule type="cellIs" dxfId="1" priority="26" operator="equal">
      <formula>"Partial"</formula>
    </cfRule>
    <cfRule type="cellIs" dxfId="2" priority="27" operator="equal">
      <formula>"Below target"</formula>
    </cfRule>
    <cfRule type="cellIs" dxfId="2" priority="28" operator="equal">
      <formula>"Above target"</formula>
    </cfRule>
    <cfRule type="cellIs" dxfId="2" priority="29" operator="equal">
      <formula>"FAIL"</formula>
    </cfRule>
    <cfRule type="cellIs" dxfId="2" priority="30" operator="equal">
      <formula>"Over capacity"</formula>
    </cfRule>
    <cfRule type="cellIs" dxfId="2" priority="31" operator="equal">
      <formula>"Overdue"</formula>
    </cfRule>
    <cfRule type="cellIs" dxfId="2" priority="32" operator="equal">
      <formula>"Out of limits"</formula>
    </cfRule>
    <cfRule type="cellIs" dxfId="2" priority="33" operator="equal">
      <formula>"No"</formula>
    </cfRule>
  </conditionalFormatting>
  <conditionalFormatting sqref="V6:V565">
    <cfRule type="expression" dxfId="3" priority="34">
      <formula>$V6="OK"</formula>
    </cfRule>
    <cfRule type="expression" dxfId="1" priority="35">
      <formula>AND($V6&lt;&gt;"",$V6&lt;&gt;"OK")</formula>
    </cfRule>
  </conditionalFormatting>
  <dataValidations count="12">
    <dataValidation type="date" allowBlank="1" showInputMessage="1" showErrorMessage="1" errorTitle="Check this entry" error="Enter a date between 01 Jan 2000 and 31 Dec 2100." promptTitle="Date" prompt="Enter a date between 01 Jan 2000 and 31 Dec 2100." sqref="B6:B565">
      <formula1>36526</formula1>
      <formula2>73415</formula2>
    </dataValidation>
    <dataValidation type="list" allowBlank="1" showInputMessage="1" showErrorMessage="1" errorTitle="Check this entry" error="Pick from the list (edit the list on Setup: ShiftList)." promptTitle="Shift" prompt="Pick from the list (edit the list on Setup: ShiftList)." sqref="C6:C565">
      <formula1>ShiftList</formula1>
    </dataValidation>
    <dataValidation type="list" allowBlank="1" showInputMessage="1" showErrorMessage="1" errorTitle="Check this entry" error="Pick from the list (edit the list on Setup: Lines)." promptTitle="Line" prompt="Pick from the list (edit the list on Setup: Lines)." sqref="D6:D565">
      <formula1>Lines</formula1>
    </dataValidation>
    <dataValidation type="list" allowBlank="1" showInputMessage="1" showErrorMessage="1" errorTitle="Check this entry" error="Pick from the list (edit the list on Setup: Products)." promptTitle="Product" prompt="Pick from the list (edit the list on Setup: Products)." sqref="E6:E565">
      <formula1>Products</formula1>
    </dataValidation>
    <dataValidation type="whole" allowBlank="1" showInputMessage="1" showErrorMessage="1" errorTitle="Check this entry" error="Enter a whole number from 0 to 10,000,000." promptTitle="Plan (units)" prompt="Quantity the schedule asked this line to make in this shift. Enter a whole number from 0 to 10,000,000." sqref="F6:F565">
      <formula1>0</formula1>
      <formula2>10000000</formula2>
    </dataValidation>
    <dataValidation type="whole" allowBlank="1" showInputMessage="1" showErrorMessage="1" errorTitle="Check this entry" error="Enter a whole number from 0 to 1,440." promptTitle="Planned (min)" prompt="Planned production time: shift length minus planned stops (breaks, meetings). Enter a whole number from 0 to 1,440." sqref="G6:G565">
      <formula1>0</formula1>
      <formula2>1440</formula2>
    </dataValidation>
    <dataValidation type="whole" allowBlank="1" showInputMessage="1" showErrorMessage="1" errorTitle="Check this entry" error="Enter a whole number from 0 to 1,440." promptTitle="Downtime (min)" prompt="Minutes the line was stopped inside planned time, changeovers included. Enter a whole number from 0 to 1,440." sqref="H6:H565">
      <formula1>0</formula1>
      <formula2>1440</formula2>
    </dataValidation>
    <dataValidation type="list" allowBlank="1" showInputMessage="1" showErrorMessage="1" errorTitle="Check this entry" error="Pick from the list (edit the list on Setup: Reasons)." promptTitle="Main loss" prompt="The reason behind most of the downtime. Leave blank when there was none. Pick from the list (edit the list on Setup: Reasons)." sqref="I6:I565">
      <formula1>Reasons</formula1>
    </dataValidation>
    <dataValidation type="whole" allowBlank="1" showInputMessage="1" showErrorMessage="1" errorTitle="Check this entry" error="Enter a whole number from 0 to 10,000,000." promptTitle="Made (units)" prompt="Every unit made, good or not. Enter a whole number from 0 to 10,000,000." sqref="J6:J565">
      <formula1>0</formula1>
      <formula2>10000000</formula2>
    </dataValidation>
    <dataValidation type="whole" allowBlank="1" showInputMessage="1" showErrorMessage="1" errorTitle="Check this entry" error="Enter a whole number from 0 to 10,000,000." promptTitle="Good (units)" prompt="Units right first time: no rework, no scrap. Enter a whole number from 0 to 10,000,000." sqref="K6:K565">
      <formula1>0</formula1>
      <formula2>10000000</formula2>
    </dataValidation>
    <dataValidation type="decimal" allowBlank="1" showInputMessage="1" showErrorMessage="1" errorTitle="Check this entry" error="Enter a number from 0 to 10,000." promptTitle="Labour (h)" prompt="Paid labour hours on the line this shift: people x hours, overtime included. Enter a number from 0 to 10,000." sqref="L6:L565">
      <formula1>0</formula1>
      <formula2>10000</formula2>
    </dataValidation>
    <dataValidation type="textLength" allowBlank="1" showInputMessage="1" showErrorMessage="1" errorTitle="Check this entry" error="Text up to 255 characters." promptTitle="Handover note" prompt="Text up to 255 characters." sqref="W6:W565">
      <formula1>0</formula1>
      <formula2>255</formula2>
    </dataValidation>
  </dataValidations>
  <hyperlinks>
    <hyperlink ref="W2" r:id="rId1" tooltip="Free manufacturing calculators and templates"/>
  </hyperlinks>
  <pageMargins left="0.4" right="0.4" top="0.7" bottom="0.65" header="0.3" footer="0.3"/>
  <pageSetup fitToHeight="0" orientation="landscape"/>
  <headerFooter>
    <oddHeader>&amp;L&amp;8MFG Calcs - Shift Production Report&amp;R&amp;8&amp;A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P6:P565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84"/>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22</v>
      </c>
      <c r="C2" s="2"/>
      <c r="D2" s="2"/>
      <c r="E2" s="2"/>
      <c r="F2" s="2"/>
      <c r="G2" s="2"/>
      <c r="H2" s="2"/>
      <c r="I2" s="2"/>
      <c r="J2" s="2"/>
      <c r="K2" s="3" t="s">
        <v>2</v>
      </c>
      <c r="L2" s="3"/>
    </row>
    <row r="3" spans="1:12" ht="6" customHeight="1" x14ac:dyDescent="0.25"/>
    <row r="4" spans="1:12" x14ac:dyDescent="0.25">
      <c r="B4" s="27" t="s">
        <v>60</v>
      </c>
      <c r="C4" s="28"/>
      <c r="D4" s="28"/>
      <c r="F4" s="27" t="s">
        <v>147</v>
      </c>
      <c r="G4" s="43"/>
      <c r="H4" s="43"/>
      <c r="J4" s="27" t="s">
        <v>148</v>
      </c>
      <c r="K4" s="43"/>
      <c r="L4" s="43"/>
    </row>
    <row r="5" spans="1:12" x14ac:dyDescent="0.25">
      <c r="B5" s="44" t="str">
        <f>PlantName&amp;": "&amp;COUNTIFS(tblLog[View date],"&gt;0")&amp;" line-shift rows in view. Leave the filters blank to include everything; dates are inclusive."</f>
        <v>Ashdown Household Products (example): 60 line-shift rows in view. Leave the filters blank to include everything; dates are inclusive.</v>
      </c>
      <c r="C5" s="44"/>
      <c r="D5" s="44"/>
      <c r="E5" s="44"/>
      <c r="F5" s="44"/>
      <c r="G5" s="44"/>
      <c r="H5" s="44"/>
      <c r="I5" s="44"/>
      <c r="J5" s="44"/>
      <c r="K5" s="44"/>
      <c r="L5" s="44"/>
    </row>
    <row r="7" spans="1:12" ht="18" customHeight="1" x14ac:dyDescent="0.25">
      <c r="B7" s="45" t="s">
        <v>149</v>
      </c>
      <c r="C7" s="45"/>
      <c r="D7" s="45" t="s">
        <v>150</v>
      </c>
      <c r="E7" s="45"/>
      <c r="F7" s="45"/>
      <c r="G7" s="45" t="s">
        <v>151</v>
      </c>
      <c r="H7" s="45"/>
      <c r="I7" s="45"/>
      <c r="J7" s="45" t="s">
        <v>152</v>
      </c>
      <c r="K7" s="45"/>
      <c r="L7" s="45"/>
    </row>
    <row r="8" spans="1:12" ht="21" customHeight="1" x14ac:dyDescent="0.25">
      <c r="B8" s="46">
        <f>IF((SUMIFS(tblLog[Plan (units)],tblLog[View date],"&gt;0"))=0,"",(SUMIFS(tblLog[Good (units)],tblLog[View date],"&gt;0"))/(SUMIFS(tblLog[Plan (units)],tblLog[View date],"&gt;0")))</f>
        <v>0.948523815604648</v>
      </c>
      <c r="C8" s="46"/>
      <c r="D8" s="46">
        <f>IF((SUMIFS(tblLog[Capacity (units)],tblLog[View date],"&gt;0"))=0,"",(SUMIFS(tblLog[Good (units)],tblLog[View date],"&gt;0"))/(SUMIFS(tblLog[Capacity (units)],tblLog[View date],"&gt;0")))</f>
        <v>0.833657687991021</v>
      </c>
      <c r="E8" s="46"/>
      <c r="F8" s="46"/>
      <c r="G8" s="46">
        <f>IF((SUMIFS(tblLog[Made (units)],tblLog[View date],"&gt;0"))=0,"",(SUMIFS(tblLog[Good (units)],tblLog[View date],"&gt;0"))/(SUMIFS(tblLog[Made (units)],tblLog[View date],"&gt;0")))</f>
        <v>0.987617371048076</v>
      </c>
      <c r="H8" s="46"/>
      <c r="I8" s="46"/>
      <c r="J8" s="47">
        <f>IF((SUMIFS(tblLog[Labour (h)],tblLog[View date],"&gt;0"))=0,"",(SUMIFS(tblLog[Good (units)],tblLog[View date],"&gt;0"))/(SUMIFS(tblLog[Labour (h)],tblLog[View date],"&gt;0")))</f>
        <v>337.631363636364</v>
      </c>
      <c r="K8" s="47"/>
      <c r="L8" s="47"/>
    </row>
    <row r="9" spans="1:12" ht="21" customHeight="1" x14ac:dyDescent="0.25">
      <c r="B9" s="46"/>
      <c r="C9" s="46"/>
      <c r="D9" s="46"/>
      <c r="E9" s="46"/>
      <c r="F9" s="46"/>
      <c r="G9" s="46"/>
      <c r="H9" s="46"/>
      <c r="I9" s="46"/>
      <c r="J9" s="47"/>
      <c r="K9" s="47"/>
      <c r="L9" s="47"/>
    </row>
    <row r="10" spans="1:12" x14ac:dyDescent="0.25">
      <c r="B10" s="48">
        <f>TargetAttain</f>
        <v>0.95</v>
      </c>
      <c r="C10" s="48"/>
      <c r="D10" s="48">
        <f>TargetEff</f>
        <v>0.8</v>
      </c>
      <c r="E10" s="48"/>
      <c r="F10" s="48"/>
      <c r="G10" s="48">
        <f>TargetFPY</f>
        <v>0.985</v>
      </c>
      <c r="H10" s="48"/>
      <c r="I10" s="48"/>
      <c r="J10" s="49">
        <f>TargetUPLH</f>
        <v>300</v>
      </c>
      <c r="K10" s="49"/>
      <c r="L10" s="49"/>
    </row>
    <row r="11" spans="1:12" ht="18" customHeight="1" x14ac:dyDescent="0.25">
      <c r="B11" s="50" t="str">
        <f>IF(NOT(ISNUMBER(KpiAttain)),"No data",IF(KpiAttain&gt;=(TargetAttain),"On target",IF(KpiAttain&gt;=(TargetAttain)*(1-0.05),"Near target","Below target")))</f>
        <v>Near target</v>
      </c>
      <c r="C11" s="50"/>
      <c r="D11" s="50" t="str">
        <f>IF(NOT(ISNUMBER(KpiEff)),"No data",IF(KpiEff&gt;=(TargetEff),"On target",IF(KpiEff&gt;=(TargetEff)*(1-0.05),"Near target","Below target")))</f>
        <v>On target</v>
      </c>
      <c r="E11" s="50"/>
      <c r="F11" s="50"/>
      <c r="G11" s="50" t="str">
        <f>IF(NOT(ISNUMBER(KpiFPY)),"No data",IF(KpiFPY&gt;=(TargetFPY),"On target",IF(KpiFPY&gt;=(TargetFPY)*(1-0.05),"Near target","Below target")))</f>
        <v>On target</v>
      </c>
      <c r="H11" s="50"/>
      <c r="I11" s="50"/>
      <c r="J11" s="50" t="str">
        <f>IF(NOT(ISNUMBER(KpiUPLH)),"No data",IF(KpiUPLH&gt;=(TargetUPLH),"On target",IF(KpiUPLH&gt;=(TargetUPLH)*(1-0.05),"Near target","Below target")))</f>
        <v>On target</v>
      </c>
      <c r="K11" s="50"/>
      <c r="L11" s="50"/>
    </row>
    <row r="29" spans="2:12" ht="18" customHeight="1" x14ac:dyDescent="0.25">
      <c r="B29" s="45" t="s">
        <v>153</v>
      </c>
      <c r="C29" s="45"/>
      <c r="D29" s="45" t="s">
        <v>154</v>
      </c>
      <c r="E29" s="45"/>
      <c r="F29" s="45"/>
      <c r="G29" s="45" t="s">
        <v>155</v>
      </c>
      <c r="H29" s="45"/>
      <c r="I29" s="45"/>
      <c r="J29" s="45" t="s">
        <v>156</v>
      </c>
      <c r="K29" s="45"/>
      <c r="L29" s="45"/>
    </row>
    <row r="30" spans="2:12" ht="21" customHeight="1" x14ac:dyDescent="0.25">
      <c r="B30" s="51">
        <f>SUMIFS(tblLog[Good (units)],tblLog[View date],"&gt;0")</f>
        <v>742789</v>
      </c>
      <c r="C30" s="51"/>
      <c r="D30" s="51">
        <f>SUMIFS(tblLog[Scrap (units)],tblLog[View date],"&gt;0")</f>
        <v>9313</v>
      </c>
      <c r="E30" s="51"/>
      <c r="F30" s="51"/>
      <c r="G30" s="47">
        <f>SUMIFS(tblLog[Downtime (min)],tblLog[View date],"&gt;0")/60</f>
        <v>30.5833333333333</v>
      </c>
      <c r="H30" s="47"/>
      <c r="I30" s="47"/>
      <c r="J30" s="52" t="str">
        <f>IF(INDEX($J$73:$J$80,1)&gt;0,INDEX($H$73:$H$80,1),"None logged")</f>
        <v>Changeover</v>
      </c>
      <c r="K30" s="52"/>
      <c r="L30" s="52"/>
    </row>
    <row r="31" spans="2:12" ht="21" customHeight="1" x14ac:dyDescent="0.25">
      <c r="B31" s="51"/>
      <c r="C31" s="51"/>
      <c r="D31" s="51"/>
      <c r="E31" s="51"/>
      <c r="F31" s="51"/>
      <c r="G31" s="47"/>
      <c r="H31" s="47"/>
      <c r="I31" s="47"/>
      <c r="J31" s="52"/>
      <c r="K31" s="52"/>
      <c r="L31" s="52"/>
    </row>
    <row r="32" spans="2:12" x14ac:dyDescent="0.25">
      <c r="B32" s="53" t="s">
        <v>157</v>
      </c>
      <c r="C32" s="53"/>
      <c r="D32" s="53" t="s">
        <v>158</v>
      </c>
      <c r="E32" s="53"/>
      <c r="F32" s="53"/>
      <c r="G32" s="53" t="s">
        <v>159</v>
      </c>
      <c r="H32" s="53"/>
      <c r="I32" s="53"/>
      <c r="J32" s="53" t="s">
        <v>160</v>
      </c>
      <c r="K32" s="53"/>
      <c r="L32" s="53"/>
    </row>
    <row r="33" spans="2:12" ht="18" customHeight="1" x14ac:dyDescent="0.25">
      <c r="B33" s="50"/>
      <c r="C33" s="50"/>
      <c r="D33" s="50"/>
      <c r="E33" s="50"/>
      <c r="F33" s="50"/>
      <c r="G33" s="50"/>
      <c r="H33" s="50"/>
      <c r="I33" s="50"/>
      <c r="J33" s="50"/>
      <c r="K33" s="50"/>
      <c r="L33" s="50"/>
    </row>
    <row r="51" spans="2:11" x14ac:dyDescent="0.25">
      <c r="B51" s="31" t="s">
        <v>161</v>
      </c>
      <c r="C51" s="31"/>
      <c r="D51" s="31"/>
      <c r="E51" s="31"/>
      <c r="F51" s="31"/>
      <c r="G51" s="31"/>
      <c r="H51" s="31"/>
      <c r="I51" s="31"/>
      <c r="J51" s="31"/>
      <c r="K51" s="31"/>
    </row>
    <row r="52" spans="2:11" ht="32" customHeight="1" x14ac:dyDescent="0.25">
      <c r="B52" s="54" t="s">
        <v>122</v>
      </c>
      <c r="C52" s="32" t="s">
        <v>123</v>
      </c>
      <c r="D52" s="32" t="s">
        <v>128</v>
      </c>
      <c r="E52" s="32" t="s">
        <v>131</v>
      </c>
      <c r="F52" s="32" t="s">
        <v>162</v>
      </c>
      <c r="G52" s="32" t="s">
        <v>132</v>
      </c>
      <c r="H52" s="32" t="s">
        <v>133</v>
      </c>
      <c r="I52" s="32" t="s">
        <v>134</v>
      </c>
      <c r="J52" s="32" t="s">
        <v>135</v>
      </c>
      <c r="K52" s="32" t="s">
        <v>163</v>
      </c>
    </row>
    <row r="53" spans="2:11" x14ac:dyDescent="0.25">
      <c r="B53" s="55">
        <f>IF($B$54="","",IFERROR(LARGE(tblLog[View date],COUNTIF(tblLog[View date],"&gt;="&amp;$B$54)+1),""))</f>
        <v>46279</v>
      </c>
      <c r="C53" s="36">
        <f>IF($B$53="","",SUMIFS(tblLog[Plan (units)],tblLog[View date],$B$53))</f>
        <v>83100</v>
      </c>
      <c r="D53" s="36">
        <f>IF($B$53="","",SUMIFS(tblLog[Good (units)],tblLog[View date],$B$53))</f>
        <v>80175</v>
      </c>
      <c r="E53" s="36">
        <f>IF($B$53="","",SUMIFS(tblLog[Scrap (units)],tblLog[View date],$B$53))</f>
        <v>817</v>
      </c>
      <c r="F53" s="38">
        <f>IF($B$53="","",SUMIFS(tblLog[Downtime (min)],tblLog[View date],$B$53)/60)</f>
        <v>3.08333333333333</v>
      </c>
      <c r="G53" s="37">
        <f>IF($B$53="","",IF((SUMIFS(tblLog[Plan (units)],tblLog[View date],$B$53))=0,"",(SUMIFS(tblLog[Good (units)],tblLog[View date],$B$53))/(SUMIFS(tblLog[Plan (units)],tblLog[View date],$B$53))))</f>
        <v>0.964801444043321</v>
      </c>
      <c r="H53" s="37">
        <f>IF($B$53="","",IF((SUMIFS(tblLog[Capacity (units)],tblLog[View date],$B$53))=0,"",(SUMIFS(tblLog[Good (units)],tblLog[View date],$B$53))/(SUMIFS(tblLog[Capacity (units)],tblLog[View date],$B$53))))</f>
        <v>0.848412698412698</v>
      </c>
      <c r="I53" s="37">
        <f>IF($B$53="","",IF((SUMIFS(tblLog[Made (units)],tblLog[View date],$B$53))=0,"",(SUMIFS(tblLog[Good (units)],tblLog[View date],$B$53))/(SUMIFS(tblLog[Made (units)],tblLog[View date],$B$53))))</f>
        <v>0.98991258395891</v>
      </c>
      <c r="J53" s="38">
        <f>IF($B$53="","",IF((SUMIFS(tblLog[Labour (h)],tblLog[View date],$B$53))=0,"",(SUMIFS(tblLog[Good (units)],tblLog[View date],$B$53))/(SUMIFS(tblLog[Labour (h)],tblLog[View date],$B$53))))</f>
        <v>371.180555555556</v>
      </c>
      <c r="K53" s="56">
        <f>TargetAttain</f>
        <v>0.95</v>
      </c>
    </row>
    <row r="54" spans="2:11" x14ac:dyDescent="0.25">
      <c r="B54" s="55">
        <f>IF($B$55="","",IFERROR(LARGE(tblLog[View date],COUNTIF(tblLog[View date],"&gt;="&amp;$B$55)+1),""))</f>
        <v>46280</v>
      </c>
      <c r="C54" s="36">
        <f>IF($B$54="","",SUMIFS(tblLog[Plan (units)],tblLog[View date],$B$54))</f>
        <v>75200</v>
      </c>
      <c r="D54" s="36">
        <f>IF($B$54="","",SUMIFS(tblLog[Good (units)],tblLog[View date],$B$54))</f>
        <v>71601</v>
      </c>
      <c r="E54" s="36">
        <f>IF($B$54="","",SUMIFS(tblLog[Scrap (units)],tblLog[View date],$B$54))</f>
        <v>848</v>
      </c>
      <c r="F54" s="38">
        <f>IF($B$54="","",SUMIFS(tblLog[Downtime (min)],tblLog[View date],$B$54)/60)</f>
        <v>2.5</v>
      </c>
      <c r="G54" s="37">
        <f>IF($B$54="","",IF((SUMIFS(tblLog[Plan (units)],tblLog[View date],$B$54))=0,"",(SUMIFS(tblLog[Good (units)],tblLog[View date],$B$54))/(SUMIFS(tblLog[Plan (units)],tblLog[View date],$B$54))))</f>
        <v>0.952140957446809</v>
      </c>
      <c r="H54" s="37">
        <f>IF($B$54="","",IF((SUMIFS(tblLog[Capacity (units)],tblLog[View date],$B$54))=0,"",(SUMIFS(tblLog[Good (units)],tblLog[View date],$B$54))/(SUMIFS(tblLog[Capacity (units)],tblLog[View date],$B$54))))</f>
        <v>0.837438596491228</v>
      </c>
      <c r="I54" s="37">
        <f>IF($B$54="","",IF((SUMIFS(tblLog[Made (units)],tblLog[View date],$B$54))=0,"",(SUMIFS(tblLog[Good (units)],tblLog[View date],$B$54))/(SUMIFS(tblLog[Made (units)],tblLog[View date],$B$54))))</f>
        <v>0.988295214564728</v>
      </c>
      <c r="J54" s="38">
        <f>IF($B$54="","",IF((SUMIFS(tblLog[Labour (h)],tblLog[View date],$B$54))=0,"",(SUMIFS(tblLog[Good (units)],tblLog[View date],$B$54))/(SUMIFS(tblLog[Labour (h)],tblLog[View date],$B$54))))</f>
        <v>319.647321428571</v>
      </c>
      <c r="K54" s="56">
        <f>TargetAttain</f>
        <v>0.95</v>
      </c>
    </row>
    <row r="55" spans="2:11" x14ac:dyDescent="0.25">
      <c r="B55" s="55">
        <f>IF($B$56="","",IFERROR(LARGE(tblLog[View date],COUNTIF(tblLog[View date],"&gt;="&amp;$B$56)+1),""))</f>
        <v>46281</v>
      </c>
      <c r="C55" s="36">
        <f>IF($B$55="","",SUMIFS(tblLog[Plan (units)],tblLog[View date],$B$55))</f>
        <v>79200</v>
      </c>
      <c r="D55" s="36">
        <f>IF($B$55="","",SUMIFS(tblLog[Good (units)],tblLog[View date],$B$55))</f>
        <v>75179</v>
      </c>
      <c r="E55" s="36">
        <f>IF($B$55="","",SUMIFS(tblLog[Scrap (units)],tblLog[View date],$B$55))</f>
        <v>994</v>
      </c>
      <c r="F55" s="38">
        <f>IF($B$55="","",SUMIFS(tblLog[Downtime (min)],tblLog[View date],$B$55)/60)</f>
        <v>3.5</v>
      </c>
      <c r="G55" s="37">
        <f>IF($B$55="","",IF((SUMIFS(tblLog[Plan (units)],tblLog[View date],$B$55))=0,"",(SUMIFS(tblLog[Good (units)],tblLog[View date],$B$55))/(SUMIFS(tblLog[Plan (units)],tblLog[View date],$B$55))))</f>
        <v>0.949229797979798</v>
      </c>
      <c r="H55" s="37">
        <f>IF($B$55="","",IF((SUMIFS(tblLog[Capacity (units)],tblLog[View date],$B$55))=0,"",(SUMIFS(tblLog[Good (units)],tblLog[View date],$B$55))/(SUMIFS(tblLog[Capacity (units)],tblLog[View date],$B$55))))</f>
        <v>0.835322222222222</v>
      </c>
      <c r="I55" s="37">
        <f>IF($B$55="","",IF((SUMIFS(tblLog[Made (units)],tblLog[View date],$B$55))=0,"",(SUMIFS(tblLog[Good (units)],tblLog[View date],$B$55))/(SUMIFS(tblLog[Made (units)],tblLog[View date],$B$55))))</f>
        <v>0.986950756829848</v>
      </c>
      <c r="J55" s="38">
        <f>IF($B$55="","",IF((SUMIFS(tblLog[Labour (h)],tblLog[View date],$B$55))=0,"",(SUMIFS(tblLog[Good (units)],tblLog[View date],$B$55))/(SUMIFS(tblLog[Labour (h)],tblLog[View date],$B$55))))</f>
        <v>348.050925925926</v>
      </c>
      <c r="K55" s="56">
        <f>TargetAttain</f>
        <v>0.95</v>
      </c>
    </row>
    <row r="56" spans="2:11" x14ac:dyDescent="0.25">
      <c r="B56" s="55">
        <f>IF($B$57="","",IFERROR(LARGE(tblLog[View date],COUNTIF(tblLog[View date],"&gt;="&amp;$B$57)+1),""))</f>
        <v>46282</v>
      </c>
      <c r="C56" s="36">
        <f>IF($B$56="","",SUMIFS(tblLog[Plan (units)],tblLog[View date],$B$56))</f>
        <v>75100</v>
      </c>
      <c r="D56" s="36">
        <f>IF($B$56="","",SUMIFS(tblLog[Good (units)],tblLog[View date],$B$56))</f>
        <v>68322</v>
      </c>
      <c r="E56" s="36">
        <f>IF($B$56="","",SUMIFS(tblLog[Scrap (units)],tblLog[View date],$B$56))</f>
        <v>979</v>
      </c>
      <c r="F56" s="38">
        <f>IF($B$56="","",SUMIFS(tblLog[Downtime (min)],tblLog[View date],$B$56)/60)</f>
        <v>4.66666666666667</v>
      </c>
      <c r="G56" s="37">
        <f>IF($B$56="","",IF((SUMIFS(tblLog[Plan (units)],tblLog[View date],$B$56))=0,"",(SUMIFS(tblLog[Good (units)],tblLog[View date],$B$56))/(SUMIFS(tblLog[Plan (units)],tblLog[View date],$B$56))))</f>
        <v>0.909747003994674</v>
      </c>
      <c r="H56" s="37">
        <f>IF($B$56="","",IF((SUMIFS(tblLog[Capacity (units)],tblLog[View date],$B$56))=0,"",(SUMIFS(tblLog[Good (units)],tblLog[View date],$B$56))/(SUMIFS(tblLog[Capacity (units)],tblLog[View date],$B$56))))</f>
        <v>0.799087719298246</v>
      </c>
      <c r="I56" s="37">
        <f>IF($B$56="","",IF((SUMIFS(tblLog[Made (units)],tblLog[View date],$B$56))=0,"",(SUMIFS(tblLog[Good (units)],tblLog[View date],$B$56))/(SUMIFS(tblLog[Made (units)],tblLog[View date],$B$56))))</f>
        <v>0.985873219722659</v>
      </c>
      <c r="J56" s="38">
        <f>IF($B$56="","",IF((SUMIFS(tblLog[Labour (h)],tblLog[View date],$B$56))=0,"",(SUMIFS(tblLog[Good (units)],tblLog[View date],$B$56))/(SUMIFS(tblLog[Labour (h)],tblLog[View date],$B$56))))</f>
        <v>305.008928571429</v>
      </c>
      <c r="K56" s="56">
        <f>TargetAttain</f>
        <v>0.95</v>
      </c>
    </row>
    <row r="57" spans="2:11" x14ac:dyDescent="0.25">
      <c r="B57" s="55">
        <f>IF($B$58="","",IFERROR(LARGE(tblLog[View date],COUNTIF(tblLog[View date],"&gt;="&amp;$B$58)+1),""))</f>
        <v>46283</v>
      </c>
      <c r="C57" s="36">
        <f>IF($B$57="","",SUMIFS(tblLog[Plan (units)],tblLog[View date],$B$57))</f>
        <v>79000</v>
      </c>
      <c r="D57" s="36">
        <f>IF($B$57="","",SUMIFS(tblLog[Good (units)],tblLog[View date],$B$57))</f>
        <v>76549</v>
      </c>
      <c r="E57" s="36">
        <f>IF($B$57="","",SUMIFS(tblLog[Scrap (units)],tblLog[View date],$B$57))</f>
        <v>808</v>
      </c>
      <c r="F57" s="38">
        <f>IF($B$57="","",SUMIFS(tblLog[Downtime (min)],tblLog[View date],$B$57)/60)</f>
        <v>2.25</v>
      </c>
      <c r="G57" s="37">
        <f>IF($B$57="","",IF((SUMIFS(tblLog[Plan (units)],tblLog[View date],$B$57))=0,"",(SUMIFS(tblLog[Good (units)],tblLog[View date],$B$57))/(SUMIFS(tblLog[Plan (units)],tblLog[View date],$B$57))))</f>
        <v>0.968974683544304</v>
      </c>
      <c r="H57" s="37">
        <f>IF($B$57="","",IF((SUMIFS(tblLog[Capacity (units)],tblLog[View date],$B$57))=0,"",(SUMIFS(tblLog[Good (units)],tblLog[View date],$B$57))/(SUMIFS(tblLog[Capacity (units)],tblLog[View date],$B$57))))</f>
        <v>0.850544444444444</v>
      </c>
      <c r="I57" s="37">
        <f>IF($B$57="","",IF((SUMIFS(tblLog[Made (units)],tblLog[View date],$B$57))=0,"",(SUMIFS(tblLog[Good (units)],tblLog[View date],$B$57))/(SUMIFS(tblLog[Made (units)],tblLog[View date],$B$57))))</f>
        <v>0.989554920692374</v>
      </c>
      <c r="J57" s="38">
        <f>IF($B$57="","",IF((SUMIFS(tblLog[Labour (h)],tblLog[View date],$B$57))=0,"",(SUMIFS(tblLog[Good (units)],tblLog[View date],$B$57))/(SUMIFS(tblLog[Labour (h)],tblLog[View date],$B$57))))</f>
        <v>341.736607142857</v>
      </c>
      <c r="K57" s="56">
        <f>TargetAttain</f>
        <v>0.95</v>
      </c>
    </row>
    <row r="58" spans="2:11" x14ac:dyDescent="0.25">
      <c r="B58" s="55">
        <f>IF($B$59="","",IFERROR(LARGE(tblLog[View date],COUNTIF(tblLog[View date],"&gt;="&amp;$B$59)+1),""))</f>
        <v>46286</v>
      </c>
      <c r="C58" s="36">
        <f>IF($B$58="","",SUMIFS(tblLog[Plan (units)],tblLog[View date],$B$58))</f>
        <v>75100</v>
      </c>
      <c r="D58" s="36">
        <f>IF($B$58="","",SUMIFS(tblLog[Good (units)],tblLog[View date],$B$58))</f>
        <v>71954</v>
      </c>
      <c r="E58" s="36">
        <f>IF($B$58="","",SUMIFS(tblLog[Scrap (units)],tblLog[View date],$B$58))</f>
        <v>903</v>
      </c>
      <c r="F58" s="38">
        <f>IF($B$58="","",SUMIFS(tblLog[Downtime (min)],tblLog[View date],$B$58)/60)</f>
        <v>3.08333333333333</v>
      </c>
      <c r="G58" s="37">
        <f>IF($B$58="","",IF((SUMIFS(tblLog[Plan (units)],tblLog[View date],$B$58))=0,"",(SUMIFS(tblLog[Good (units)],tblLog[View date],$B$58))/(SUMIFS(tblLog[Plan (units)],tblLog[View date],$B$58))))</f>
        <v>0.958109187749667</v>
      </c>
      <c r="H58" s="37">
        <f>IF($B$58="","",IF((SUMIFS(tblLog[Capacity (units)],tblLog[View date],$B$58))=0,"",(SUMIFS(tblLog[Good (units)],tblLog[View date],$B$58))/(SUMIFS(tblLog[Capacity (units)],tblLog[View date],$B$58))))</f>
        <v>0.841567251461988</v>
      </c>
      <c r="I58" s="37">
        <f>IF($B$58="","",IF((SUMIFS(tblLog[Made (units)],tblLog[View date],$B$58))=0,"",(SUMIFS(tblLog[Good (units)],tblLog[View date],$B$58))/(SUMIFS(tblLog[Made (units)],tblLog[View date],$B$58))))</f>
        <v>0.987605858050702</v>
      </c>
      <c r="J58" s="38">
        <f>IF($B$58="","",IF((SUMIFS(tblLog[Labour (h)],tblLog[View date],$B$58))=0,"",(SUMIFS(tblLog[Good (units)],tblLog[View date],$B$58))/(SUMIFS(tblLog[Labour (h)],tblLog[View date],$B$58))))</f>
        <v>321.223214285714</v>
      </c>
      <c r="K58" s="56">
        <f>TargetAttain</f>
        <v>0.95</v>
      </c>
    </row>
    <row r="59" spans="2:11" x14ac:dyDescent="0.25">
      <c r="B59" s="55">
        <f>IF($B$60="","",IFERROR(LARGE(tblLog[View date],COUNTIF(tblLog[View date],"&gt;="&amp;$B$60)+1),""))</f>
        <v>46287</v>
      </c>
      <c r="C59" s="36">
        <f>IF($B$59="","",SUMIFS(tblLog[Plan (units)],tblLog[View date],$B$59))</f>
        <v>71200</v>
      </c>
      <c r="D59" s="36">
        <f>IF($B$59="","",SUMIFS(tblLog[Good (units)],tblLog[View date],$B$59))</f>
        <v>69500</v>
      </c>
      <c r="E59" s="36">
        <f>IF($B$59="","",SUMIFS(tblLog[Scrap (units)],tblLog[View date],$B$59))</f>
        <v>1075</v>
      </c>
      <c r="F59" s="38">
        <f>IF($B$59="","",SUMIFS(tblLog[Downtime (min)],tblLog[View date],$B$59)/60)</f>
        <v>1.08333333333333</v>
      </c>
      <c r="G59" s="37">
        <f>IF($B$59="","",IF((SUMIFS(tblLog[Plan (units)],tblLog[View date],$B$59))=0,"",(SUMIFS(tblLog[Good (units)],tblLog[View date],$B$59))/(SUMIFS(tblLog[Plan (units)],tblLog[View date],$B$59))))</f>
        <v>0.976123595505618</v>
      </c>
      <c r="H59" s="37">
        <f>IF($B$59="","",IF((SUMIFS(tblLog[Capacity (units)],tblLog[View date],$B$59))=0,"",(SUMIFS(tblLog[Good (units)],tblLog[View date],$B$59))/(SUMIFS(tblLog[Capacity (units)],tblLog[View date],$B$59))))</f>
        <v>0.858024691358025</v>
      </c>
      <c r="I59" s="37">
        <f>IF($B$59="","",IF((SUMIFS(tblLog[Made (units)],tblLog[View date],$B$59))=0,"",(SUMIFS(tblLog[Good (units)],tblLog[View date],$B$59))/(SUMIFS(tblLog[Made (units)],tblLog[View date],$B$59))))</f>
        <v>0.984767977329083</v>
      </c>
      <c r="J59" s="38">
        <f>IF($B$59="","",IF((SUMIFS(tblLog[Labour (h)],tblLog[View date],$B$59))=0,"",(SUMIFS(tblLog[Good (units)],tblLog[View date],$B$59))/(SUMIFS(tblLog[Labour (h)],tblLog[View date],$B$59))))</f>
        <v>321.759259259259</v>
      </c>
      <c r="K59" s="56">
        <f>TargetAttain</f>
        <v>0.95</v>
      </c>
    </row>
    <row r="60" spans="2:11" x14ac:dyDescent="0.25">
      <c r="B60" s="55">
        <f>IF($B$61="","",IFERROR(LARGE(tblLog[View date],COUNTIF(tblLog[View date],"&gt;="&amp;$B$61)+1),""))</f>
        <v>46288</v>
      </c>
      <c r="C60" s="36">
        <f>IF($B$60="","",SUMIFS(tblLog[Plan (units)],tblLog[View date],$B$60))</f>
        <v>79200</v>
      </c>
      <c r="D60" s="36">
        <f>IF($B$60="","",SUMIFS(tblLog[Good (units)],tblLog[View date],$B$60))</f>
        <v>74697</v>
      </c>
      <c r="E60" s="36">
        <f>IF($B$60="","",SUMIFS(tblLog[Scrap (units)],tblLog[View date],$B$60))</f>
        <v>956</v>
      </c>
      <c r="F60" s="38">
        <f>IF($B$60="","",SUMIFS(tblLog[Downtime (min)],tblLog[View date],$B$60)/60)</f>
        <v>3.08333333333333</v>
      </c>
      <c r="G60" s="37">
        <f>IF($B$60="","",IF((SUMIFS(tblLog[Plan (units)],tblLog[View date],$B$60))=0,"",(SUMIFS(tblLog[Good (units)],tblLog[View date],$B$60))/(SUMIFS(tblLog[Plan (units)],tblLog[View date],$B$60))))</f>
        <v>0.943143939393939</v>
      </c>
      <c r="H60" s="37">
        <f>IF($B$60="","",IF((SUMIFS(tblLog[Capacity (units)],tblLog[View date],$B$60))=0,"",(SUMIFS(tblLog[Good (units)],tblLog[View date],$B$60))/(SUMIFS(tblLog[Capacity (units)],tblLog[View date],$B$60))))</f>
        <v>0.829966666666667</v>
      </c>
      <c r="I60" s="37">
        <f>IF($B$60="","",IF((SUMIFS(tblLog[Made (units)],tblLog[View date],$B$60))=0,"",(SUMIFS(tblLog[Good (units)],tblLog[View date],$B$60))/(SUMIFS(tblLog[Made (units)],tblLog[View date],$B$60))))</f>
        <v>0.987363356377143</v>
      </c>
      <c r="J60" s="38">
        <f>IF($B$60="","",IF((SUMIFS(tblLog[Labour (h)],tblLog[View date],$B$60))=0,"",(SUMIFS(tblLog[Good (units)],tblLog[View date],$B$60))/(SUMIFS(tblLog[Labour (h)],tblLog[View date],$B$60))))</f>
        <v>345.819444444444</v>
      </c>
      <c r="K60" s="56">
        <f>TargetAttain</f>
        <v>0.95</v>
      </c>
    </row>
    <row r="61" spans="2:11" x14ac:dyDescent="0.25">
      <c r="B61" s="55">
        <f>IF($B$62="","",IFERROR(LARGE(tblLog[View date],COUNTIF(tblLog[View date],"&gt;="&amp;$B$62)+1),""))</f>
        <v>46289</v>
      </c>
      <c r="C61" s="36">
        <f>IF($B$61="","",SUMIFS(tblLog[Plan (units)],tblLog[View date],$B$61))</f>
        <v>83000</v>
      </c>
      <c r="D61" s="36">
        <f>IF($B$61="","",SUMIFS(tblLog[Good (units)],tblLog[View date],$B$61))</f>
        <v>77920</v>
      </c>
      <c r="E61" s="36">
        <f>IF($B$61="","",SUMIFS(tblLog[Scrap (units)],tblLog[View date],$B$61))</f>
        <v>1034</v>
      </c>
      <c r="F61" s="38">
        <f>IF($B$61="","",SUMIFS(tblLog[Downtime (min)],tblLog[View date],$B$61)/60)</f>
        <v>3.58333333333333</v>
      </c>
      <c r="G61" s="37">
        <f>IF($B$61="","",IF((SUMIFS(tblLog[Plan (units)],tblLog[View date],$B$61))=0,"",(SUMIFS(tblLog[Good (units)],tblLog[View date],$B$61))/(SUMIFS(tblLog[Plan (units)],tblLog[View date],$B$61))))</f>
        <v>0.938795180722892</v>
      </c>
      <c r="H61" s="37">
        <f>IF($B$61="","",IF((SUMIFS(tblLog[Capacity (units)],tblLog[View date],$B$61))=0,"",(SUMIFS(tblLog[Good (units)],tblLog[View date],$B$61))/(SUMIFS(tblLog[Capacity (units)],tblLog[View date],$B$61))))</f>
        <v>0.824550264550265</v>
      </c>
      <c r="I61" s="37">
        <f>IF($B$61="","",IF((SUMIFS(tblLog[Made (units)],tblLog[View date],$B$61))=0,"",(SUMIFS(tblLog[Good (units)],tblLog[View date],$B$61))/(SUMIFS(tblLog[Made (units)],tblLog[View date],$B$61))))</f>
        <v>0.98690376675026</v>
      </c>
      <c r="J61" s="38">
        <f>IF($B$61="","",IF((SUMIFS(tblLog[Labour (h)],tblLog[View date],$B$61))=0,"",(SUMIFS(tblLog[Good (units)],tblLog[View date],$B$61))/(SUMIFS(tblLog[Labour (h)],tblLog[View date],$B$61))))</f>
        <v>360.740740740741</v>
      </c>
      <c r="K61" s="56">
        <f>TargetAttain</f>
        <v>0.95</v>
      </c>
    </row>
    <row r="62" spans="2:11" x14ac:dyDescent="0.25">
      <c r="B62" s="55">
        <f>IF(COUNT(tblLog[View date])=0,"",MAX(tblLog[View date]))</f>
        <v>46290</v>
      </c>
      <c r="C62" s="36">
        <f>IF($B$62="","",SUMIFS(tblLog[Plan (units)],tblLog[View date],$B$62))</f>
        <v>83000</v>
      </c>
      <c r="D62" s="36">
        <f>IF($B$62="","",SUMIFS(tblLog[Good (units)],tblLog[View date],$B$62))</f>
        <v>76892</v>
      </c>
      <c r="E62" s="36">
        <f>IF($B$62="","",SUMIFS(tblLog[Scrap (units)],tblLog[View date],$B$62))</f>
        <v>899</v>
      </c>
      <c r="F62" s="38">
        <f>IF($B$62="","",SUMIFS(tblLog[Downtime (min)],tblLog[View date],$B$62)/60)</f>
        <v>3.75</v>
      </c>
      <c r="G62" s="37">
        <f>IF($B$62="","",IF((SUMIFS(tblLog[Plan (units)],tblLog[View date],$B$62))=0,"",(SUMIFS(tblLog[Good (units)],tblLog[View date],$B$62))/(SUMIFS(tblLog[Plan (units)],tblLog[View date],$B$62))))</f>
        <v>0.926409638554217</v>
      </c>
      <c r="H62" s="37">
        <f>IF($B$62="","",IF((SUMIFS(tblLog[Capacity (units)],tblLog[View date],$B$62))=0,"",(SUMIFS(tblLog[Good (units)],tblLog[View date],$B$62))/(SUMIFS(tblLog[Capacity (units)],tblLog[View date],$B$62))))</f>
        <v>0.813671957671958</v>
      </c>
      <c r="I62" s="37">
        <f>IF($B$62="","",IF((SUMIFS(tblLog[Made (units)],tblLog[View date],$B$62))=0,"",(SUMIFS(tblLog[Good (units)],tblLog[View date],$B$62))/(SUMIFS(tblLog[Made (units)],tblLog[View date],$B$62))))</f>
        <v>0.988443393194586</v>
      </c>
      <c r="J62" s="38">
        <f>IF($B$62="","",IF((SUMIFS(tblLog[Labour (h)],tblLog[View date],$B$62))=0,"",(SUMIFS(tblLog[Good (units)],tblLog[View date],$B$62))/(SUMIFS(tblLog[Labour (h)],tblLog[View date],$B$62))))</f>
        <v>343.267857142857</v>
      </c>
      <c r="K62" s="56">
        <f>TargetAttain</f>
        <v>0.95</v>
      </c>
    </row>
    <row r="64" spans="2:11" x14ac:dyDescent="0.25">
      <c r="B64" s="31" t="s">
        <v>164</v>
      </c>
      <c r="C64" s="31"/>
      <c r="D64" s="31"/>
      <c r="E64" s="31"/>
      <c r="F64" s="31"/>
      <c r="G64" s="31"/>
      <c r="H64" s="31"/>
      <c r="I64" s="31"/>
      <c r="J64" s="31"/>
      <c r="K64" s="31"/>
    </row>
    <row r="65" spans="2:43" ht="32" customHeight="1" x14ac:dyDescent="0.25">
      <c r="B65" s="54" t="s">
        <v>60</v>
      </c>
      <c r="C65" s="32" t="s">
        <v>123</v>
      </c>
      <c r="D65" s="32" t="s">
        <v>128</v>
      </c>
      <c r="E65" s="32" t="s">
        <v>131</v>
      </c>
      <c r="F65" s="32" t="s">
        <v>162</v>
      </c>
      <c r="G65" s="32" t="s">
        <v>132</v>
      </c>
      <c r="H65" s="32" t="s">
        <v>133</v>
      </c>
      <c r="I65" s="32" t="s">
        <v>134</v>
      </c>
      <c r="J65" s="32" t="s">
        <v>135</v>
      </c>
      <c r="K65" s="32" t="s">
        <v>163</v>
      </c>
    </row>
    <row r="66" spans="2:43" x14ac:dyDescent="0.25">
      <c r="B66" s="57" t="str">
        <f>IFERROR(INDEX(tblLines[Line],1)&amp;"","")</f>
        <v>L1</v>
      </c>
      <c r="C66" s="36">
        <f>IF($B$66="","",SUMIFS(tblLog[Plan (units)],tblLog[Line],$B$66,tblLog[View date],"&gt;0"))</f>
        <v>273100</v>
      </c>
      <c r="D66" s="36">
        <f>IF($B$66="","",SUMIFS(tblLog[Good (units)],tblLog[Line],$B$66,tblLog[View date],"&gt;0"))</f>
        <v>272656</v>
      </c>
      <c r="E66" s="36">
        <f>IF($B$66="","",SUMIFS(tblLog[Scrap (units)],tblLog[Line],$B$66,tblLog[View date],"&gt;0"))</f>
        <v>2743</v>
      </c>
      <c r="F66" s="38">
        <f>IF($B$66="","",SUMIFS(tblLog[Downtime (min)],tblLog[Line],$B$66,tblLog[View date],"&gt;0")/60)</f>
        <v>7.16666666666667</v>
      </c>
      <c r="G66" s="37">
        <f>IF($B$66="","",IF((SUMIFS(tblLog[Plan (units)],tblLog[Line],$B$66,tblLog[View date],"&gt;0"))=0,"",(SUMIFS(tblLog[Good (units)],tblLog[Line],$B$66,tblLog[View date],"&gt;0"))/(SUMIFS(tblLog[Plan (units)],tblLog[Line],$B$66,tblLog[View date],"&gt;0"))))</f>
        <v>0.998374221896741</v>
      </c>
      <c r="H66" s="37">
        <f>IF($B$66="","",IF((SUMIFS(tblLog[Capacity (units)],tblLog[Line],$B$66,tblLog[View date],"&gt;0"))=0,"",(SUMIFS(tblLog[Good (units)],tblLog[Line],$B$66,tblLog[View date],"&gt;0"))/(SUMIFS(tblLog[Capacity (units)],tblLog[Line],$B$66,tblLog[View date],"&gt;0"))))</f>
        <v>0.878119162640902</v>
      </c>
      <c r="I66" s="37">
        <f>IF($B$66="","",IF((SUMIFS(tblLog[Made (units)],tblLog[Line],$B$66,tblLog[View date],"&gt;0"))=0,"",(SUMIFS(tblLog[Good (units)],tblLog[Line],$B$66,tblLog[View date],"&gt;0"))/(SUMIFS(tblLog[Made (units)],tblLog[Line],$B$66,tblLog[View date],"&gt;0"))))</f>
        <v>0.990039905736767</v>
      </c>
      <c r="J66" s="38">
        <f>IF($B$66="","",IF((SUMIFS(tblLog[Labour (h)],tblLog[Line],$B$66,tblLog[View date],"&gt;0"))=0,"",(SUMIFS(tblLog[Good (units)],tblLog[Line],$B$66,tblLog[View date],"&gt;0"))/(SUMIFS(tblLog[Labour (h)],tblLog[Line],$B$66,tblLog[View date],"&gt;0"))))</f>
        <v>347.775510204082</v>
      </c>
      <c r="K66" s="56">
        <f>TargetAttain</f>
        <v>0.95</v>
      </c>
    </row>
    <row r="67" spans="2:43" x14ac:dyDescent="0.25">
      <c r="B67" s="57" t="str">
        <f>IFERROR(INDEX(tblLines[Line],2)&amp;"","")</f>
        <v>L2</v>
      </c>
      <c r="C67" s="36">
        <f>IF($B$67="","",SUMIFS(tblLog[Plan (units)],tblLog[Line],$B$67,tblLog[View date],"&gt;0"))</f>
        <v>352000</v>
      </c>
      <c r="D67" s="36">
        <f>IF($B$67="","",SUMIFS(tblLog[Good (units)],tblLog[Line],$B$67,tblLog[View date],"&gt;0"))</f>
        <v>310303</v>
      </c>
      <c r="E67" s="36">
        <f>IF($B$67="","",SUMIFS(tblLog[Scrap (units)],tblLog[Line],$B$67,tblLog[View date],"&gt;0"))</f>
        <v>4945</v>
      </c>
      <c r="F67" s="38">
        <f>IF($B$67="","",SUMIFS(tblLog[Downtime (min)],tblLog[Line],$B$67,tblLog[View date],"&gt;0")/60)</f>
        <v>18.4166666666667</v>
      </c>
      <c r="G67" s="37">
        <f>IF($B$67="","",IF((SUMIFS(tblLog[Plan (units)],tblLog[Line],$B$67,tblLog[View date],"&gt;0"))=0,"",(SUMIFS(tblLog[Good (units)],tblLog[Line],$B$67,tblLog[View date],"&gt;0"))/(SUMIFS(tblLog[Plan (units)],tblLog[Line],$B$67,tblLog[View date],"&gt;0"))))</f>
        <v>0.881542613636364</v>
      </c>
      <c r="H67" s="37">
        <f>IF($B$67="","",IF((SUMIFS(tblLog[Capacity (units)],tblLog[Line],$B$67,tblLog[View date],"&gt;0"))=0,"",(SUMIFS(tblLog[Good (units)],tblLog[Line],$B$67,tblLog[View date],"&gt;0"))/(SUMIFS(tblLog[Capacity (units)],tblLog[Line],$B$67,tblLog[View date],"&gt;0"))))</f>
        <v>0.774789013732834</v>
      </c>
      <c r="I67" s="37">
        <f>IF($B$67="","",IF((SUMIFS(tblLog[Made (units)],tblLog[Line],$B$67,tblLog[View date],"&gt;0"))=0,"",(SUMIFS(tblLog[Good (units)],tblLog[Line],$B$67,tblLog[View date],"&gt;0"))/(SUMIFS(tblLog[Made (units)],tblLog[Line],$B$67,tblLog[View date],"&gt;0"))))</f>
        <v>0.984313936963914</v>
      </c>
      <c r="J67" s="38">
        <f>IF($B$67="","",IF((SUMIFS(tblLog[Labour (h)],tblLog[Line],$B$67,tblLog[View date],"&gt;0"))=0,"",(SUMIFS(tblLog[Good (units)],tblLog[Line],$B$67,tblLog[View date],"&gt;0"))/(SUMIFS(tblLog[Labour (h)],tblLog[Line],$B$67,tblLog[View date],"&gt;0"))))</f>
        <v>391.796717171717</v>
      </c>
      <c r="K67" s="56">
        <f>TargetAttain</f>
        <v>0.95</v>
      </c>
    </row>
    <row r="68" spans="2:43" x14ac:dyDescent="0.25">
      <c r="B68" s="57" t="str">
        <f>IFERROR(INDEX(tblLines[Line],3)&amp;"","")</f>
        <v>L3</v>
      </c>
      <c r="C68" s="36">
        <f>IF($B$68="","",SUMIFS(tblLog[Plan (units)],tblLog[Line],$B$68,tblLog[View date],"&gt;0"))</f>
        <v>158000</v>
      </c>
      <c r="D68" s="36">
        <f>IF($B$68="","",SUMIFS(tblLog[Good (units)],tblLog[Line],$B$68,tblLog[View date],"&gt;0"))</f>
        <v>159830</v>
      </c>
      <c r="E68" s="36">
        <f>IF($B$68="","",SUMIFS(tblLog[Scrap (units)],tblLog[Line],$B$68,tblLog[View date],"&gt;0"))</f>
        <v>1625</v>
      </c>
      <c r="F68" s="38">
        <f>IF($B$68="","",SUMIFS(tblLog[Downtime (min)],tblLog[Line],$B$68,tblLog[View date],"&gt;0")/60)</f>
        <v>5</v>
      </c>
      <c r="G68" s="37">
        <f>IF($B$68="","",IF((SUMIFS(tblLog[Plan (units)],tblLog[Line],$B$68,tblLog[View date],"&gt;0"))=0,"",(SUMIFS(tblLog[Good (units)],tblLog[Line],$B$68,tblLog[View date],"&gt;0"))/(SUMIFS(tblLog[Plan (units)],tblLog[Line],$B$68,tblLog[View date],"&gt;0"))))</f>
        <v>1.01158227848101</v>
      </c>
      <c r="H68" s="37">
        <f>IF($B$68="","",IF((SUMIFS(tblLog[Capacity (units)],tblLog[Line],$B$68,tblLog[View date],"&gt;0"))=0,"",(SUMIFS(tblLog[Good (units)],tblLog[Line],$B$68,tblLog[View date],"&gt;0"))/(SUMIFS(tblLog[Capacity (units)],tblLog[Line],$B$68,tblLog[View date],"&gt;0"))))</f>
        <v>0.887944444444444</v>
      </c>
      <c r="I68" s="37">
        <f>IF($B$68="","",IF((SUMIFS(tblLog[Made (units)],tblLog[Line],$B$68,tblLog[View date],"&gt;0"))=0,"",(SUMIFS(tblLog[Good (units)],tblLog[Line],$B$68,tblLog[View date],"&gt;0"))/(SUMIFS(tblLog[Made (units)],tblLog[Line],$B$68,tblLog[View date],"&gt;0"))))</f>
        <v>0.989935276083119</v>
      </c>
      <c r="J68" s="38">
        <f>IF($B$68="","",IF((SUMIFS(tblLog[Labour (h)],tblLog[Line],$B$68,tblLog[View date],"&gt;0"))=0,"",(SUMIFS(tblLog[Good (units)],tblLog[Line],$B$68,tblLog[View date],"&gt;0"))/(SUMIFS(tblLog[Labour (h)],tblLog[Line],$B$68,tblLog[View date],"&gt;0"))))</f>
        <v>256.137820512821</v>
      </c>
      <c r="K68" s="56">
        <f>TargetAttain</f>
        <v>0.95</v>
      </c>
    </row>
    <row r="70" spans="2:43" x14ac:dyDescent="0.25">
      <c r="B70" s="31" t="s">
        <v>165</v>
      </c>
      <c r="C70" s="31"/>
      <c r="D70" s="31"/>
      <c r="E70" s="31"/>
      <c r="F70" s="31"/>
      <c r="G70" s="31" t="s">
        <v>166</v>
      </c>
      <c r="H70" s="31"/>
      <c r="I70" s="31"/>
      <c r="J70" s="31"/>
      <c r="K70" s="31"/>
      <c r="L70" s="31"/>
    </row>
    <row r="71" spans="2:43" ht="20" customHeight="1" x14ac:dyDescent="0.25">
      <c r="B71" s="54" t="s">
        <v>63</v>
      </c>
      <c r="C71" s="32" t="s">
        <v>167</v>
      </c>
      <c r="D71" s="32" t="s">
        <v>168</v>
      </c>
      <c r="E71" s="32" t="s">
        <v>169</v>
      </c>
      <c r="F71" s="32" t="s">
        <v>170</v>
      </c>
      <c r="G71" s="32" t="s">
        <v>171</v>
      </c>
      <c r="H71" s="54" t="s">
        <v>172</v>
      </c>
      <c r="I71" s="54"/>
      <c r="J71" s="32" t="s">
        <v>173</v>
      </c>
      <c r="K71" s="32" t="s">
        <v>174</v>
      </c>
      <c r="L71" s="32" t="s">
        <v>175</v>
      </c>
      <c r="AO71" s="7" t="s">
        <v>176</v>
      </c>
      <c r="AP71" s="7" t="s">
        <v>177</v>
      </c>
      <c r="AQ71" s="7" t="s">
        <v>178</v>
      </c>
    </row>
    <row r="72" spans="2:43" x14ac:dyDescent="0.25">
      <c r="B72" s="57" t="str">
        <f>IFERROR(INDEX(tblShiftList[Shift],1)&amp;"","")</f>
        <v>Early</v>
      </c>
      <c r="C72" s="37">
        <f>IF($B$72="","",IF((SUMIFS(tblLog[Plan (units)],tblLog[Shift],$B$72,tblLog[View date],"&gt;0"))=0,"",(SUMIFS(tblLog[Good (units)],tblLog[Shift],$B$72,tblLog[View date],"&gt;0"))/(SUMIFS(tblLog[Plan (units)],tblLog[Shift],$B$72,tblLog[View date],"&gt;0"))))</f>
        <v>0.984493046776233</v>
      </c>
      <c r="D72" s="37">
        <f>IF($B$72="","",IF((SUMIFS(tblLog[Capacity (units)],tblLog[Shift],$B$72,tblLog[View date],"&gt;0"))=0,"",(SUMIFS(tblLog[Good (units)],tblLog[Shift],$B$72,tblLog[View date],"&gt;0"))/(SUMIFS(tblLog[Capacity (units)],tblLog[Shift],$B$72,tblLog[View date],"&gt;0"))))</f>
        <v>0.86526</v>
      </c>
      <c r="E72" s="37">
        <f>IF($B$72="","",IF((SUMIFS(tblLog[Made (units)],tblLog[Shift],$B$72,tblLog[View date],"&gt;0"))=0,"",(SUMIFS(tblLog[Good (units)],tblLog[Shift],$B$72,tblLog[View date],"&gt;0"))/(SUMIFS(tblLog[Made (units)],tblLog[Shift],$B$72,tblLog[View date],"&gt;0"))))</f>
        <v>0.987221322136778</v>
      </c>
      <c r="F72" s="38">
        <f>IF($B$72="","",IF((SUMIFS(tblLog[Labour (h)],tblLog[Shift],$B$72,tblLog[View date],"&gt;0"))=0,"",(SUMIFS(tblLog[Good (units)],tblLog[Shift],$B$72,tblLog[View date],"&gt;0"))/(SUMIFS(tblLog[Labour (h)],tblLog[Shift],$B$72,tblLog[View date],"&gt;0"))))</f>
        <v>352.6875</v>
      </c>
      <c r="G72" s="58"/>
      <c r="H72" s="58"/>
      <c r="I72" s="58"/>
      <c r="J72" s="58" t="s">
        <v>179</v>
      </c>
      <c r="K72" s="58" t="s">
        <v>180</v>
      </c>
      <c r="L72" s="58" t="s">
        <v>180</v>
      </c>
    </row>
    <row r="73" spans="2:43" x14ac:dyDescent="0.25">
      <c r="B73" s="57" t="str">
        <f>IFERROR(INDEX(tblShiftList[Shift],2)&amp;"","")</f>
        <v>Late</v>
      </c>
      <c r="C73" s="37">
        <f>IF($B$73="","",IF((SUMIFS(tblLog[Plan (units)],tblLog[Shift],$B$73,tblLog[View date],"&gt;0"))=0,"",(SUMIFS(tblLog[Good (units)],tblLog[Shift],$B$73,tblLog[View date],"&gt;0"))/(SUMIFS(tblLog[Plan (units)],tblLog[Shift],$B$73,tblLog[View date],"&gt;0"))))</f>
        <v>0.911821465428277</v>
      </c>
      <c r="D73" s="37">
        <f>IF($B$73="","",IF((SUMIFS(tblLog[Capacity (units)],tblLog[Shift],$B$73,tblLog[View date],"&gt;0"))=0,"",(SUMIFS(tblLog[Good (units)],tblLog[Shift],$B$73,tblLog[View date],"&gt;0"))/(SUMIFS(tblLog[Capacity (units)],tblLog[Shift],$B$73,tblLog[View date],"&gt;0"))))</f>
        <v>0.801410430839002</v>
      </c>
      <c r="E73" s="37">
        <f>IF($B$73="","",IF((SUMIFS(tblLog[Made (units)],tblLog[Shift],$B$73,tblLog[View date],"&gt;0"))=0,"",(SUMIFS(tblLog[Good (units)],tblLog[Shift],$B$73,tblLog[View date],"&gt;0"))/(SUMIFS(tblLog[Made (units)],tblLog[Shift],$B$73,tblLog[View date],"&gt;0"))))</f>
        <v>0.988054068410238</v>
      </c>
      <c r="F73" s="38">
        <f>IF($B$73="","",IF((SUMIFS(tblLog[Labour (h)],tblLog[Shift],$B$73,tblLog[View date],"&gt;0"))=0,"",(SUMIFS(tblLog[Good (units)],tblLog[Shift],$B$73,tblLog[View date],"&gt;0"))/(SUMIFS(tblLog[Labour (h)],tblLog[Shift],$B$73,tblLog[View date],"&gt;0"))))</f>
        <v>322.465328467153</v>
      </c>
      <c r="G73" s="59">
        <v>1</v>
      </c>
      <c r="H73" s="60" t="str">
        <f>IF(INDEX($AP$73:$AP$80,MATCH(1,$AQ$73:$AQ$80,0))&lt;0,"",INDEX($AO$73:$AO$80,MATCH(1,$AQ$73:$AQ$80,0)))</f>
        <v>Changeover</v>
      </c>
      <c r="I73" s="60"/>
      <c r="J73" s="36">
        <f>IF($H$73="","",INDEX($AP$73:$AP$80,MATCH(1,$AQ$73:$AQ$80,0)))</f>
        <v>635</v>
      </c>
      <c r="K73" s="37">
        <f>IF(OR($H$73="",$J$81=0),"",$J$73/$J$81)</f>
        <v>0.346049046321526</v>
      </c>
      <c r="L73" s="37">
        <f>IF(OR($H$73="",$J$81=0),"",SUM($J$73:$J$73)/$J$81)</f>
        <v>0.346049046321526</v>
      </c>
      <c r="AO73" s="11" t="str">
        <f>IFERROR(INDEX(tblReasons[Reason],1)&amp;"","")</f>
        <v>Changeover</v>
      </c>
      <c r="AP73" s="61">
        <f>IF($AO$73="",-1,SUMIFS(tblLog[Downtime (min)],tblLog[Main loss],$AO$73,tblLog[View date],"&gt;0"))</f>
        <v>635</v>
      </c>
      <c r="AQ73" s="61">
        <f>COUNTIF($AP$73:$AP$80,"&gt;"&amp;$AP$73)+COUNTIF($AP$73:$AP$73,$AP$73)</f>
        <v>1</v>
      </c>
    </row>
    <row r="74" spans="2:43" x14ac:dyDescent="0.25">
      <c r="G74" s="59">
        <v>2</v>
      </c>
      <c r="H74" s="60" t="str">
        <f>IF(INDEX($AP$73:$AP$80,MATCH(2,$AQ$73:$AQ$80,0))&lt;0,"",INDEX($AO$73:$AO$80,MATCH(2,$AQ$73:$AQ$80,0)))</f>
        <v>Capper jam</v>
      </c>
      <c r="I74" s="60"/>
      <c r="J74" s="36">
        <f>IF($H$74="","",INDEX($AP$73:$AP$80,MATCH(2,$AQ$73:$AQ$80,0)))</f>
        <v>485</v>
      </c>
      <c r="K74" s="37">
        <f>IF(OR($H$74="",$J$81=0),"",$J$74/$J$81)</f>
        <v>0.264305177111717</v>
      </c>
      <c r="L74" s="37">
        <f>IF(OR($H$74="",$J$81=0),"",SUM($J$73:$J$74)/$J$81)</f>
        <v>0.610354223433243</v>
      </c>
      <c r="AO74" s="11" t="str">
        <f>IFERROR(INDEX(tblReasons[Reason],2)&amp;"","")</f>
        <v>Capper jam</v>
      </c>
      <c r="AP74" s="61">
        <f>IF($AO$74="",-1,SUMIFS(tblLog[Downtime (min)],tblLog[Main loss],$AO$74,tblLog[View date],"&gt;0"))</f>
        <v>485</v>
      </c>
      <c r="AQ74" s="61">
        <f>COUNTIF($AP$73:$AP$80,"&gt;"&amp;$AP$74)+COUNTIF($AP$73:$AP$74,$AP$74)</f>
        <v>2</v>
      </c>
    </row>
    <row r="75" spans="2:43" x14ac:dyDescent="0.25">
      <c r="G75" s="59">
        <v>3</v>
      </c>
      <c r="H75" s="60" t="str">
        <f>IF(INDEX($AP$73:$AP$80,MATCH(3,$AQ$73:$AQ$80,0))&lt;0,"",INDEX($AO$73:$AO$80,MATCH(3,$AQ$73:$AQ$80,0)))</f>
        <v>Quality hold</v>
      </c>
      <c r="I75" s="60"/>
      <c r="J75" s="36">
        <f>IF($H$75="","",INDEX($AP$73:$AP$80,MATCH(3,$AQ$73:$AQ$80,0)))</f>
        <v>215</v>
      </c>
      <c r="K75" s="37">
        <f>IF(OR($H$75="",$J$81=0),"",$J$75/$J$81)</f>
        <v>0.11716621253406</v>
      </c>
      <c r="L75" s="37">
        <f>IF(OR($H$75="",$J$81=0),"",SUM($J$73:$J$75)/$J$81)</f>
        <v>0.727520435967302</v>
      </c>
      <c r="AO75" s="11" t="str">
        <f>IFERROR(INDEX(tblReasons[Reason],3)&amp;"","")</f>
        <v>Filler fault</v>
      </c>
      <c r="AP75" s="61">
        <f>IF($AO$75="",-1,SUMIFS(tblLog[Downtime (min)],tblLog[Main loss],$AO$75,tblLog[View date],"&gt;0"))</f>
        <v>130</v>
      </c>
      <c r="AQ75" s="61">
        <f>COUNTIF($AP$73:$AP$80,"&gt;"&amp;$AP$75)+COUNTIF($AP$73:$AP$75,$AP$75)</f>
        <v>5</v>
      </c>
    </row>
    <row r="76" spans="2:43" x14ac:dyDescent="0.25">
      <c r="G76" s="59">
        <v>4</v>
      </c>
      <c r="H76" s="60" t="str">
        <f>IF(INDEX($AP$73:$AP$80,MATCH(4,$AQ$73:$AQ$80,0))&lt;0,"",INDEX($AO$73:$AO$80,MATCH(4,$AQ$73:$AQ$80,0)))</f>
        <v>Material shortage</v>
      </c>
      <c r="I76" s="60"/>
      <c r="J76" s="36">
        <f>IF($H$76="","",INDEX($AP$73:$AP$80,MATCH(4,$AQ$73:$AQ$80,0)))</f>
        <v>190</v>
      </c>
      <c r="K76" s="37">
        <f>IF(OR($H$76="",$J$81=0),"",$J$76/$J$81)</f>
        <v>0.103542234332425</v>
      </c>
      <c r="L76" s="37">
        <f>IF(OR($H$76="",$J$81=0),"",SUM($J$73:$J$76)/$J$81)</f>
        <v>0.831062670299728</v>
      </c>
      <c r="AO76" s="11" t="str">
        <f>IFERROR(INDEX(tblReasons[Reason],4)&amp;"","")</f>
        <v>Labeller fault</v>
      </c>
      <c r="AP76" s="61">
        <f>IF($AO$76="",-1,SUMIFS(tblLog[Downtime (min)],tblLog[Main loss],$AO$76,tblLog[View date],"&gt;0"))</f>
        <v>85</v>
      </c>
      <c r="AQ76" s="61">
        <f>COUNTIF($AP$73:$AP$80,"&gt;"&amp;$AP$76)+COUNTIF($AP$73:$AP$76,$AP$76)</f>
        <v>6</v>
      </c>
    </row>
    <row r="77" spans="2:43" x14ac:dyDescent="0.25">
      <c r="G77" s="59">
        <v>5</v>
      </c>
      <c r="H77" s="60" t="str">
        <f>IF(INDEX($AP$73:$AP$80,MATCH(5,$AQ$73:$AQ$80,0))&lt;0,"",INDEX($AO$73:$AO$80,MATCH(5,$AQ$73:$AQ$80,0)))</f>
        <v>Filler fault</v>
      </c>
      <c r="I77" s="60"/>
      <c r="J77" s="36">
        <f>IF($H$77="","",INDEX($AP$73:$AP$80,MATCH(5,$AQ$73:$AQ$80,0)))</f>
        <v>130</v>
      </c>
      <c r="K77" s="37">
        <f>IF(OR($H$77="",$J$81=0),"",$J$77/$J$81)</f>
        <v>0.0708446866485014</v>
      </c>
      <c r="L77" s="37">
        <f>IF(OR($H$77="",$J$81=0),"",SUM($J$73:$J$77)/$J$81)</f>
        <v>0.901907356948229</v>
      </c>
      <c r="AO77" s="11" t="str">
        <f>IFERROR(INDEX(tblReasons[Reason],5)&amp;"","")</f>
        <v>Material shortage</v>
      </c>
      <c r="AP77" s="61">
        <f>IF($AO$77="",-1,SUMIFS(tblLog[Downtime (min)],tblLog[Main loss],$AO$77,tblLog[View date],"&gt;0"))</f>
        <v>190</v>
      </c>
      <c r="AQ77" s="61">
        <f>COUNTIF($AP$73:$AP$80,"&gt;"&amp;$AP$77)+COUNTIF($AP$73:$AP$77,$AP$77)</f>
        <v>4</v>
      </c>
    </row>
    <row r="78" spans="2:43" x14ac:dyDescent="0.25">
      <c r="G78" s="59">
        <v>6</v>
      </c>
      <c r="H78" s="60" t="str">
        <f>IF(INDEX($AP$73:$AP$80,MATCH(6,$AQ$73:$AQ$80,0))&lt;0,"",INDEX($AO$73:$AO$80,MATCH(6,$AQ$73:$AQ$80,0)))</f>
        <v>Labeller fault</v>
      </c>
      <c r="I78" s="60"/>
      <c r="J78" s="36">
        <f>IF($H$78="","",INDEX($AP$73:$AP$80,MATCH(6,$AQ$73:$AQ$80,0)))</f>
        <v>85</v>
      </c>
      <c r="K78" s="37">
        <f>IF(OR($H$78="",$J$81=0),"",$J$78/$J$81)</f>
        <v>0.0463215258855586</v>
      </c>
      <c r="L78" s="37">
        <f>IF(OR($H$78="",$J$81=0),"",SUM($J$73:$J$78)/$J$81)</f>
        <v>0.948228882833788</v>
      </c>
      <c r="AO78" s="11" t="str">
        <f>IFERROR(INDEX(tblReasons[Reason],6)&amp;"","")</f>
        <v>Quality hold</v>
      </c>
      <c r="AP78" s="61">
        <f>IF($AO$78="",-1,SUMIFS(tblLog[Downtime (min)],tblLog[Main loss],$AO$78,tblLog[View date],"&gt;0"))</f>
        <v>215</v>
      </c>
      <c r="AQ78" s="61">
        <f>COUNTIF($AP$73:$AP$80,"&gt;"&amp;$AP$78)+COUNTIF($AP$73:$AP$78,$AP$78)</f>
        <v>3</v>
      </c>
    </row>
    <row r="79" spans="2:43" x14ac:dyDescent="0.25">
      <c r="G79" s="59">
        <v>7</v>
      </c>
      <c r="H79" s="60" t="str">
        <f>IF(INDEX($AP$73:$AP$80,MATCH(7,$AQ$73:$AQ$80,0))&lt;0,"",INDEX($AO$73:$AO$80,MATCH(7,$AQ$73:$AQ$80,0)))</f>
        <v>No operator</v>
      </c>
      <c r="I79" s="60"/>
      <c r="J79" s="36">
        <f>IF($H$79="","",INDEX($AP$73:$AP$80,MATCH(7,$AQ$73:$AQ$80,0)))</f>
        <v>50</v>
      </c>
      <c r="K79" s="37">
        <f>IF(OR($H$79="",$J$81=0),"",$J$79/$J$81)</f>
        <v>0.0272479564032698</v>
      </c>
      <c r="L79" s="37">
        <f>IF(OR($H$79="",$J$81=0),"",SUM($J$73:$J$79)/$J$81)</f>
        <v>0.975476839237057</v>
      </c>
      <c r="AO79" s="11" t="str">
        <f>IFERROR(INDEX(tblReasons[Reason],7)&amp;"","")</f>
        <v>No operator</v>
      </c>
      <c r="AP79" s="61">
        <f>IF($AO$79="",-1,SUMIFS(tblLog[Downtime (min)],tblLog[Main loss],$AO$79,tblLog[View date],"&gt;0"))</f>
        <v>50</v>
      </c>
      <c r="AQ79" s="61">
        <f>COUNTIF($AP$73:$AP$80,"&gt;"&amp;$AP$79)+COUNTIF($AP$73:$AP$79,$AP$79)</f>
        <v>7</v>
      </c>
    </row>
    <row r="80" spans="2:43" x14ac:dyDescent="0.25">
      <c r="G80" s="59">
        <v>8</v>
      </c>
      <c r="H80" s="60" t="str">
        <f>IF(INDEX($AP$73:$AP$80,MATCH(8,$AQ$73:$AQ$80,0))&lt;0,"",INDEX($AO$73:$AO$80,MATCH(8,$AQ$73:$AQ$80,0)))</f>
        <v>Other</v>
      </c>
      <c r="I80" s="60"/>
      <c r="J80" s="36">
        <f>IF($H$80="","",INDEX($AP$73:$AP$80,MATCH(8,$AQ$73:$AQ$80,0)))</f>
        <v>45</v>
      </c>
      <c r="K80" s="37">
        <f>IF(OR($H$80="",$J$81=0),"",$J$80/$J$81)</f>
        <v>0.0245231607629428</v>
      </c>
      <c r="L80" s="37">
        <f>IF(OR($H$80="",$J$81=0),"",SUM($J$73:$J$80)/$J$81)</f>
        <v>1</v>
      </c>
      <c r="AO80" s="11" t="str">
        <f>IFERROR(INDEX(tblReasons[Reason],8)&amp;"","")</f>
        <v>Other</v>
      </c>
      <c r="AP80" s="61">
        <f>IF($AO$80="",-1,SUMIFS(tblLog[Downtime (min)],tblLog[Main loss],$AO$80,tblLog[View date],"&gt;0"))</f>
        <v>45</v>
      </c>
      <c r="AQ80" s="61">
        <f>COUNTIF($AP$73:$AP$80,"&gt;"&amp;$AP$80)+COUNTIF($AP$73:$AP$80,$AP$80)</f>
        <v>8</v>
      </c>
    </row>
    <row r="81" spans="2:12" x14ac:dyDescent="0.25">
      <c r="G81" s="62"/>
      <c r="H81" s="62" t="s">
        <v>181</v>
      </c>
      <c r="I81" s="62"/>
      <c r="J81" s="63">
        <f>SUMIF($AP$73:$AP$80,"&gt;0")</f>
        <v>1835</v>
      </c>
      <c r="K81" s="62"/>
      <c r="L81" s="62"/>
    </row>
    <row r="82" spans="2:12" ht="8" customHeight="1" x14ac:dyDescent="0.25"/>
    <row r="83" spans="2:12" ht="26.76" customHeight="1" x14ac:dyDescent="0.25">
      <c r="B83" s="21" t="s">
        <v>182</v>
      </c>
      <c r="C83" s="21"/>
      <c r="D83" s="21"/>
      <c r="E83" s="21"/>
      <c r="F83" s="21"/>
      <c r="G83" s="21"/>
      <c r="H83" s="21"/>
      <c r="I83" s="21"/>
      <c r="J83" s="21"/>
      <c r="K83" s="21"/>
      <c r="L83" s="21"/>
    </row>
    <row r="84" spans="2:12" x14ac:dyDescent="0.25">
      <c r="B84" s="64">
        <f>IF(OR(COUNTA(tblLines[Line])&gt;3,COUNTA(tblShiftList[Shift])&gt;2,COUNTA(tblReasons[Reason])&gt;8),"Setup lists are longer than the Dashboard blocks: some lines, shifts or reasons are not shown.","")</f>
        <v/>
      </c>
      <c r="C84" s="64"/>
      <c r="D84" s="64"/>
      <c r="E84" s="64"/>
      <c r="F84" s="64"/>
      <c r="G84" s="64"/>
      <c r="H84" s="64"/>
      <c r="I84" s="64"/>
      <c r="J84" s="64"/>
      <c r="K84" s="64"/>
      <c r="L84" s="64"/>
    </row>
  </sheetData>
  <sheetProtection sheet="1" formatColumns="0" formatRows="0"/>
  <mergeCells count="56">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K51"/>
    <mergeCell ref="B64:K64"/>
    <mergeCell ref="B70:F70"/>
    <mergeCell ref="G70:L70"/>
    <mergeCell ref="H71:I71"/>
    <mergeCell ref="H72:I72"/>
    <mergeCell ref="H73:I73"/>
    <mergeCell ref="H74:I74"/>
    <mergeCell ref="H75:I75"/>
    <mergeCell ref="H76:I76"/>
    <mergeCell ref="H77:I77"/>
    <mergeCell ref="H78:I78"/>
    <mergeCell ref="H79:I79"/>
    <mergeCell ref="H80:I80"/>
    <mergeCell ref="H81:I81"/>
    <mergeCell ref="B83:L83"/>
    <mergeCell ref="B84:L84"/>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C72:C73">
    <cfRule type="expression" dxfId="3" priority="99" stopIfTrue="1">
      <formula>AND(ISNUMBER(C72),C72&gt;=(TargetAttain))</formula>
    </cfRule>
    <cfRule type="expression" dxfId="4" priority="100" stopIfTrue="1">
      <formula>AND(ISNUMBER(C72),C72&gt;=(TargetAttain)*(1-0.05))</formula>
    </cfRule>
    <cfRule type="expression" dxfId="5" priority="101">
      <formula>ISNUMBER(C72)</formula>
    </cfRule>
  </conditionalFormatting>
  <conditionalFormatting sqref="D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D72:D73">
    <cfRule type="expression" dxfId="3" priority="102" stopIfTrue="1">
      <formula>AND(ISNUMBER(D72),D72&gt;=(TargetEff))</formula>
    </cfRule>
    <cfRule type="expression" dxfId="4" priority="103" stopIfTrue="1">
      <formula>AND(ISNUMBER(D72),D72&gt;=(TargetEff)*(1-0.05))</formula>
    </cfRule>
    <cfRule type="expression" dxfId="5" priority="104">
      <formula>ISNUMBER(D72)</formula>
    </cfRule>
  </conditionalFormatting>
  <conditionalFormatting sqref="E72:E73">
    <cfRule type="expression" dxfId="3" priority="105" stopIfTrue="1">
      <formula>AND(ISNUMBER(E72),E72&gt;=(TargetFPY))</formula>
    </cfRule>
    <cfRule type="expression" dxfId="4" priority="106" stopIfTrue="1">
      <formula>AND(ISNUMBER(E72),E72&gt;=(TargetFPY)*(1-0.05))</formula>
    </cfRule>
    <cfRule type="expression" dxfId="5" priority="107">
      <formula>ISNUMBER(E72)</formula>
    </cfRule>
  </conditionalFormatting>
  <conditionalFormatting sqref="G11">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G53:G62">
    <cfRule type="expression" dxfId="3" priority="81" stopIfTrue="1">
      <formula>AND(ISNUMBER(G53),G53&gt;=(TargetAttain))</formula>
    </cfRule>
    <cfRule type="expression" dxfId="4" priority="82" stopIfTrue="1">
      <formula>AND(ISNUMBER(G53),G53&gt;=(TargetAttain)*(1-0.05))</formula>
    </cfRule>
    <cfRule type="expression" dxfId="5" priority="83">
      <formula>ISNUMBER(G53)</formula>
    </cfRule>
  </conditionalFormatting>
  <conditionalFormatting sqref="G66:G68">
    <cfRule type="expression" dxfId="3" priority="90" stopIfTrue="1">
      <formula>AND(ISNUMBER(G66),G66&gt;=(TargetAttain))</formula>
    </cfRule>
    <cfRule type="expression" dxfId="4" priority="91" stopIfTrue="1">
      <formula>AND(ISNUMBER(G66),G66&gt;=(TargetAttain)*(1-0.05))</formula>
    </cfRule>
    <cfRule type="expression" dxfId="5" priority="92">
      <formula>ISNUMBER(G66)</formula>
    </cfRule>
  </conditionalFormatting>
  <conditionalFormatting sqref="H53:H62">
    <cfRule type="expression" dxfId="3" priority="84" stopIfTrue="1">
      <formula>AND(ISNUMBER(H53),H53&gt;=(TargetEff))</formula>
    </cfRule>
    <cfRule type="expression" dxfId="4" priority="85" stopIfTrue="1">
      <formula>AND(ISNUMBER(H53),H53&gt;=(TargetEff)*(1-0.05))</formula>
    </cfRule>
    <cfRule type="expression" dxfId="5" priority="86">
      <formula>ISNUMBER(H53)</formula>
    </cfRule>
  </conditionalFormatting>
  <conditionalFormatting sqref="H66:H68">
    <cfRule type="expression" dxfId="3" priority="93" stopIfTrue="1">
      <formula>AND(ISNUMBER(H66),H66&gt;=(TargetEff))</formula>
    </cfRule>
    <cfRule type="expression" dxfId="4" priority="94" stopIfTrue="1">
      <formula>AND(ISNUMBER(H66),H66&gt;=(TargetEff)*(1-0.05))</formula>
    </cfRule>
    <cfRule type="expression" dxfId="5" priority="95">
      <formula>ISNUMBER(H66)</formula>
    </cfRule>
  </conditionalFormatting>
  <conditionalFormatting sqref="I53:I62">
    <cfRule type="expression" dxfId="3" priority="87" stopIfTrue="1">
      <formula>AND(ISNUMBER(I53),I53&gt;=(TargetFPY))</formula>
    </cfRule>
    <cfRule type="expression" dxfId="4" priority="88" stopIfTrue="1">
      <formula>AND(ISNUMBER(I53),I53&gt;=(TargetFPY)*(1-0.05))</formula>
    </cfRule>
    <cfRule type="expression" dxfId="5" priority="89">
      <formula>ISNUMBER(I53)</formula>
    </cfRule>
  </conditionalFormatting>
  <conditionalFormatting sqref="I66:I68">
    <cfRule type="expression" dxfId="3" priority="96" stopIfTrue="1">
      <formula>AND(ISNUMBER(I66),I66&gt;=(TargetFPY))</formula>
    </cfRule>
    <cfRule type="expression" dxfId="4" priority="97" stopIfTrue="1">
      <formula>AND(ISNUMBER(I66),I66&gt;=(TargetFPY)*(1-0.05))</formula>
    </cfRule>
    <cfRule type="expression" dxfId="5" priority="98">
      <formula>ISNUMBER(I66)</formula>
    </cfRule>
  </conditionalFormatting>
  <conditionalFormatting sqref="J11">
    <cfRule type="cellIs" dxfId="0" priority="61" operator="equal">
      <formula>"On target"</formula>
    </cfRule>
    <cfRule type="cellIs" dxfId="0" priority="62" operator="equal">
      <formula>"PASS"</formula>
    </cfRule>
    <cfRule type="cellIs" dxfId="0" priority="63" operator="equal">
      <formula>"OK"</formula>
    </cfRule>
    <cfRule type="cellIs" dxfId="0" priority="64" operator="equal">
      <formula>"Within limits"</formula>
    </cfRule>
    <cfRule type="cellIs" dxfId="0" priority="65" operator="equal">
      <formula>"Under capacity"</formula>
    </cfRule>
    <cfRule type="cellIs" dxfId="0" priority="66" operator="equal">
      <formula>"Complete"</formula>
    </cfRule>
    <cfRule type="cellIs" dxfId="0" priority="67" operator="equal">
      <formula>"Yes"</formula>
    </cfRule>
    <cfRule type="cellIs" dxfId="1" priority="68" operator="equal">
      <formula>"Near target"</formula>
    </cfRule>
    <cfRule type="cellIs" dxfId="1" priority="69" operator="equal">
      <formula>"Check"</formula>
    </cfRule>
    <cfRule type="cellIs" dxfId="1" priority="70" operator="equal">
      <formula>"Due soon"</formula>
    </cfRule>
    <cfRule type="cellIs" dxfId="1" priority="71" operator="equal">
      <formula>"Near capacity"</formula>
    </cfRule>
    <cfRule type="cellIs" dxfId="1" priority="72" operator="equal">
      <formula>"In progress"</formula>
    </cfRule>
    <cfRule type="cellIs" dxfId="1" priority="73" operator="equal">
      <formula>"Partial"</formula>
    </cfRule>
    <cfRule type="cellIs" dxfId="2" priority="74" operator="equal">
      <formula>"Below target"</formula>
    </cfRule>
    <cfRule type="cellIs" dxfId="2" priority="75" operator="equal">
      <formula>"Above target"</formula>
    </cfRule>
    <cfRule type="cellIs" dxfId="2" priority="76" operator="equal">
      <formula>"FAIL"</formula>
    </cfRule>
    <cfRule type="cellIs" dxfId="2" priority="77" operator="equal">
      <formula>"Over capacity"</formula>
    </cfRule>
    <cfRule type="cellIs" dxfId="2" priority="78" operator="equal">
      <formula>"Overdue"</formula>
    </cfRule>
    <cfRule type="cellIs" dxfId="2" priority="79" operator="equal">
      <formula>"Out of limits"</formula>
    </cfRule>
    <cfRule type="cellIs" dxfId="2" priority="80" operator="equal">
      <formula>"No"</formula>
    </cfRule>
  </conditionalFormatting>
  <conditionalFormatting sqref="J73:J80">
    <cfRule type="dataBar" priority="108">
      <dataBar>
        <cfvo type="num" val="0"/>
        <cfvo type="max"/>
        <color rgb="FFA8BDF0"/>
      </dataBar>
      <extLst>
        <ext xmlns:x14="http://schemas.microsoft.com/office/spreadsheetml/2009/9/main" uri="{B025F937-C7B1-47D3-B67F-A62EFF666E3E}">
          <x14:id>{DA7ABA51-AAAA-BBBB-0004-000000000001}</x14:id>
        </ext>
      </extLst>
    </cfRule>
  </conditionalFormatting>
  <dataValidations count="3">
    <dataValidation type="list" allowBlank="1" showInputMessage="1" showErrorMessage="1" errorTitle="Check this entry" error="Pick from the list (edit the list on Setup: Lines)." promptTitle="Line" prompt="Leave blank for all lines. Pick from the list (edit the list on Setup: Lines)." sqref="C4">
      <formula1>Lines</formula1>
    </dataValidation>
    <dataValidation type="date" allowBlank="1" showInputMessage="1" showErrorMessage="1" errorTitle="Check this entry" error="Enter a date between 01 Jan 2000 and 31 Dec 2100." promptTitle="From" prompt="First date to include. Leave blank to start at the first record. Set From and To to one day for that day's report.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Shift Production Report&amp;R&amp;8&amp;A</oddHeader>
    <oddFooter>&amp;L&amp;8mfgcalcs.com - free manufacturing templates&amp;R&amp;8Page &amp;P of &amp;N</oddFooter>
  </headerFooter>
  <rowBreaks count="3" manualBreakCount="3">
    <brk id="28" max="16383" man="1"/>
    <brk id="50" max="16383" man="1"/>
    <brk id="69"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J73:J80</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6"/>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183</v>
      </c>
      <c r="C4" s="8"/>
      <c r="D4" s="8"/>
    </row>
    <row r="5" spans="1:4" ht="5" customHeight="1"/>
    <row r="6" spans="1:4" ht="55.8" customHeight="1">
      <c r="B6" s="10" t="s">
        <v>184</v>
      </c>
      <c r="C6" s="10"/>
      <c r="D6" s="10"/>
    </row>
    <row r="8" spans="1:4" ht="21" customHeight="1">
      <c r="B8" s="8" t="s">
        <v>185</v>
      </c>
      <c r="C8" s="8"/>
      <c r="D8" s="8"/>
    </row>
    <row r="9" spans="1:4" ht="5" customHeight="1"/>
    <row r="10" spans="1:4" ht="20" customHeight="1">
      <c r="B10" s="54" t="s">
        <v>186</v>
      </c>
      <c r="C10" s="54" t="s">
        <v>187</v>
      </c>
      <c r="D10" s="32" t="s">
        <v>188</v>
      </c>
    </row>
    <row r="11" spans="1:4" ht="30.4" customHeight="1">
      <c r="B11" s="65" t="s">
        <v>189</v>
      </c>
      <c r="C11" s="66" t="s">
        <v>190</v>
      </c>
      <c r="D11" s="67" t="s">
        <v>191</v>
      </c>
    </row>
    <row r="12" spans="1:4" ht="17.2" customHeight="1">
      <c r="B12" s="65" t="s">
        <v>192</v>
      </c>
      <c r="C12" s="66" t="s">
        <v>193</v>
      </c>
      <c r="D12" s="67" t="s">
        <v>194</v>
      </c>
    </row>
    <row r="13" spans="1:4" ht="17.2" customHeight="1">
      <c r="B13" s="65" t="s">
        <v>195</v>
      </c>
      <c r="C13" s="66" t="s">
        <v>196</v>
      </c>
      <c r="D13" s="67" t="s">
        <v>194</v>
      </c>
    </row>
    <row r="14" spans="1:4" ht="17.2" customHeight="1">
      <c r="B14" s="65" t="s">
        <v>197</v>
      </c>
      <c r="C14" s="66" t="s">
        <v>198</v>
      </c>
      <c r="D14" s="67" t="s">
        <v>180</v>
      </c>
    </row>
    <row r="15" spans="1:4" ht="30.4" customHeight="1">
      <c r="B15" s="65" t="s">
        <v>133</v>
      </c>
      <c r="C15" s="66" t="s">
        <v>199</v>
      </c>
      <c r="D15" s="67" t="s">
        <v>180</v>
      </c>
    </row>
    <row r="16" spans="1:4" ht="17.2" customHeight="1">
      <c r="B16" s="65" t="s">
        <v>134</v>
      </c>
      <c r="C16" s="66" t="s">
        <v>200</v>
      </c>
      <c r="D16" s="67" t="s">
        <v>180</v>
      </c>
    </row>
    <row r="17" spans="2:4" ht="17.2" customHeight="1">
      <c r="B17" s="65" t="s">
        <v>201</v>
      </c>
      <c r="C17" s="66" t="s">
        <v>202</v>
      </c>
      <c r="D17" s="67" t="s">
        <v>77</v>
      </c>
    </row>
    <row r="18" spans="2:4" ht="30.4" customHeight="1">
      <c r="B18" s="65" t="s">
        <v>136</v>
      </c>
      <c r="C18" s="66" t="s">
        <v>203</v>
      </c>
      <c r="D18" s="67" t="s">
        <v>204</v>
      </c>
    </row>
    <row r="19" spans="2:4" ht="43.6" customHeight="1">
      <c r="B19" s="65" t="s">
        <v>205</v>
      </c>
      <c r="C19" s="66" t="s">
        <v>206</v>
      </c>
      <c r="D19" s="67" t="s">
        <v>207</v>
      </c>
    </row>
    <row r="20" spans="2:4" ht="30.4" customHeight="1">
      <c r="B20" s="65" t="s">
        <v>208</v>
      </c>
      <c r="C20" s="66" t="s">
        <v>209</v>
      </c>
      <c r="D20" s="67" t="s">
        <v>204</v>
      </c>
    </row>
    <row r="22" spans="2:4" ht="21" customHeight="1">
      <c r="B22" s="8" t="s">
        <v>210</v>
      </c>
      <c r="C22" s="8"/>
      <c r="D22" s="8"/>
    </row>
    <row r="23" spans="2:4" ht="5" customHeight="1"/>
    <row r="24" spans="2:4" ht="29.4" customHeight="1">
      <c r="B24" s="26" t="s">
        <v>53</v>
      </c>
      <c r="C24" s="10" t="s">
        <v>211</v>
      </c>
      <c r="D24" s="10"/>
    </row>
    <row r="25" spans="2:4" ht="29.4" customHeight="1">
      <c r="B25" s="26" t="s">
        <v>53</v>
      </c>
      <c r="C25" s="10" t="s">
        <v>212</v>
      </c>
      <c r="D25" s="10"/>
    </row>
    <row r="26" spans="2:4" ht="29.4" customHeight="1">
      <c r="B26" s="26" t="s">
        <v>53</v>
      </c>
      <c r="C26" s="10" t="s">
        <v>213</v>
      </c>
      <c r="D26" s="10"/>
    </row>
    <row r="27" spans="2:4" ht="16.2" customHeight="1">
      <c r="B27" s="26" t="s">
        <v>53</v>
      </c>
      <c r="C27" s="10" t="s">
        <v>214</v>
      </c>
      <c r="D27" s="10"/>
    </row>
    <row r="29" spans="2:4" ht="21" customHeight="1">
      <c r="B29" s="8" t="s">
        <v>215</v>
      </c>
      <c r="C29" s="8"/>
      <c r="D29" s="8"/>
    </row>
    <row r="30" spans="2:4" ht="5" customHeight="1"/>
    <row r="31" spans="2:4" ht="29.4" customHeight="1">
      <c r="B31" s="26" t="s">
        <v>53</v>
      </c>
      <c r="C31" s="10" t="s">
        <v>216</v>
      </c>
      <c r="D31" s="10"/>
    </row>
    <row r="32" spans="2:4" ht="29.4" customHeight="1">
      <c r="B32" s="26" t="s">
        <v>53</v>
      </c>
      <c r="C32" s="10" t="s">
        <v>217</v>
      </c>
      <c r="D32" s="10"/>
    </row>
    <row r="33" spans="2:4" ht="16.2" customHeight="1">
      <c r="B33" s="26" t="s">
        <v>53</v>
      </c>
      <c r="C33" s="10" t="s">
        <v>218</v>
      </c>
      <c r="D33" s="10"/>
    </row>
    <row r="34" spans="2:4" ht="29.4" customHeight="1">
      <c r="B34" s="26" t="s">
        <v>53</v>
      </c>
      <c r="C34" s="10" t="s">
        <v>219</v>
      </c>
      <c r="D34" s="10"/>
    </row>
    <row r="36" spans="2:4" ht="21" customHeight="1">
      <c r="B36" s="8" t="s">
        <v>220</v>
      </c>
      <c r="C36" s="8"/>
      <c r="D36" s="8"/>
    </row>
    <row r="37" spans="2:4" ht="5" customHeight="1"/>
    <row r="38" spans="2:4" ht="69" customHeight="1">
      <c r="B38" s="10" t="s">
        <v>221</v>
      </c>
      <c r="C38" s="10"/>
      <c r="D38" s="10"/>
    </row>
    <row r="39" spans="2:4">
      <c r="B39" s="24" t="s">
        <v>222</v>
      </c>
      <c r="C39" s="24"/>
      <c r="D39" s="24"/>
    </row>
    <row r="41" spans="2:4" ht="21" customHeight="1">
      <c r="B41" s="8" t="s">
        <v>40</v>
      </c>
      <c r="C41" s="8"/>
      <c r="D41" s="8"/>
    </row>
    <row r="42" spans="2:4" ht="5" customHeight="1"/>
    <row r="43" spans="2:4" ht="42.6" customHeight="1">
      <c r="B43" s="10" t="s">
        <v>223</v>
      </c>
      <c r="C43" s="10"/>
      <c r="D43" s="10"/>
    </row>
    <row r="45" spans="2:4" ht="21" customHeight="1">
      <c r="B45" s="8" t="s">
        <v>224</v>
      </c>
      <c r="C45" s="8"/>
      <c r="D45" s="8"/>
    </row>
    <row r="46" spans="2:4" ht="5" customHeight="1"/>
    <row r="47" spans="2:4" ht="29.4" customHeight="1">
      <c r="B47" s="26" t="s">
        <v>53</v>
      </c>
      <c r="C47" s="10" t="s">
        <v>225</v>
      </c>
      <c r="D47" s="10"/>
    </row>
    <row r="48" spans="2:4" ht="29.4" customHeight="1">
      <c r="B48" s="26" t="s">
        <v>53</v>
      </c>
      <c r="C48" s="10" t="s">
        <v>226</v>
      </c>
      <c r="D48" s="10"/>
    </row>
    <row r="49" spans="2:4">
      <c r="B49" s="21" t="s">
        <v>227</v>
      </c>
      <c r="C49" s="21"/>
      <c r="D49" s="21"/>
    </row>
    <row r="51" spans="2:4" ht="21" customHeight="1">
      <c r="B51" s="8" t="s">
        <v>228</v>
      </c>
      <c r="C51" s="8"/>
      <c r="D51" s="8"/>
    </row>
    <row r="52" spans="2:4" ht="5" customHeight="1"/>
    <row r="53" spans="2:4">
      <c r="B53" s="54" t="s">
        <v>48</v>
      </c>
      <c r="C53" s="54" t="s">
        <v>229</v>
      </c>
      <c r="D53" s="32" t="s">
        <v>122</v>
      </c>
    </row>
    <row r="54" spans="2:4" ht="16.2" customHeight="1">
      <c r="B54" s="68" t="s">
        <v>230</v>
      </c>
      <c r="C54" s="69" t="s">
        <v>231</v>
      </c>
      <c r="D54" s="70" t="s">
        <v>232</v>
      </c>
    </row>
    <row r="56" spans="2:4">
      <c r="B56" s="21" t="s">
        <v>59</v>
      </c>
      <c r="C56" s="21"/>
      <c r="D56" s="21"/>
    </row>
  </sheetData>
  <sheetProtection sheet="1" formatColumns="0" formatRows="0"/>
  <mergeCells count="26">
    <mergeCell ref="A1:D1"/>
    <mergeCell ref="B2:C2"/>
    <mergeCell ref="B4:D4"/>
    <mergeCell ref="B6:D6"/>
    <mergeCell ref="B8:D8"/>
    <mergeCell ref="B22:D22"/>
    <mergeCell ref="C24:D24"/>
    <mergeCell ref="C25:D25"/>
    <mergeCell ref="C26:D26"/>
    <mergeCell ref="C27:D27"/>
    <mergeCell ref="B29:D29"/>
    <mergeCell ref="C31:D31"/>
    <mergeCell ref="C32:D32"/>
    <mergeCell ref="C33:D33"/>
    <mergeCell ref="C34:D34"/>
    <mergeCell ref="B36:D36"/>
    <mergeCell ref="B38:D38"/>
    <mergeCell ref="B39:D39"/>
    <mergeCell ref="B41:D41"/>
    <mergeCell ref="B43:D43"/>
    <mergeCell ref="B45:D45"/>
    <mergeCell ref="C47:D47"/>
    <mergeCell ref="C48:D48"/>
    <mergeCell ref="B49:D49"/>
    <mergeCell ref="B51:D51"/>
    <mergeCell ref="B56:D56"/>
  </mergeCells>
  <hyperlinks>
    <hyperlink ref="D2" r:id="rId1" tooltip="Free manufacturing calculators and templates"/>
    <hyperlink ref="B39" r:id="rId2"/>
  </hyperlinks>
  <printOptions horizontalCentered="1"/>
  <pageMargins left="0.4" right="0.4" top="0.7" bottom="0.65" header="0.3" footer="0.3"/>
  <pageSetup fitToHeight="0" orientation="portrait"/>
  <headerFooter>
    <oddHeader>&amp;L&amp;8MFG Calcs - Shift Production Report&amp;R&amp;8&amp;A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W52"/>
  <sheetViews>
    <sheetView showGridLines="0" workbookViewId="0"/>
  </sheetViews>
  <sheetFormatPr defaultRowHeight="15"/>
  <cols>
    <col min="1" max="1" width="2.7109375" customWidth="1"/>
    <col min="2" max="19" width="12.7109375" customWidth="1"/>
    <col min="20" max="21" width="12.28515625" customWidth="1"/>
    <col min="22" max="22" width="24.7109375" customWidth="1"/>
    <col min="23" max="23" width="34.7109375" customWidth="1"/>
  </cols>
  <sheetData>
    <row r="1" spans="1:23" ht="30" customHeight="1">
      <c r="A1" s="1" t="s">
        <v>0</v>
      </c>
      <c r="B1" s="1"/>
      <c r="C1" s="1"/>
      <c r="D1" s="1"/>
      <c r="E1" s="1"/>
      <c r="F1" s="1"/>
      <c r="G1" s="1"/>
      <c r="H1" s="1"/>
      <c r="I1" s="1"/>
      <c r="J1" s="1"/>
      <c r="K1" s="1"/>
      <c r="L1" s="1"/>
      <c r="M1" s="1"/>
      <c r="N1" s="1"/>
      <c r="O1" s="1"/>
      <c r="P1" s="1"/>
      <c r="Q1" s="1"/>
      <c r="R1" s="1"/>
      <c r="S1" s="1"/>
      <c r="T1" s="1"/>
      <c r="U1" s="1"/>
      <c r="V1" s="1"/>
      <c r="W1" s="1"/>
    </row>
    <row r="2" spans="1:23" ht="21" customHeight="1">
      <c r="B2" s="2" t="s">
        <v>26</v>
      </c>
      <c r="C2" s="2"/>
      <c r="D2" s="2"/>
      <c r="E2" s="2"/>
      <c r="F2" s="2"/>
      <c r="G2" s="2"/>
      <c r="H2" s="2"/>
      <c r="I2" s="2"/>
      <c r="J2" s="2"/>
      <c r="K2" s="2"/>
      <c r="L2" s="2"/>
      <c r="M2" s="2"/>
      <c r="N2" s="2"/>
      <c r="O2" s="2"/>
      <c r="P2" s="2"/>
      <c r="Q2" s="2"/>
      <c r="R2" s="2"/>
      <c r="S2" s="2"/>
      <c r="T2" s="2"/>
      <c r="U2" s="2"/>
      <c r="V2" s="2"/>
      <c r="W2" s="3" t="s">
        <v>2</v>
      </c>
    </row>
    <row r="3" spans="1:23" ht="6" customHeight="1"/>
    <row r="4" spans="1:23" ht="30" customHeight="1">
      <c r="B4" s="71" t="s">
        <v>233</v>
      </c>
      <c r="C4" s="71"/>
      <c r="D4" s="22" t="str">
        <f>IF(COUNTIF($K$11:$K$33,"PASS")=23,"PASS","FAIL")</f>
        <v>PASS</v>
      </c>
      <c r="E4" s="22"/>
      <c r="F4" s="23" t="str">
        <f>COUNTIF($K$11:$K$33,"PASS")&amp;" of 23 checks pass"</f>
        <v>23 of 23 checks pass</v>
      </c>
      <c r="G4" s="23"/>
      <c r="H4" s="23"/>
      <c r="I4" s="23"/>
      <c r="J4" s="23"/>
    </row>
    <row r="6" spans="1:23" ht="29.4" customHeight="1">
      <c r="B6" s="10" t="s">
        <v>234</v>
      </c>
      <c r="C6" s="10"/>
      <c r="D6" s="10"/>
      <c r="E6" s="10"/>
      <c r="F6" s="10"/>
      <c r="G6" s="10"/>
      <c r="H6" s="10"/>
      <c r="I6" s="10"/>
      <c r="J6" s="10"/>
      <c r="K6" s="10"/>
      <c r="L6" s="10"/>
    </row>
    <row r="8" spans="1:23" ht="21" customHeight="1">
      <c r="B8" s="8" t="s">
        <v>235</v>
      </c>
      <c r="C8" s="8"/>
      <c r="D8" s="8"/>
      <c r="E8" s="8"/>
      <c r="F8" s="8"/>
      <c r="G8" s="8"/>
      <c r="H8" s="8"/>
      <c r="I8" s="8"/>
      <c r="J8" s="8"/>
      <c r="K8" s="8"/>
      <c r="L8" s="8"/>
    </row>
    <row r="9" spans="1:23" ht="5" customHeight="1"/>
    <row r="10" spans="1:23" ht="30" customHeight="1">
      <c r="B10" s="32" t="s">
        <v>236</v>
      </c>
      <c r="C10" s="54" t="s">
        <v>138</v>
      </c>
      <c r="D10" s="54"/>
      <c r="E10" s="54"/>
      <c r="F10" s="54"/>
      <c r="G10" s="32" t="s">
        <v>237</v>
      </c>
      <c r="H10" s="32" t="s">
        <v>238</v>
      </c>
      <c r="I10" s="32" t="s">
        <v>239</v>
      </c>
      <c r="J10" s="32" t="s">
        <v>240</v>
      </c>
      <c r="K10" s="32" t="s">
        <v>241</v>
      </c>
    </row>
    <row r="11" spans="1:23" ht="16.2" customHeight="1">
      <c r="B11" s="59">
        <v>1</v>
      </c>
      <c r="C11" s="69" t="s">
        <v>242</v>
      </c>
      <c r="D11" s="69"/>
      <c r="E11" s="69"/>
      <c r="F11" s="69"/>
      <c r="G11" s="72">
        <v>1000</v>
      </c>
      <c r="H11" s="38">
        <f>$N$49</f>
        <v>1000</v>
      </c>
      <c r="I11" s="73">
        <f>IF(AND(ISNUMBER($G$11),ISNUMBER($H$11)),ABS($H$11-$G$11),"")</f>
        <v>0</v>
      </c>
      <c r="J11" s="74">
        <v>1E-09</v>
      </c>
      <c r="K11" s="39" t="str">
        <f>IF(AND(ISNUMBER($G$11),ISNUMBER($H$11)),IF(ABS($H$11-$G$11)&lt;=$J$11,"PASS","FAIL"),"FAIL")</f>
        <v>PASS</v>
      </c>
    </row>
    <row r="12" spans="1:23" ht="16.2" customHeight="1">
      <c r="B12" s="59">
        <v>2</v>
      </c>
      <c r="C12" s="69" t="s">
        <v>243</v>
      </c>
      <c r="D12" s="69"/>
      <c r="E12" s="69"/>
      <c r="F12" s="69"/>
      <c r="G12" s="56">
        <v>0.9444444444444444</v>
      </c>
      <c r="H12" s="37">
        <f>$P$49</f>
        <v>0.944444444444444</v>
      </c>
      <c r="I12" s="73">
        <f>IF(AND(ISNUMBER($G$12),ISNUMBER($H$12)),ABS($H$12-$G$12),"")</f>
        <v>0</v>
      </c>
      <c r="J12" s="74">
        <v>1E-09</v>
      </c>
      <c r="K12" s="39" t="str">
        <f>IF(AND(ISNUMBER($G$12),ISNUMBER($H$12)),IF(ABS($H$12-$G$12)&lt;=$J$12,"PASS","FAIL"),"FAIL")</f>
        <v>PASS</v>
      </c>
    </row>
    <row r="13" spans="1:23" ht="16.2" customHeight="1">
      <c r="B13" s="59">
        <v>3</v>
      </c>
      <c r="C13" s="69" t="s">
        <v>244</v>
      </c>
      <c r="D13" s="69"/>
      <c r="E13" s="69"/>
      <c r="F13" s="69"/>
      <c r="G13" s="56">
        <v>0.85</v>
      </c>
      <c r="H13" s="37">
        <f>$Q$49</f>
        <v>0.85</v>
      </c>
      <c r="I13" s="73">
        <f>IF(AND(ISNUMBER($G$13),ISNUMBER($H$13)),ABS($H$13-$G$13),"")</f>
        <v>0</v>
      </c>
      <c r="J13" s="74">
        <v>1E-09</v>
      </c>
      <c r="K13" s="39" t="str">
        <f>IF(AND(ISNUMBER($G$13),ISNUMBER($H$13)),IF(ABS($H$13-$G$13)&lt;=$J$13,"PASS","FAIL"),"FAIL")</f>
        <v>PASS</v>
      </c>
    </row>
    <row r="14" spans="1:23" ht="16.2" customHeight="1">
      <c r="B14" s="59">
        <v>4</v>
      </c>
      <c r="C14" s="69" t="s">
        <v>245</v>
      </c>
      <c r="D14" s="69"/>
      <c r="E14" s="69"/>
      <c r="F14" s="69"/>
      <c r="G14" s="56">
        <v>0.9770114942528736</v>
      </c>
      <c r="H14" s="37">
        <f>$R$49</f>
        <v>0.977011494252874</v>
      </c>
      <c r="I14" s="73">
        <f>IF(AND(ISNUMBER($G$14),ISNUMBER($H$14)),ABS($H$14-$G$14),"")</f>
        <v>0</v>
      </c>
      <c r="J14" s="74">
        <v>1E-09</v>
      </c>
      <c r="K14" s="39" t="str">
        <f>IF(AND(ISNUMBER($G$14),ISNUMBER($H$14)),IF(ABS($H$14-$G$14)&lt;=$J$14,"PASS","FAIL"),"FAIL")</f>
        <v>PASS</v>
      </c>
    </row>
    <row r="15" spans="1:23" ht="16.2" customHeight="1">
      <c r="B15" s="59">
        <v>5</v>
      </c>
      <c r="C15" s="69" t="s">
        <v>246</v>
      </c>
      <c r="D15" s="69"/>
      <c r="E15" s="69"/>
      <c r="F15" s="69"/>
      <c r="G15" s="75">
        <v>26.5625</v>
      </c>
      <c r="H15" s="76">
        <f>$S$49</f>
        <v>26.5625</v>
      </c>
      <c r="I15" s="73">
        <f>IF(AND(ISNUMBER($G$15),ISNUMBER($H$15)),ABS($H$15-$G$15),"")</f>
        <v>0</v>
      </c>
      <c r="J15" s="74">
        <v>1E-09</v>
      </c>
      <c r="K15" s="39" t="str">
        <f>IF(AND(ISNUMBER($G$15),ISNUMBER($H$15)),IF(ABS($H$15-$G$15)&lt;=$J$15,"PASS","FAIL"),"FAIL")</f>
        <v>PASS</v>
      </c>
    </row>
    <row r="16" spans="1:23" ht="16.2" customHeight="1">
      <c r="B16" s="59">
        <v>6</v>
      </c>
      <c r="C16" s="69" t="s">
        <v>247</v>
      </c>
      <c r="D16" s="69"/>
      <c r="E16" s="69"/>
      <c r="F16" s="69"/>
      <c r="G16" s="72">
        <v>3150</v>
      </c>
      <c r="H16" s="38">
        <f>$N$50</f>
        <v>3150</v>
      </c>
      <c r="I16" s="73">
        <f>IF(AND(ISNUMBER($G$16),ISNUMBER($H$16)),ABS($H$16-$G$16),"")</f>
        <v>0</v>
      </c>
      <c r="J16" s="74">
        <v>1E-09</v>
      </c>
      <c r="K16" s="39" t="str">
        <f>IF(AND(ISNUMBER($G$16),ISNUMBER($H$16)),IF(ABS($H$16-$G$16)&lt;=$J$16,"PASS","FAIL"),"FAIL")</f>
        <v>PASS</v>
      </c>
    </row>
    <row r="17" spans="2:11" ht="16.2" customHeight="1">
      <c r="B17" s="59">
        <v>7</v>
      </c>
      <c r="C17" s="69" t="s">
        <v>248</v>
      </c>
      <c r="D17" s="69"/>
      <c r="E17" s="69"/>
      <c r="F17" s="69"/>
      <c r="G17" s="56">
        <v>1.058571428571428</v>
      </c>
      <c r="H17" s="37">
        <f>$P$50</f>
        <v>1.05857142857143</v>
      </c>
      <c r="I17" s="73">
        <f>IF(AND(ISNUMBER($G$17),ISNUMBER($H$17)),ABS($H$17-$G$17),"")</f>
        <v>0</v>
      </c>
      <c r="J17" s="74">
        <v>1E-09</v>
      </c>
      <c r="K17" s="39" t="str">
        <f>IF(AND(ISNUMBER($G$17),ISNUMBER($H$17)),IF(ABS($H$17-$G$17)&lt;=$J$17,"PASS","FAIL"),"FAIL")</f>
        <v>PASS</v>
      </c>
    </row>
    <row r="18" spans="2:11" ht="16.2" customHeight="1">
      <c r="B18" s="59">
        <v>8</v>
      </c>
      <c r="C18" s="69" t="s">
        <v>249</v>
      </c>
      <c r="D18" s="69"/>
      <c r="E18" s="69"/>
      <c r="F18" s="69"/>
      <c r="G18" s="56">
        <v>0.940952380952381</v>
      </c>
      <c r="H18" s="37">
        <f>$Q$50</f>
        <v>0.940952380952381</v>
      </c>
      <c r="I18" s="73">
        <f>IF(AND(ISNUMBER($G$18),ISNUMBER($H$18)),ABS($H$18-$G$18),"")</f>
        <v>0</v>
      </c>
      <c r="J18" s="74">
        <v>1E-09</v>
      </c>
      <c r="K18" s="39" t="str">
        <f>IF(AND(ISNUMBER($G$18),ISNUMBER($H$18)),IF(ABS($H$18-$G$18)&lt;=$J$18,"PASS","FAIL"),"FAIL")</f>
        <v>PASS</v>
      </c>
    </row>
    <row r="19" spans="2:11" ht="16.2" customHeight="1">
      <c r="B19" s="59">
        <v>9</v>
      </c>
      <c r="C19" s="69" t="s">
        <v>250</v>
      </c>
      <c r="D19" s="69"/>
      <c r="E19" s="69"/>
      <c r="F19" s="69"/>
      <c r="G19" s="56">
        <v>0.988</v>
      </c>
      <c r="H19" s="37">
        <f>$R$50</f>
        <v>0.988</v>
      </c>
      <c r="I19" s="73">
        <f>IF(AND(ISNUMBER($G$19),ISNUMBER($H$19)),ABS($H$19-$G$19),"")</f>
        <v>0</v>
      </c>
      <c r="J19" s="74">
        <v>1E-09</v>
      </c>
      <c r="K19" s="39" t="str">
        <f>IF(AND(ISNUMBER($G$19),ISNUMBER($H$19)),IF(ABS($H$19-$G$19)&lt;=$J$19,"PASS","FAIL"),"FAIL")</f>
        <v>PASS</v>
      </c>
    </row>
    <row r="20" spans="2:11" ht="16.2" customHeight="1">
      <c r="B20" s="59">
        <v>10</v>
      </c>
      <c r="C20" s="69" t="s">
        <v>251</v>
      </c>
      <c r="D20" s="69"/>
      <c r="E20" s="69"/>
      <c r="F20" s="69"/>
      <c r="G20" s="75">
        <v>74.09999999999999</v>
      </c>
      <c r="H20" s="76">
        <f>$S$50</f>
        <v>74.1</v>
      </c>
      <c r="I20" s="73">
        <f>IF(AND(ISNUMBER($G$20),ISNUMBER($H$20)),ABS($H$20-$G$20),"")</f>
        <v>0</v>
      </c>
      <c r="J20" s="74">
        <v>1E-09</v>
      </c>
      <c r="K20" s="39" t="str">
        <f>IF(AND(ISNUMBER($G$20),ISNUMBER($H$20)),IF(ABS($H$20-$G$20)&lt;=$J$20,"PASS","FAIL"),"FAIL")</f>
        <v>PASS</v>
      </c>
    </row>
    <row r="21" spans="2:11" ht="16.2" customHeight="1">
      <c r="B21" s="59">
        <v>11</v>
      </c>
      <c r="C21" s="69" t="s">
        <v>252</v>
      </c>
      <c r="D21" s="69"/>
      <c r="E21" s="69"/>
      <c r="F21" s="69"/>
      <c r="G21" s="72">
        <v>875</v>
      </c>
      <c r="H21" s="38">
        <f>$N$51</f>
        <v>875</v>
      </c>
      <c r="I21" s="73">
        <f>IF(AND(ISNUMBER($G$21),ISNUMBER($H$21)),ABS($H$21-$G$21),"")</f>
        <v>0</v>
      </c>
      <c r="J21" s="74">
        <v>1E-09</v>
      </c>
      <c r="K21" s="39" t="str">
        <f>IF(AND(ISNUMBER($G$21),ISNUMBER($H$21)),IF(ABS($H$21-$G$21)&lt;=$J$21,"PASS","FAIL"),"FAIL")</f>
        <v>PASS</v>
      </c>
    </row>
    <row r="22" spans="2:11" ht="16.2" customHeight="1">
      <c r="B22" s="59">
        <v>12</v>
      </c>
      <c r="C22" s="69" t="s">
        <v>253</v>
      </c>
      <c r="D22" s="69"/>
      <c r="E22" s="69"/>
      <c r="F22" s="69"/>
      <c r="G22" s="56">
        <v>0.7475000000000001</v>
      </c>
      <c r="H22" s="37">
        <f>$P$51</f>
        <v>0.7475</v>
      </c>
      <c r="I22" s="73">
        <f>IF(AND(ISNUMBER($G$22),ISNUMBER($H$22)),ABS($H$22-$G$22),"")</f>
        <v>0</v>
      </c>
      <c r="J22" s="74">
        <v>1E-09</v>
      </c>
      <c r="K22" s="39" t="str">
        <f>IF(AND(ISNUMBER($G$22),ISNUMBER($H$22)),IF(ABS($H$22-$G$22)&lt;=$J$22,"PASS","FAIL"),"FAIL")</f>
        <v>PASS</v>
      </c>
    </row>
    <row r="23" spans="2:11" ht="16.2" customHeight="1">
      <c r="B23" s="59">
        <v>13</v>
      </c>
      <c r="C23" s="69" t="s">
        <v>254</v>
      </c>
      <c r="D23" s="69"/>
      <c r="E23" s="69"/>
      <c r="F23" s="69"/>
      <c r="G23" s="56">
        <v>0.6834285714285714</v>
      </c>
      <c r="H23" s="37">
        <f>$Q$51</f>
        <v>0.683428571428571</v>
      </c>
      <c r="I23" s="73">
        <f>IF(AND(ISNUMBER($G$23),ISNUMBER($H$23)),ABS($H$23-$G$23),"")</f>
        <v>0</v>
      </c>
      <c r="J23" s="74">
        <v>1E-09</v>
      </c>
      <c r="K23" s="39" t="str">
        <f>IF(AND(ISNUMBER($G$23),ISNUMBER($H$23)),IF(ABS($H$23-$G$23)&lt;=$J$23,"PASS","FAIL"),"FAIL")</f>
        <v>PASS</v>
      </c>
    </row>
    <row r="24" spans="2:11" ht="16.2" customHeight="1">
      <c r="B24" s="59">
        <v>14</v>
      </c>
      <c r="C24" s="69" t="s">
        <v>255</v>
      </c>
      <c r="D24" s="69"/>
      <c r="E24" s="69"/>
      <c r="F24" s="69"/>
      <c r="G24" s="56">
        <v>0.980327868852459</v>
      </c>
      <c r="H24" s="37">
        <f>$R$51</f>
        <v>0.980327868852459</v>
      </c>
      <c r="I24" s="73">
        <f>IF(AND(ISNUMBER($G$24),ISNUMBER($H$24)),ABS($H$24-$G$24),"")</f>
        <v>0</v>
      </c>
      <c r="J24" s="74">
        <v>1E-09</v>
      </c>
      <c r="K24" s="39" t="str">
        <f>IF(AND(ISNUMBER($G$24),ISNUMBER($H$24)),IF(ABS($H$24-$G$24)&lt;=$J$24,"PASS","FAIL"),"FAIL")</f>
        <v>PASS</v>
      </c>
    </row>
    <row r="25" spans="2:11" ht="16.2" customHeight="1">
      <c r="B25" s="59">
        <v>15</v>
      </c>
      <c r="C25" s="69" t="s">
        <v>256</v>
      </c>
      <c r="D25" s="69"/>
      <c r="E25" s="69"/>
      <c r="F25" s="69"/>
      <c r="G25" s="75">
        <v>21.35714285714286</v>
      </c>
      <c r="H25" s="76">
        <f>$S$51</f>
        <v>21.3571428571429</v>
      </c>
      <c r="I25" s="73">
        <f>IF(AND(ISNUMBER($G$25),ISNUMBER($H$25)),ABS($H$25-$G$25),"")</f>
        <v>0</v>
      </c>
      <c r="J25" s="74">
        <v>1E-09</v>
      </c>
      <c r="K25" s="39" t="str">
        <f>IF(AND(ISNUMBER($G$25),ISNUMBER($H$25)),IF(ABS($H$25-$G$25)&lt;=$J$25,"PASS","FAIL"),"FAIL")</f>
        <v>PASS</v>
      </c>
    </row>
    <row r="26" spans="2:11" ht="16.2" customHeight="1">
      <c r="B26" s="59">
        <v>16</v>
      </c>
      <c r="C26" s="69" t="s">
        <v>257</v>
      </c>
      <c r="D26" s="69"/>
      <c r="E26" s="69"/>
      <c r="F26" s="69"/>
      <c r="G26" s="68" t="s">
        <v>258</v>
      </c>
      <c r="H26" s="60" t="str">
        <f>$T$49</f>
        <v>Near target</v>
      </c>
      <c r="I26" s="60"/>
      <c r="J26" s="70" t="s">
        <v>259</v>
      </c>
      <c r="K26" s="39" t="str">
        <f>IF($H$26&amp;""=$G$26&amp;"","PASS","FAIL")</f>
        <v>PASS</v>
      </c>
    </row>
    <row r="27" spans="2:11" ht="16.2" customHeight="1">
      <c r="B27" s="59">
        <v>17</v>
      </c>
      <c r="C27" s="69" t="s">
        <v>260</v>
      </c>
      <c r="D27" s="69"/>
      <c r="E27" s="69"/>
      <c r="F27" s="69"/>
      <c r="G27" s="68" t="s">
        <v>261</v>
      </c>
      <c r="H27" s="60" t="str">
        <f>$T$50</f>
        <v>On target</v>
      </c>
      <c r="I27" s="60"/>
      <c r="J27" s="70" t="s">
        <v>259</v>
      </c>
      <c r="K27" s="39" t="str">
        <f>IF($H$27&amp;""=$G$27&amp;"","PASS","FAIL")</f>
        <v>PASS</v>
      </c>
    </row>
    <row r="28" spans="2:11" ht="16.2" customHeight="1">
      <c r="B28" s="59">
        <v>18</v>
      </c>
      <c r="C28" s="69" t="s">
        <v>262</v>
      </c>
      <c r="D28" s="69"/>
      <c r="E28" s="69"/>
      <c r="F28" s="69"/>
      <c r="G28" s="77">
        <v>12</v>
      </c>
      <c r="H28" s="36">
        <f>$O$51</f>
        <v>12</v>
      </c>
      <c r="I28" s="73">
        <f>IF(AND(ISNUMBER($G$28),ISNUMBER($H$28)),ABS($H$28-$G$28),"")</f>
        <v>0</v>
      </c>
      <c r="J28" s="74">
        <v>1E-09</v>
      </c>
      <c r="K28" s="39" t="str">
        <f>IF(AND(ISNUMBER($G$28),ISNUMBER($H$28)),IF(ABS($H$28-$G$28)&lt;=$J$28,"PASS","FAIL"),"FAIL")</f>
        <v>PASS</v>
      </c>
    </row>
    <row r="29" spans="2:11" ht="16.2" customHeight="1">
      <c r="B29" s="59">
        <v>19</v>
      </c>
      <c r="C29" s="69" t="s">
        <v>263</v>
      </c>
      <c r="D29" s="69"/>
      <c r="E29" s="69"/>
      <c r="F29" s="69"/>
      <c r="G29" s="68" t="s">
        <v>264</v>
      </c>
      <c r="H29" s="60" t="str">
        <f>$V$52</f>
        <v>Give the main loss reason</v>
      </c>
      <c r="I29" s="60"/>
      <c r="J29" s="70" t="s">
        <v>259</v>
      </c>
      <c r="K29" s="39" t="str">
        <f>IF($H$29&amp;""=$G$29&amp;"","PASS","FAIL")</f>
        <v>PASS</v>
      </c>
    </row>
    <row r="30" spans="2:11" ht="16.2" customHeight="1">
      <c r="B30" s="59">
        <v>20</v>
      </c>
      <c r="C30" s="69" t="s">
        <v>265</v>
      </c>
      <c r="D30" s="69"/>
      <c r="E30" s="69"/>
      <c r="F30" s="69"/>
      <c r="G30" s="56">
        <v>0.9626415094339623</v>
      </c>
      <c r="H30" s="37">
        <f>IF((SUMIFS(tblVerifyLog[Plan (units)],tblVerifyLog[View date],"&gt;0"))=0,"",(SUMIFS(tblVerifyLog[Good (units)],tblVerifyLog[View date],"&gt;0"))/(SUMIFS(tblVerifyLog[Plan (units)],tblVerifyLog[View date],"&gt;0")))</f>
        <v>0.962641509433962</v>
      </c>
      <c r="I30" s="73">
        <f>IF(AND(ISNUMBER($G$30),ISNUMBER($H$30)),ABS($H$30-$G$30),"")</f>
        <v>0</v>
      </c>
      <c r="J30" s="74">
        <v>1E-09</v>
      </c>
      <c r="K30" s="39" t="str">
        <f>IF(AND(ISNUMBER($G$30),ISNUMBER($H$30)),IF(ABS($H$30-$G$30)&lt;=$J$30,"PASS","FAIL"),"FAIL")</f>
        <v>PASS</v>
      </c>
    </row>
    <row r="31" spans="2:11" ht="16.2" customHeight="1">
      <c r="B31" s="59">
        <v>21</v>
      </c>
      <c r="C31" s="69" t="s">
        <v>266</v>
      </c>
      <c r="D31" s="69"/>
      <c r="E31" s="69"/>
      <c r="F31" s="69"/>
      <c r="G31" s="56">
        <v>0.8647457627118644</v>
      </c>
      <c r="H31" s="37">
        <f>IF((SUMIFS(tblVerifyLog[Capacity (units)],tblVerifyLog[View date],"&gt;0"))=0,"",(SUMIFS(tblVerifyLog[Good (units)],tblVerifyLog[View date],"&gt;0"))/(SUMIFS(tblVerifyLog[Capacity (units)],tblVerifyLog[View date],"&gt;0")))</f>
        <v>0.864745762711864</v>
      </c>
      <c r="I31" s="73">
        <f>IF(AND(ISNUMBER($G$31),ISNUMBER($H$31)),ABS($H$31-$G$31),"")</f>
        <v>0</v>
      </c>
      <c r="J31" s="74">
        <v>1E-09</v>
      </c>
      <c r="K31" s="39" t="str">
        <f>IF(AND(ISNUMBER($G$31),ISNUMBER($H$31)),IF(ABS($H$31-$G$31)&lt;=$J$31,"PASS","FAIL"),"FAIL")</f>
        <v>PASS</v>
      </c>
    </row>
    <row r="32" spans="2:11" ht="16.2" customHeight="1">
      <c r="B32" s="59">
        <v>22</v>
      </c>
      <c r="C32" s="69" t="s">
        <v>267</v>
      </c>
      <c r="D32" s="69"/>
      <c r="E32" s="69"/>
      <c r="F32" s="69"/>
      <c r="G32" s="56">
        <v>0.9849420849420849</v>
      </c>
      <c r="H32" s="37">
        <f>IF((SUMIFS(tblVerifyLog[Made (units)],tblVerifyLog[View date],"&gt;0"))=0,"",(SUMIFS(tblVerifyLog[Good (units)],tblVerifyLog[View date],"&gt;0"))/(SUMIFS(tblVerifyLog[Made (units)],tblVerifyLog[View date],"&gt;0")))</f>
        <v>0.984942084942085</v>
      </c>
      <c r="I32" s="73">
        <f>IF(AND(ISNUMBER($G$32),ISNUMBER($H$32)),ABS($H$32-$G$32),"")</f>
        <v>0</v>
      </c>
      <c r="J32" s="74">
        <v>1E-09</v>
      </c>
      <c r="K32" s="39" t="str">
        <f>IF(AND(ISNUMBER($G$32),ISNUMBER($H$32)),IF(ABS($H$32-$G$32)&lt;=$J$32,"PASS","FAIL"),"FAIL")</f>
        <v>PASS</v>
      </c>
    </row>
    <row r="33" spans="2:23" ht="16.2" customHeight="1">
      <c r="B33" s="59">
        <v>23</v>
      </c>
      <c r="C33" s="69" t="s">
        <v>268</v>
      </c>
      <c r="D33" s="69"/>
      <c r="E33" s="69"/>
      <c r="F33" s="69"/>
      <c r="G33" s="75">
        <v>39.859375</v>
      </c>
      <c r="H33" s="76">
        <f>IF((SUMIFS(tblVerifyLog[Labour (h)],tblVerifyLog[View date],"&gt;0"))=0,"",(SUMIFS(tblVerifyLog[Good (units)],tblVerifyLog[View date],"&gt;0"))/(SUMIFS(tblVerifyLog[Labour (h)],tblVerifyLog[View date],"&gt;0")))</f>
        <v>39.859375</v>
      </c>
      <c r="I33" s="73">
        <f>IF(AND(ISNUMBER($G$33),ISNUMBER($H$33)),ABS($H$33-$G$33),"")</f>
        <v>0</v>
      </c>
      <c r="J33" s="74">
        <v>1E-09</v>
      </c>
      <c r="K33" s="39" t="str">
        <f>IF(AND(ISNUMBER($G$33),ISNUMBER($H$33)),IF(ABS($H$33-$G$33)&lt;=$J$33,"PASS","FAIL"),"FAIL")</f>
        <v>PASS</v>
      </c>
    </row>
    <row r="35" spans="2:23" ht="21" customHeight="1">
      <c r="B35" s="8" t="s">
        <v>269</v>
      </c>
      <c r="C35" s="8"/>
      <c r="D35" s="8"/>
      <c r="E35" s="8"/>
      <c r="F35" s="8"/>
      <c r="G35" s="8"/>
      <c r="H35" s="8"/>
      <c r="I35" s="8"/>
      <c r="J35" s="8"/>
      <c r="K35" s="8"/>
      <c r="L35" s="8"/>
    </row>
    <row r="36" spans="2:23" ht="5" customHeight="1"/>
    <row r="37" spans="2:23">
      <c r="B37" s="21" t="s">
        <v>270</v>
      </c>
      <c r="C37" s="21"/>
      <c r="D37" s="21"/>
      <c r="E37" s="21"/>
      <c r="F37" s="21"/>
      <c r="G37" s="21"/>
      <c r="H37" s="21"/>
      <c r="I37" s="21"/>
      <c r="J37" s="21"/>
      <c r="K37" s="21"/>
      <c r="L37" s="21"/>
    </row>
    <row r="38" spans="2:23">
      <c r="B38" s="31" t="s">
        <v>271</v>
      </c>
      <c r="C38" s="31"/>
      <c r="D38" s="31"/>
      <c r="E38" s="31"/>
      <c r="F38" s="31"/>
    </row>
    <row r="39" spans="2:23">
      <c r="B39" s="27" t="s">
        <v>272</v>
      </c>
      <c r="C39" s="27"/>
      <c r="D39" s="27"/>
      <c r="E39" s="77">
        <v>0</v>
      </c>
      <c r="F39" s="7"/>
    </row>
    <row r="40" spans="2:23">
      <c r="B40" s="27" t="s">
        <v>273</v>
      </c>
      <c r="C40" s="27"/>
      <c r="D40" s="27"/>
      <c r="E40" s="77">
        <v>2958465</v>
      </c>
      <c r="F40" s="7"/>
    </row>
    <row r="41" spans="2:23">
      <c r="B41" s="27" t="s">
        <v>274</v>
      </c>
      <c r="C41" s="27"/>
      <c r="D41" s="27"/>
      <c r="E41" s="68" t="s">
        <v>141</v>
      </c>
      <c r="F41" s="68"/>
    </row>
    <row r="42" spans="2:23">
      <c r="B42" s="27" t="s">
        <v>73</v>
      </c>
      <c r="C42" s="27"/>
      <c r="D42" s="27"/>
      <c r="E42" s="56">
        <v>0.95</v>
      </c>
      <c r="F42" s="7"/>
    </row>
    <row r="43" spans="2:23">
      <c r="B43" s="27" t="s">
        <v>74</v>
      </c>
      <c r="C43" s="27"/>
      <c r="D43" s="27"/>
      <c r="E43" s="56">
        <v>0.8</v>
      </c>
      <c r="F43" s="7"/>
    </row>
    <row r="44" spans="2:23">
      <c r="B44" s="27" t="s">
        <v>75</v>
      </c>
      <c r="C44" s="27"/>
      <c r="D44" s="27"/>
      <c r="E44" s="56">
        <v>0.985</v>
      </c>
      <c r="F44" s="7"/>
    </row>
    <row r="45" spans="2:23">
      <c r="B45" s="27" t="s">
        <v>76</v>
      </c>
      <c r="C45" s="27"/>
      <c r="D45" s="27"/>
      <c r="E45" s="72">
        <v>300</v>
      </c>
      <c r="F45" s="7"/>
    </row>
    <row r="47" spans="2:23">
      <c r="B47" s="31" t="s">
        <v>275</v>
      </c>
      <c r="C47" s="31"/>
      <c r="D47" s="31"/>
      <c r="E47" s="31"/>
      <c r="F47" s="31"/>
      <c r="G47" s="31"/>
      <c r="H47" s="31"/>
      <c r="I47" s="31"/>
      <c r="J47" s="31"/>
      <c r="K47" s="31"/>
      <c r="L47" s="31"/>
    </row>
    <row r="48" spans="2:23" ht="32" customHeight="1">
      <c r="B48" s="32" t="s">
        <v>122</v>
      </c>
      <c r="C48" s="32" t="s">
        <v>63</v>
      </c>
      <c r="D48" s="32" t="s">
        <v>60</v>
      </c>
      <c r="E48" s="32" t="s">
        <v>66</v>
      </c>
      <c r="F48" s="32" t="s">
        <v>123</v>
      </c>
      <c r="G48" s="32" t="s">
        <v>124</v>
      </c>
      <c r="H48" s="32" t="s">
        <v>125</v>
      </c>
      <c r="I48" s="32" t="s">
        <v>126</v>
      </c>
      <c r="J48" s="32" t="s">
        <v>127</v>
      </c>
      <c r="K48" s="32" t="s">
        <v>128</v>
      </c>
      <c r="L48" s="32" t="s">
        <v>129</v>
      </c>
      <c r="M48" s="32" t="s">
        <v>67</v>
      </c>
      <c r="N48" s="32" t="s">
        <v>130</v>
      </c>
      <c r="O48" s="32" t="s">
        <v>131</v>
      </c>
      <c r="P48" s="32" t="s">
        <v>132</v>
      </c>
      <c r="Q48" s="32" t="s">
        <v>133</v>
      </c>
      <c r="R48" s="32" t="s">
        <v>134</v>
      </c>
      <c r="S48" s="32" t="s">
        <v>135</v>
      </c>
      <c r="T48" s="32" t="s">
        <v>136</v>
      </c>
      <c r="U48" s="32" t="s">
        <v>137</v>
      </c>
      <c r="V48" s="32" t="s">
        <v>138</v>
      </c>
      <c r="W48" s="32" t="s">
        <v>139</v>
      </c>
    </row>
    <row r="49" spans="2:23">
      <c r="B49" s="78">
        <v>46027</v>
      </c>
      <c r="C49" s="68" t="s">
        <v>276</v>
      </c>
      <c r="D49" s="68" t="s">
        <v>277</v>
      </c>
      <c r="E49" s="68" t="s">
        <v>278</v>
      </c>
      <c r="F49" s="77">
        <v>900</v>
      </c>
      <c r="G49" s="77">
        <v>480</v>
      </c>
      <c r="H49" s="77">
        <v>40</v>
      </c>
      <c r="I49" s="68" t="s">
        <v>279</v>
      </c>
      <c r="J49" s="77">
        <v>870</v>
      </c>
      <c r="K49" s="77">
        <v>850</v>
      </c>
      <c r="L49" s="72">
        <v>32</v>
      </c>
      <c r="M49" s="77">
        <v>125</v>
      </c>
      <c r="N49" s="36">
        <f>IF(tblVerifyLog[[#This Row],[Date]]="","",IF(tblVerifyLog[[#This Row],[Rated speed (units/h)]]="","",tblVerifyLog[[#This Row],[Rated speed (units/h)]]*tblVerifyLog[[#This Row],[Planned (min)]]/60))</f>
        <v>1000</v>
      </c>
      <c r="O49" s="36">
        <f>IF(tblVerifyLog[[#This Row],[Date]]="","",tblVerifyLog[[#This Row],[Made (units)]]-tblVerifyLog[[#This Row],[Good (units)]])</f>
        <v>20</v>
      </c>
      <c r="P49" s="37">
        <f>IF(tblVerifyLog[[#This Row],[Date]]="","",IF(tblVerifyLog[[#This Row],[Plan (units)]]&gt;0,tblVerifyLog[[#This Row],[Good (units)]]/tblVerifyLog[[#This Row],[Plan (units)]],""))</f>
        <v>0.944444444444444</v>
      </c>
      <c r="Q49" s="37">
        <f>IF(tblVerifyLog[[#This Row],[Date]]="","",IF(N(tblVerifyLog[[#This Row],[Capacity (units)]])&gt;0,tblVerifyLog[[#This Row],[Good (units)]]/tblVerifyLog[[#This Row],[Capacity (units)]],""))</f>
        <v>0.85</v>
      </c>
      <c r="R49" s="37">
        <f>IF(tblVerifyLog[[#This Row],[Date]]="","",IF(tblVerifyLog[[#This Row],[Made (units)]]&gt;0,tblVerifyLog[[#This Row],[Good (units)]]/tblVerifyLog[[#This Row],[Made (units)]],""))</f>
        <v>0.977011494252874</v>
      </c>
      <c r="S49" s="38">
        <f>IF(tblVerifyLog[[#This Row],[Date]]="","",IF(tblVerifyLog[[#This Row],[Labour (h)]]&gt;0,tblVerifyLog[[#This Row],[Good (units)]]/tblVerifyLog[[#This Row],[Labour (h)]],""))</f>
        <v>26.5625</v>
      </c>
      <c r="T49" s="39" t="str">
        <f>IF(NOT(ISNUMBER(tblVerifyLog[[#This Row],[Attainment]])),"",IF(tblVerifyLog[[#This Row],[Attainment]]&gt;=$E$42,"On target",IF(tblVerifyLog[[#This Row],[Attainment]]&gt;=$E$42*(1-0.05),"Near target","Below target")))</f>
        <v>Near target</v>
      </c>
      <c r="U49" s="40">
        <f>IF(tblVerifyLog[[#This Row],[Date]]="","",IF(AND(tblVerifyLog[[#This Row],[Date]]&gt;=$E$39,tblVerifyLog[[#This Row],[Date]]&lt;=$E$40,OR($E$41="",tblVerifyLog[[#This Row],[Line]]=$E$41)),tblVerifyLog[[#This Row],[Date]],""))</f>
        <v>46027</v>
      </c>
      <c r="V49" s="41" t="str">
        <f>IF(tblVerifyLog[[#This Row],[Date]]="","",IF(tblVerifyLog[[#This Row],[Shift]]="","Missing shift",IF(tblVerifyLog[[#This Row],[Line]]="","Missing line",IF(tblVerifyLog[[#This Row],[Product]]="","Missing product",IF(tblVerifyLog[[#This Row],[Good (units)]]="","Missing good",IF(tblVerifyLog[[#This Row],[Rated speed (units/h)]]="","Product not on Setup list",IF(tblVerifyLog[[#This Row],[Good (units)]]&gt;tblVerifyLog[[#This Row],[Made (units)]],"Good &gt; made",IF(tblVerifyLog[[#This Row],[Downtime (min)]]&gt;tblVerifyLog[[#This Row],[Planned (min)]],"Downtime &gt; planned time",IF(AND(tblVerifyLog[[#This Row],[Downtime (min)]]&gt;0,tblVerifyLog[[#This Row],[Main loss]]=""),"Give the main loss reason",IF(tblVerifyLog[[#This Row],[Made (units)]]&gt;tblVerifyLog[[#This Row],[Capacity (units)]]*1.02,"Above rated speed: check speed",IF(COUNTIFS(tblVerifyLog[Date],tblVerifyLog[[#This Row],[Date]],tblVerifyLog[Shift],tblVerifyLog[[#This Row],[Shift]],tblVerifyLog[Line],tblVerifyLog[[#This Row],[Line]])&gt;1,"Duplicate line-shift row","OK")))))))))))</f>
        <v>OK</v>
      </c>
      <c r="W49" s="68"/>
    </row>
    <row r="50" spans="2:23">
      <c r="B50" s="78">
        <v>46027</v>
      </c>
      <c r="C50" s="68" t="s">
        <v>280</v>
      </c>
      <c r="D50" s="68" t="s">
        <v>277</v>
      </c>
      <c r="E50" s="68" t="s">
        <v>281</v>
      </c>
      <c r="F50" s="77">
        <v>2800</v>
      </c>
      <c r="G50" s="77">
        <v>450</v>
      </c>
      <c r="H50" s="77">
        <v>0</v>
      </c>
      <c r="I50" s="68"/>
      <c r="J50" s="77">
        <v>3000</v>
      </c>
      <c r="K50" s="77">
        <v>2964</v>
      </c>
      <c r="L50" s="72">
        <v>40</v>
      </c>
      <c r="M50" s="77">
        <v>420</v>
      </c>
      <c r="N50" s="36">
        <f>IF(tblVerifyLog[[#This Row],[Date]]="","",IF(tblVerifyLog[[#This Row],[Rated speed (units/h)]]="","",tblVerifyLog[[#This Row],[Rated speed (units/h)]]*tblVerifyLog[[#This Row],[Planned (min)]]/60))</f>
        <v>3150</v>
      </c>
      <c r="O50" s="36">
        <f>IF(tblVerifyLog[[#This Row],[Date]]="","",tblVerifyLog[[#This Row],[Made (units)]]-tblVerifyLog[[#This Row],[Good (units)]])</f>
        <v>36</v>
      </c>
      <c r="P50" s="37">
        <f>IF(tblVerifyLog[[#This Row],[Date]]="","",IF(tblVerifyLog[[#This Row],[Plan (units)]]&gt;0,tblVerifyLog[[#This Row],[Good (units)]]/tblVerifyLog[[#This Row],[Plan (units)]],""))</f>
        <v>1.05857142857143</v>
      </c>
      <c r="Q50" s="37">
        <f>IF(tblVerifyLog[[#This Row],[Date]]="","",IF(N(tblVerifyLog[[#This Row],[Capacity (units)]])&gt;0,tblVerifyLog[[#This Row],[Good (units)]]/tblVerifyLog[[#This Row],[Capacity (units)]],""))</f>
        <v>0.940952380952381</v>
      </c>
      <c r="R50" s="37">
        <f>IF(tblVerifyLog[[#This Row],[Date]]="","",IF(tblVerifyLog[[#This Row],[Made (units)]]&gt;0,tblVerifyLog[[#This Row],[Good (units)]]/tblVerifyLog[[#This Row],[Made (units)]],""))</f>
        <v>0.988</v>
      </c>
      <c r="S50" s="38">
        <f>IF(tblVerifyLog[[#This Row],[Date]]="","",IF(tblVerifyLog[[#This Row],[Labour (h)]]&gt;0,tblVerifyLog[[#This Row],[Good (units)]]/tblVerifyLog[[#This Row],[Labour (h)]],""))</f>
        <v>74.1</v>
      </c>
      <c r="T50" s="39" t="str">
        <f>IF(NOT(ISNUMBER(tblVerifyLog[[#This Row],[Attainment]])),"",IF(tblVerifyLog[[#This Row],[Attainment]]&gt;=$E$42,"On target",IF(tblVerifyLog[[#This Row],[Attainment]]&gt;=$E$42*(1-0.05),"Near target","Below target")))</f>
        <v>On target</v>
      </c>
      <c r="U50" s="40">
        <f>IF(tblVerifyLog[[#This Row],[Date]]="","",IF(AND(tblVerifyLog[[#This Row],[Date]]&gt;=$E$39,tblVerifyLog[[#This Row],[Date]]&lt;=$E$40,OR($E$41="",tblVerifyLog[[#This Row],[Line]]=$E$41)),tblVerifyLog[[#This Row],[Date]],""))</f>
        <v>46027</v>
      </c>
      <c r="V50" s="41" t="str">
        <f>IF(tblVerifyLog[[#This Row],[Date]]="","",IF(tblVerifyLog[[#This Row],[Shift]]="","Missing shift",IF(tblVerifyLog[[#This Row],[Line]]="","Missing line",IF(tblVerifyLog[[#This Row],[Product]]="","Missing product",IF(tblVerifyLog[[#This Row],[Good (units)]]="","Missing good",IF(tblVerifyLog[[#This Row],[Rated speed (units/h)]]="","Product not on Setup list",IF(tblVerifyLog[[#This Row],[Good (units)]]&gt;tblVerifyLog[[#This Row],[Made (units)]],"Good &gt; made",IF(tblVerifyLog[[#This Row],[Downtime (min)]]&gt;tblVerifyLog[[#This Row],[Planned (min)]],"Downtime &gt; planned time",IF(AND(tblVerifyLog[[#This Row],[Downtime (min)]]&gt;0,tblVerifyLog[[#This Row],[Main loss]]=""),"Give the main loss reason",IF(tblVerifyLog[[#This Row],[Made (units)]]&gt;tblVerifyLog[[#This Row],[Capacity (units)]]*1.02,"Above rated speed: check speed",IF(COUNTIFS(tblVerifyLog[Date],tblVerifyLog[[#This Row],[Date]],tblVerifyLog[Shift],tblVerifyLog[[#This Row],[Shift]],tblVerifyLog[Line],tblVerifyLog[[#This Row],[Line]])&gt;1,"Duplicate line-shift row","OK")))))))))))</f>
        <v>OK</v>
      </c>
      <c r="W50" s="68"/>
    </row>
    <row r="51" spans="2:23">
      <c r="B51" s="78">
        <v>46028</v>
      </c>
      <c r="C51" s="68" t="s">
        <v>276</v>
      </c>
      <c r="D51" s="68" t="s">
        <v>282</v>
      </c>
      <c r="E51" s="68" t="s">
        <v>278</v>
      </c>
      <c r="F51" s="77">
        <v>800</v>
      </c>
      <c r="G51" s="77">
        <v>420</v>
      </c>
      <c r="H51" s="77">
        <v>95</v>
      </c>
      <c r="I51" s="68" t="s">
        <v>283</v>
      </c>
      <c r="J51" s="77">
        <v>610</v>
      </c>
      <c r="K51" s="77">
        <v>598</v>
      </c>
      <c r="L51" s="72">
        <v>28</v>
      </c>
      <c r="M51" s="77">
        <v>125</v>
      </c>
      <c r="N51" s="36">
        <f>IF(tblVerifyLog[[#This Row],[Date]]="","",IF(tblVerifyLog[[#This Row],[Rated speed (units/h)]]="","",tblVerifyLog[[#This Row],[Rated speed (units/h)]]*tblVerifyLog[[#This Row],[Planned (min)]]/60))</f>
        <v>875</v>
      </c>
      <c r="O51" s="36">
        <f>IF(tblVerifyLog[[#This Row],[Date]]="","",tblVerifyLog[[#This Row],[Made (units)]]-tblVerifyLog[[#This Row],[Good (units)]])</f>
        <v>12</v>
      </c>
      <c r="P51" s="37">
        <f>IF(tblVerifyLog[[#This Row],[Date]]="","",IF(tblVerifyLog[[#This Row],[Plan (units)]]&gt;0,tblVerifyLog[[#This Row],[Good (units)]]/tblVerifyLog[[#This Row],[Plan (units)]],""))</f>
        <v>0.7475</v>
      </c>
      <c r="Q51" s="37">
        <f>IF(tblVerifyLog[[#This Row],[Date]]="","",IF(N(tblVerifyLog[[#This Row],[Capacity (units)]])&gt;0,tblVerifyLog[[#This Row],[Good (units)]]/tblVerifyLog[[#This Row],[Capacity (units)]],""))</f>
        <v>0.683428571428571</v>
      </c>
      <c r="R51" s="37">
        <f>IF(tblVerifyLog[[#This Row],[Date]]="","",IF(tblVerifyLog[[#This Row],[Made (units)]]&gt;0,tblVerifyLog[[#This Row],[Good (units)]]/tblVerifyLog[[#This Row],[Made (units)]],""))</f>
        <v>0.980327868852459</v>
      </c>
      <c r="S51" s="38">
        <f>IF(tblVerifyLog[[#This Row],[Date]]="","",IF(tblVerifyLog[[#This Row],[Labour (h)]]&gt;0,tblVerifyLog[[#This Row],[Good (units)]]/tblVerifyLog[[#This Row],[Labour (h)]],""))</f>
        <v>21.3571428571429</v>
      </c>
      <c r="T51" s="39" t="str">
        <f>IF(NOT(ISNUMBER(tblVerifyLog[[#This Row],[Attainment]])),"",IF(tblVerifyLog[[#This Row],[Attainment]]&gt;=$E$42,"On target",IF(tblVerifyLog[[#This Row],[Attainment]]&gt;=$E$42*(1-0.05),"Near target","Below target")))</f>
        <v>Below target</v>
      </c>
      <c r="U51" s="40">
        <f>IF(tblVerifyLog[[#This Row],[Date]]="","",IF(AND(tblVerifyLog[[#This Row],[Date]]&gt;=$E$39,tblVerifyLog[[#This Row],[Date]]&lt;=$E$40,OR($E$41="",tblVerifyLog[[#This Row],[Line]]=$E$41)),tblVerifyLog[[#This Row],[Date]],""))</f>
        <v>46028</v>
      </c>
      <c r="V51" s="41" t="str">
        <f>IF(tblVerifyLog[[#This Row],[Date]]="","",IF(tblVerifyLog[[#This Row],[Shift]]="","Missing shift",IF(tblVerifyLog[[#This Row],[Line]]="","Missing line",IF(tblVerifyLog[[#This Row],[Product]]="","Missing product",IF(tblVerifyLog[[#This Row],[Good (units)]]="","Missing good",IF(tblVerifyLog[[#This Row],[Rated speed (units/h)]]="","Product not on Setup list",IF(tblVerifyLog[[#This Row],[Good (units)]]&gt;tblVerifyLog[[#This Row],[Made (units)]],"Good &gt; made",IF(tblVerifyLog[[#This Row],[Downtime (min)]]&gt;tblVerifyLog[[#This Row],[Planned (min)]],"Downtime &gt; planned time",IF(AND(tblVerifyLog[[#This Row],[Downtime (min)]]&gt;0,tblVerifyLog[[#This Row],[Main loss]]=""),"Give the main loss reason",IF(tblVerifyLog[[#This Row],[Made (units)]]&gt;tblVerifyLog[[#This Row],[Capacity (units)]]*1.02,"Above rated speed: check speed",IF(COUNTIFS(tblVerifyLog[Date],tblVerifyLog[[#This Row],[Date]],tblVerifyLog[Shift],tblVerifyLog[[#This Row],[Shift]],tblVerifyLog[Line],tblVerifyLog[[#This Row],[Line]])&gt;1,"Duplicate line-shift row","OK")))))))))))</f>
        <v>OK</v>
      </c>
      <c r="W51" s="68"/>
    </row>
    <row r="52" spans="2:23">
      <c r="B52" s="78">
        <v>46028</v>
      </c>
      <c r="C52" s="68" t="s">
        <v>280</v>
      </c>
      <c r="D52" s="68" t="s">
        <v>282</v>
      </c>
      <c r="E52" s="68" t="s">
        <v>278</v>
      </c>
      <c r="F52" s="77">
        <v>800</v>
      </c>
      <c r="G52" s="77">
        <v>420</v>
      </c>
      <c r="H52" s="77">
        <v>30</v>
      </c>
      <c r="I52" s="68"/>
      <c r="J52" s="77">
        <v>700</v>
      </c>
      <c r="K52" s="77">
        <v>690</v>
      </c>
      <c r="L52" s="72">
        <v>28</v>
      </c>
      <c r="M52" s="77">
        <v>125</v>
      </c>
      <c r="N52" s="36">
        <f>IF(tblVerifyLog[[#This Row],[Date]]="","",IF(tblVerifyLog[[#This Row],[Rated speed (units/h)]]="","",tblVerifyLog[[#This Row],[Rated speed (units/h)]]*tblVerifyLog[[#This Row],[Planned (min)]]/60))</f>
        <v>875</v>
      </c>
      <c r="O52" s="36">
        <f>IF(tblVerifyLog[[#This Row],[Date]]="","",tblVerifyLog[[#This Row],[Made (units)]]-tblVerifyLog[[#This Row],[Good (units)]])</f>
        <v>10</v>
      </c>
      <c r="P52" s="37">
        <f>IF(tblVerifyLog[[#This Row],[Date]]="","",IF(tblVerifyLog[[#This Row],[Plan (units)]]&gt;0,tblVerifyLog[[#This Row],[Good (units)]]/tblVerifyLog[[#This Row],[Plan (units)]],""))</f>
        <v>0.8625</v>
      </c>
      <c r="Q52" s="37">
        <f>IF(tblVerifyLog[[#This Row],[Date]]="","",IF(N(tblVerifyLog[[#This Row],[Capacity (units)]])&gt;0,tblVerifyLog[[#This Row],[Good (units)]]/tblVerifyLog[[#This Row],[Capacity (units)]],""))</f>
        <v>0.788571428571429</v>
      </c>
      <c r="R52" s="37">
        <f>IF(tblVerifyLog[[#This Row],[Date]]="","",IF(tblVerifyLog[[#This Row],[Made (units)]]&gt;0,tblVerifyLog[[#This Row],[Good (units)]]/tblVerifyLog[[#This Row],[Made (units)]],""))</f>
        <v>0.985714285714286</v>
      </c>
      <c r="S52" s="38">
        <f>IF(tblVerifyLog[[#This Row],[Date]]="","",IF(tblVerifyLog[[#This Row],[Labour (h)]]&gt;0,tblVerifyLog[[#This Row],[Good (units)]]/tblVerifyLog[[#This Row],[Labour (h)]],""))</f>
        <v>24.6428571428571</v>
      </c>
      <c r="T52" s="39" t="str">
        <f>IF(NOT(ISNUMBER(tblVerifyLog[[#This Row],[Attainment]])),"",IF(tblVerifyLog[[#This Row],[Attainment]]&gt;=$E$42,"On target",IF(tblVerifyLog[[#This Row],[Attainment]]&gt;=$E$42*(1-0.05),"Near target","Below target")))</f>
        <v>Below target</v>
      </c>
      <c r="U52" s="40">
        <f>IF(tblVerifyLog[[#This Row],[Date]]="","",IF(AND(tblVerifyLog[[#This Row],[Date]]&gt;=$E$39,tblVerifyLog[[#This Row],[Date]]&lt;=$E$40,OR($E$41="",tblVerifyLog[[#This Row],[Line]]=$E$41)),tblVerifyLog[[#This Row],[Date]],""))</f>
        <v>46028</v>
      </c>
      <c r="V52" s="41" t="str">
        <f>IF(tblVerifyLog[[#This Row],[Date]]="","",IF(tblVerifyLog[[#This Row],[Shift]]="","Missing shift",IF(tblVerifyLog[[#This Row],[Line]]="","Missing line",IF(tblVerifyLog[[#This Row],[Product]]="","Missing product",IF(tblVerifyLog[[#This Row],[Good (units)]]="","Missing good",IF(tblVerifyLog[[#This Row],[Rated speed (units/h)]]="","Product not on Setup list",IF(tblVerifyLog[[#This Row],[Good (units)]]&gt;tblVerifyLog[[#This Row],[Made (units)]],"Good &gt; made",IF(tblVerifyLog[[#This Row],[Downtime (min)]]&gt;tblVerifyLog[[#This Row],[Planned (min)]],"Downtime &gt; planned time",IF(AND(tblVerifyLog[[#This Row],[Downtime (min)]]&gt;0,tblVerifyLog[[#This Row],[Main loss]]=""),"Give the main loss reason",IF(tblVerifyLog[[#This Row],[Made (units)]]&gt;tblVerifyLog[[#This Row],[Capacity (units)]]*1.02,"Above rated speed: check speed",IF(COUNTIFS(tblVerifyLog[Date],tblVerifyLog[[#This Row],[Date]],tblVerifyLog[Shift],tblVerifyLog[[#This Row],[Shift]],tblVerifyLog[Line],tblVerifyLog[[#This Row],[Line]])&gt;1,"Duplicate line-shift row","OK")))))))))))</f>
        <v>Give the main loss reason</v>
      </c>
      <c r="W52" s="68"/>
    </row>
  </sheetData>
  <sheetProtection sheet="1" formatColumns="0" formatRows="0"/>
  <mergeCells count="43">
    <mergeCell ref="A1:W1"/>
    <mergeCell ref="B2:V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B35:L35"/>
    <mergeCell ref="B37:L37"/>
    <mergeCell ref="B38:F38"/>
    <mergeCell ref="B39:D39"/>
    <mergeCell ref="B40:D40"/>
    <mergeCell ref="B41:D41"/>
    <mergeCell ref="E41:F41"/>
    <mergeCell ref="B42:D42"/>
    <mergeCell ref="B43:D43"/>
    <mergeCell ref="B44:D44"/>
    <mergeCell ref="B45:D45"/>
    <mergeCell ref="B47:L47"/>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V49:V52">
    <cfRule type="expression" dxfId="3" priority="41">
      <formula>$V49="OK"</formula>
    </cfRule>
    <cfRule type="expression" dxfId="1" priority="42">
      <formula>AND($V49&lt;&gt;"",$V49&lt;&gt;"OK")</formula>
    </cfRule>
  </conditionalFormatting>
  <hyperlinks>
    <hyperlink ref="W2" r:id="rId1" tooltip="Free manufacturing calculators and templates"/>
  </hyperlinks>
  <printOptions horizontalCentered="1"/>
  <pageMargins left="0.4" right="0.4" top="0.7" bottom="0.65" header="0.3" footer="0.3"/>
  <pageSetup fitToHeight="0" orientation="landscape"/>
  <headerFooter>
    <oddHeader>&amp;L&amp;8MFG Calcs - Shift Production Report&amp;R&amp;8&amp;A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26</vt:i4>
      </vt:variant>
    </vt:vector>
  </HeadingPairs>
  <TitlesOfParts>
    <vt:vector size="32" baseType="lpstr">
      <vt:lpstr>Start Here</vt:lpstr>
      <vt:lpstr>Setup</vt:lpstr>
      <vt:lpstr>Shift Log</vt:lpstr>
      <vt:lpstr>Dashboard</vt:lpstr>
      <vt:lpstr>Method</vt:lpstr>
      <vt:lpstr>Verify</vt:lpstr>
      <vt:lpstr>DashFrom</vt:lpstr>
      <vt:lpstr>DashLine</vt:lpstr>
      <vt:lpstr>DashTo</vt:lpstr>
      <vt:lpstr>KpiAttain</vt:lpstr>
      <vt:lpstr>KpiDown</vt:lpstr>
      <vt:lpstr>KpiEff</vt:lpstr>
      <vt:lpstr>KpiFPY</vt:lpstr>
      <vt:lpstr>KpiGood</vt:lpstr>
      <vt:lpstr>KpiScrap</vt:lpstr>
      <vt:lpstr>KpiTop</vt:lpstr>
      <vt:lpstr>KpiUPLH</vt:lpstr>
      <vt:lpstr>PlantName</vt:lpstr>
      <vt:lpstr>Dashboard!Print_Area</vt:lpstr>
      <vt:lpstr>Method!Print_Area</vt:lpstr>
      <vt:lpstr>Setup!Print_Area</vt:lpstr>
      <vt:lpstr>'Shift Log'!Print_Area</vt:lpstr>
      <vt:lpstr>'Start Here'!Print_Area</vt:lpstr>
      <vt:lpstr>Verify!Print_Area</vt:lpstr>
      <vt:lpstr>Method!Print_Titles</vt:lpstr>
      <vt:lpstr>'Shift Log'!Print_Titles</vt:lpstr>
      <vt:lpstr>SelfCheck</vt:lpstr>
      <vt:lpstr>SelfCheckSummary</vt:lpstr>
      <vt:lpstr>TargetAttain</vt:lpstr>
      <vt:lpstr>TargetEff</vt:lpstr>
      <vt:lpstr>TargetFPY</vt:lpstr>
      <vt:lpstr>TargetUPLH</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Shift Production Report - free Excel template from MFG Calcs</dc:title>
  <dc:subject>Record each line's shift in one row and see plan attainment, line efficiency, yield, labour productivity and the main stop reasons by day, line and shift.</dc:subject>
  <dc:creator>MFG Calcs</dc:creator>
  <cp:keywords>shift report, production report, plan attainment, line efficiency, first-pass yield, units per labour hour, downtime, handover</cp:keywords>
  <dc:description>https://www.mfgcalcs.com/templates/shift-production-report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shift-production-report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https://www.mfgcalcs.com/templates/shift-production-report</vt:lpwstr>
  </property>
  <property fmtid="{D5CDD505-2E9C-101B-9397-08002B2CF9AE}" pid="7" name="Template sheet roles">
    <vt:lpwstr>Start Here=start;Setup=setup;Shift Log=work;Dashboard=dashboard;Method=method;Verify=verify</vt:lpwstr>
  </property>
</Properties>
</file>