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Rota" sheetId="3" r:id="rId3"/>
    <sheet name="Dashboard" sheetId="4" r:id="rId4"/>
    <sheet name="Method" sheetId="5" r:id="rId5"/>
    <sheet name="Verify" sheetId="6" r:id="rId6"/>
  </sheets>
  <definedNames>
    <definedName name="Anchor">Setup!$D$8</definedName>
    <definedName name="ContractHours">Setup!$D$11</definedName>
    <definedName name="CrewOffset">Setup!$D$14</definedName>
    <definedName name="Crews">tblCrews[Crew]</definedName>
    <definedName name="CycleDays">Setup!$D$13</definedName>
    <definedName name="KpiAbove">Dashboard!$J$7</definedName>
    <definedName name="KpiAvgWk">Dashboard!$G$7</definedName>
    <definedName name="KpiLowest">Dashboard!$B$7</definedName>
    <definedName name="KpiShort">Dashboard!$D$7</definedName>
    <definedName name="Pattern">Setup!$D$7</definedName>
    <definedName name="PatternList">tblPatternList[Pattern]</definedName>
    <definedName name="PatternNames">tblPatternList[Pattern]</definedName>
    <definedName name="PatternNo">Setup!$D$12</definedName>
    <definedName name="Patterns">tblPatterns[Cycle day]</definedName>
    <definedName name="PlantName">Setup!$D$6</definedName>
    <definedName name="PlanWeek1">IF(COUNT(tblRota[Date])=0,0,MIN(tblRota[Date]))</definedName>
    <definedName name="_xlnm.Print_Area" localSheetId="3">Dashboard!$A$1:$L$53</definedName>
    <definedName name="_xlnm.Print_Area" localSheetId="4">Method!$A$1:$D$59</definedName>
    <definedName name="_xlnm.Print_Area" localSheetId="2">Rota!$A$1:$W$89</definedName>
    <definedName name="_xlnm.Print_Area" localSheetId="1">Setup!$A$1:$G$72</definedName>
    <definedName name="_xlnm.Print_Area" localSheetId="0">'Start Here'!$A$1:$F$55</definedName>
    <definedName name="_xlnm.Print_Area" localSheetId="5">Verify!$A$1:$W$116</definedName>
    <definedName name="_xlnm.Print_Titles" localSheetId="4">Method!$1:$2</definedName>
    <definedName name="_xlnm.Print_Titles" localSheetId="2">Rota!$1:$5</definedName>
    <definedName name="ReqPerShift">Setup!$D$9</definedName>
    <definedName name="SelfCheck">Verify!$D$4</definedName>
    <definedName name="SelfCheckSummary">Verify!$F$4</definedName>
    <definedName name="ShiftHours">Setup!$D$15</definedName>
    <definedName name="TargetCover">Setup!$D$10</definedName>
  </definedNames>
  <calcPr calcId="124519" fullCalcOnLoad="1"/>
</workbook>
</file>

<file path=xl/sharedStrings.xml><?xml version="1.0" encoding="utf-8"?>
<sst xmlns="http://schemas.openxmlformats.org/spreadsheetml/2006/main" count="828" uniqueCount="274">
  <si>
    <t>4-Crew Shift Rotation Schedule</t>
  </si>
  <si>
    <t>Read this first: what the workbook does and how to use it.</t>
  </si>
  <si>
    <t>mfgcalcs.com</t>
  </si>
  <si>
    <t>Pick a four-crew 12-hour pattern and see who is on days and nights every day, people on shift against the minimum, and each crew's hours, weekends and holidays.</t>
  </si>
  <si>
    <t>For: Plant and operations managers, shift supervisors, HR and scheduling staff in plants that run around the clock.</t>
  </si>
  <si>
    <t>Version 1.0.0  ·  updated 15 October 2026</t>
  </si>
  <si>
    <t>Quick start</t>
  </si>
  <si>
    <t>1.</t>
  </si>
  <si>
    <t>On Setup, choose the rotation pattern, the date crew A starts cycle day 1, the shift length and the people required on every shift; enter your four crews and their headcount.</t>
  </si>
  <si>
    <t>2.</t>
  </si>
  <si>
    <t>On Rota, keep one row per date (the example covers 12 weeks); mark public holidays and type the people on planned leave for each day and night shift.</t>
  </si>
  <si>
    <t>3.</t>
  </si>
  <si>
    <t>Read the Check column (exactly one crew on days and one on nights) and the Status column: Below target means a shift is short of people.</t>
  </si>
  <si>
    <t>4.</t>
  </si>
  <si>
    <t>Open the Dashboard: people on shift against the minimum, weekends and holidays per crew, and hours against contract hours.</t>
  </si>
  <si>
    <t>What is in this workbook</t>
  </si>
  <si>
    <t>Start Here</t>
  </si>
  <si>
    <t>Setup</t>
  </si>
  <si>
    <t>Rotation pattern, required people per shift, the four crews and the pattern codes.</t>
  </si>
  <si>
    <t>Rota</t>
  </si>
  <si>
    <t>One row per date: each crew's shift, who is on days and nights, people on shift and coverage.</t>
  </si>
  <si>
    <t>Dashboard</t>
  </si>
  <si>
    <t>People on shift against the minimum, weekends and holidays per crew, and hours against contract hours.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</si>
  <si>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</si>
  <si>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</si>
  <si>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</si>
  <si>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</si>
  <si>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</si>
  <si>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</si>
  <si>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</si>
  <si>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</si>
  <si>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</si>
  <si>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</si>
  <si>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</si>
  <si>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</si>
  <si>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</si>
  <si>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</si>
  <si>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</si>
  <si>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</si>
  <si>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</si>
  <si>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</si>
  <si>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</si>
  <si>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</si>
  <si>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Shift Coverage Calculator on mfgcalcs.com</t>
  </si>
  <si>
    <t>Latest version</t>
  </si>
  <si>
    <t>mfgcalcs.com/templates/shift-rotation-schedule</t>
  </si>
  <si>
    <t>More free templates</t>
  </si>
  <si>
    <t>mfgcalcs.com/templates</t>
  </si>
  <si>
    <t>Version</t>
  </si>
  <si>
    <t>1.0.0 (updated 15 October 2026)</t>
  </si>
  <si>
    <t>About the example data</t>
  </si>
  <si>
    <t>Every number already in this workbook is example data for Eastbank Polymers, a fictional business invented for this template, so the dashboard and charts show something meaningful on day one. It runs four crews on the 2-2-3 (Panama) pattern for 12 weeks from 5 October 2026, with planned leave and two holidays,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</si>
  <si>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</si>
  <si>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</si>
  <si>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</si>
  <si>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</si>
  <si>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</si>
  <si>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</si>
  <si>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</si>
  <si>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</si>
  <si>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Crew</t>
  </si>
  <si>
    <t>Supervisor</t>
  </si>
  <si>
    <t>People</t>
  </si>
  <si>
    <t>Pattern</t>
  </si>
  <si>
    <t>Cycle (days)</t>
  </si>
  <si>
    <t>Crew offset (days)</t>
  </si>
  <si>
    <t>Shift (h)</t>
  </si>
  <si>
    <t>Cycle day</t>
  </si>
  <si>
    <t>DuPont</t>
  </si>
  <si>
    <t>2-2-3 Panama</t>
  </si>
  <si>
    <t>4-on-4-off</t>
  </si>
  <si>
    <t>3-on-3-off</t>
  </si>
  <si>
    <t>Active</t>
  </si>
  <si>
    <t>Rotation and staffing</t>
  </si>
  <si>
    <t>Plant or unit</t>
  </si>
  <si>
    <t>Eastbank Polymers (example)</t>
  </si>
  <si>
    <t>Rotation pattern</t>
  </si>
  <si>
    <t>Crew A on cycle day 1 on</t>
  </si>
  <si>
    <t>People required per shift</t>
  </si>
  <si>
    <t>people</t>
  </si>
  <si>
    <t>Coverage target</t>
  </si>
  <si>
    <t>Contract hours per week</t>
  </si>
  <si>
    <t>h/week</t>
  </si>
  <si>
    <t>Pattern number</t>
  </si>
  <si>
    <t>(1-4)</t>
  </si>
  <si>
    <t>Cycle length</t>
  </si>
  <si>
    <t>days</t>
  </si>
  <si>
    <t>Crew offset</t>
  </si>
  <si>
    <t>Shift length</t>
  </si>
  <si>
    <t>h</t>
  </si>
  <si>
    <t>Required people, the coverage target and contract hours are yours to set. Crew B runs the pattern one crew offset ahead of crew A, crew C two offsets and crew D three, so exactly one crew is on days and one on nights every day.</t>
  </si>
  <si>
    <t>Crews</t>
  </si>
  <si>
    <t>Crews and headcount (example names)</t>
  </si>
  <si>
    <t>A</t>
  </si>
  <si>
    <t>R. Achebe</t>
  </si>
  <si>
    <t>B</t>
  </si>
  <si>
    <t>S. Lindgren</t>
  </si>
  <si>
    <t>C</t>
  </si>
  <si>
    <t>T. Moreau</t>
  </si>
  <si>
    <t>D</t>
  </si>
  <si>
    <t>U. Kaur</t>
  </si>
  <si>
    <t>Patterns</t>
  </si>
  <si>
    <t>Codes per cycle day for crew A: D = day shift, N = night shift, O = off. You can overwrite a pattern with your own (keep one D and one N per day across the four crews; the Rota's Check column tests it). Active follows the pattern chosen above.</t>
  </si>
  <si>
    <t>Four-crew 12-hour patterns</t>
  </si>
  <si>
    <t>DuPont: 28-day cycle; 4 nights, 3 days, 3 nights, 4 days; 7 days off in a row once a cycle.</t>
  </si>
  <si>
    <t>2-2-3 Panama: 28-day cycle; never more than 3 shifts in a row; every other weekend off.</t>
  </si>
  <si>
    <t>4-on-4-off: 16-day cycle; 4 days, 4 off, 4 nights, 4 off.</t>
  </si>
  <si>
    <t>3-on-3-off: 12-day cycle; 3 days, 3 off, 3 nights, 3 off.</t>
  </si>
  <si>
    <t>Codes per cycle day (crew A)</t>
  </si>
  <si>
    <t>Widely used public patterns. Rows past a pattern's cycle length are left blank.</t>
  </si>
  <si>
    <t>N</t>
  </si>
  <si>
    <t>O</t>
  </si>
  <si>
    <t>Date</t>
  </si>
  <si>
    <t>Weekday</t>
  </si>
  <si>
    <t>Holiday</t>
  </si>
  <si>
    <t>Crew A</t>
  </si>
  <si>
    <t>Crew B</t>
  </si>
  <si>
    <t>Crew C</t>
  </si>
  <si>
    <t>Crew D</t>
  </si>
  <si>
    <t>Day crew</t>
  </si>
  <si>
    <t>Night crew</t>
  </si>
  <si>
    <t>Day absent (people)</t>
  </si>
  <si>
    <t>Night absent (people)</t>
  </si>
  <si>
    <t>Day on shift (people)</t>
  </si>
  <si>
    <t>Night on shift (people)</t>
  </si>
  <si>
    <t>Fewest on shift (people)</t>
  </si>
  <si>
    <t>Required (people)</t>
  </si>
  <si>
    <t>Lowest coverage</t>
  </si>
  <si>
    <t>Status</t>
  </si>
  <si>
    <t>Shifts short</t>
  </si>
  <si>
    <t>Weekend</t>
  </si>
  <si>
    <t>Check</t>
  </si>
  <si>
    <t>Notes</t>
  </si>
  <si>
    <t>Example data for Eastbank Polymers (fictional). Dates, holidays and absences are yours to type; crews and coverage follow from Setup. To start your own rota: change the dates in the Date column (or clear the rows: select them, right-click, Delete &gt; Table Rows) and retype the absences.</t>
  </si>
  <si>
    <t>No</t>
  </si>
  <si>
    <t/>
  </si>
  <si>
    <t>Leave and training</t>
  </si>
  <si>
    <t>Yes</t>
  </si>
  <si>
    <t>Christmas Day</t>
  </si>
  <si>
    <t>Boxing Day</t>
  </si>
  <si>
    <t>LOWEST SHIFT COVERAGE</t>
  </si>
  <si>
    <t>SHIFTS BELOW REQUIRED</t>
  </si>
  <si>
    <t>AVERAGE HOURS PER WEEK</t>
  </si>
  <si>
    <t>ABOVE CONTRACT HOURS</t>
  </si>
  <si>
    <t>Per person, average of the four crews</t>
  </si>
  <si>
    <t>h/week against contract hours on Setup</t>
  </si>
  <si>
    <t>By crew over the Rota (one person on the crew)</t>
  </si>
  <si>
    <t>Day shifts</t>
  </si>
  <si>
    <t>Night shifts</t>
  </si>
  <si>
    <t>Hours per person (h)</t>
  </si>
  <si>
    <t>Average per week (h)</t>
  </si>
  <si>
    <t>Above contract (h/week)</t>
  </si>
  <si>
    <t>Weekend shifts</t>
  </si>
  <si>
    <t>Holiday shifts</t>
  </si>
  <si>
    <t>Contract (h/week)</t>
  </si>
  <si>
    <t>By week</t>
  </si>
  <si>
    <t>Week starting</t>
  </si>
  <si>
    <t>Days on Rota</t>
  </si>
  <si>
    <t>Absent (person-shifts)</t>
  </si>
  <si>
    <t>Shifts below required</t>
  </si>
  <si>
    <t>Holidays</t>
  </si>
  <si>
    <t>The Dashboard shows four crews and the first 12 weeks of the Rota. Add days below the Rota table to plan further; the by-week block then shows the first 12 weeks (extend it as described on Method).</t>
  </si>
  <si>
    <t>What this workbook calculates</t>
  </si>
  <si>
    <t>Four crews on 12-hour shifts cover 24 hours a day, 7 days a week: every day one crew works days, one works nights and two are off. A rotation pattern is the sequence of day, night and off for one crew; the other crews run the same sequence shifted by a fixed offset. This workbook takes the pattern chosen on Setup, places each crew on it for every date, and compares the people each shift will actually have (crew size minus planned absence) with the people it needs.</t>
  </si>
  <si>
    <t>Calculations</t>
  </si>
  <si>
    <t>Quantity</t>
  </si>
  <si>
    <t>How it is calculated</t>
  </si>
  <si>
    <t>Units</t>
  </si>
  <si>
    <t>MOD(date - anchor date, cycle length) + 1: where crew A is in the pattern on that date.</t>
  </si>
  <si>
    <t>day</t>
  </si>
  <si>
    <t>Crew code</t>
  </si>
  <si>
    <t>Crew k (A = 0, B = 1, C = 2, D = 3): the Active pattern code on cycle day MOD(date - anchor + offset x k, cycle) + 1. D day, N night, O off.</t>
  </si>
  <si>
    <t>code</t>
  </si>
  <si>
    <t>Day crew, night crew</t>
  </si>
  <si>
    <t>The crew whose code is D (N) that day. Check reports a day without exactly one crew on each.</t>
  </si>
  <si>
    <t>crew</t>
  </si>
  <si>
    <t>People on shift</t>
  </si>
  <si>
    <t>Crew size from Setup - people absent on that shift (typed).</t>
  </si>
  <si>
    <t>Fewest on shift</t>
  </si>
  <si>
    <t>MIN(day on shift, night on shift): the weaker of the day's two shifts.</t>
  </si>
  <si>
    <t>Fewest on shift / required people per shift. Same ratio as the Shift Coverage calculator, for the weaker of the two shifts.</t>
  </si>
  <si>
    <t>%</t>
  </si>
  <si>
    <t>On target at or above the coverage target; Near target within 5% below it; Below target otherwise.</t>
  </si>
  <si>
    <t>-</t>
  </si>
  <si>
    <t>Number of the day's two shifts with fewer people on shift than required (0, 1 or 2).</t>
  </si>
  <si>
    <t>shifts</t>
  </si>
  <si>
    <t>Day and night shifts per crew</t>
  </si>
  <si>
    <t>Rota days on which the crew's code is D (N), counted per crew column.</t>
  </si>
  <si>
    <t>Hours per person</t>
  </si>
  <si>
    <t>(Day shifts + night shifts) x shift length, for one person who works every shift of their crew.</t>
  </si>
  <si>
    <t>Average per week</t>
  </si>
  <si>
    <t>Hours per person / (days on the Rota / 7). A four-crew 24/7 pattern averages 168 / 4 = 42 h/week over whole cycles.</t>
  </si>
  <si>
    <t>Above contract</t>
  </si>
  <si>
    <t>Average per week - contract hours per week (Setup).</t>
  </si>
  <si>
    <t>Weekend and holiday shifts</t>
  </si>
  <si>
    <t>Shifts worked by the crew on Saturdays and Sundays, and on dates marked Holiday.</t>
  </si>
  <si>
    <t>Assumptions</t>
  </si>
  <si>
    <t>Every crew member works every shift of their crew; overtime, swaps and cover from other crews are not modelled (record them as lower absence).</t>
  </si>
  <si>
    <t>All four crews follow one pattern; crews B, C and D are one, two and three crew offsets ahead of crew A.</t>
  </si>
  <si>
    <t>Day and night shifts need the same number of people.</t>
  </si>
  <si>
    <t>Limitations</t>
  </si>
  <si>
    <t>Covers four-crew 12-hour patterns (two shifts a day). Eight-hour patterns with three shifts a day, and five-crew patterns, need a different table.</t>
  </si>
  <si>
    <t>Fatigue limits (consecutive nights, hours in 7 days, rest between shifts) are set by law and agreements that differ by country; check the pattern against yours. The pattern notes on Setup describe each pattern's runs of shifts.</t>
  </si>
  <si>
    <t>Average weekly hours are exact only over whole cycles; a rota that is not a multiple of the cycle shows small differences between crews.</t>
  </si>
  <si>
    <t>The by-week block shows the first 12 weeks of the Rota; extend it by copying its last row and widening the chart range.</t>
  </si>
  <si>
    <t>Agreement with the live calculator</t>
  </si>
  <si>
    <t>For one shift, Lowest coverage here equals the live Shift Coverage calculator: 100 x available qualified operators / operators required by the shift, with the gap to target in percentage points as target minus coverage. The workbook applies it to both shifts of every day and keeps the lower one. Checked against the calculator's engine for its default example and for the example rota's lowest day on every build.</t>
  </si>
  <si>
    <t>Open the Shift Coverage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</si>
  <si>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</si>
  <si>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</si>
  <si>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Four-crew 12-hour rotation patterns (DuPont, 2-2-3 Panama/Pitman, 4-on-4-off, 3-on-3-off) are long-established public schedules; codes are written out on Setup.</t>
  </si>
  <si>
    <t>Working-time rules to check against: the EU Working Time Directive 2003/88/EC, the UK Working Time Regulations 1998, and your national law and collective agreement (cited by name only).</t>
  </si>
  <si>
    <t>MFG Calcs Shift Coverage calculator (shift-coverage): coverage = available people / required people.</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</si>
  <si>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</si>
  <si>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</si>
  <si>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</si>
  <si>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</si>
  <si>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</si>
  <si>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</si>
  <si>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</si>
  <si>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</si>
  <si>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</si>
  <si>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</si>
  <si>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</si>
  <si>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</si>
  <si>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</si>
  <si>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</si>
  <si>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</si>
  <si>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Day 1: crew B code</t>
  </si>
  <si>
    <t>exact</t>
  </si>
  <si>
    <t>Day 1: day crew</t>
  </si>
  <si>
    <t>Day 1: night crew</t>
  </si>
  <si>
    <t>Day 1: lowest coverage</t>
  </si>
  <si>
    <t>Day 1: status</t>
  </si>
  <si>
    <t>On target</t>
  </si>
  <si>
    <t>Day 4: crew B code</t>
  </si>
  <si>
    <t>Day 4: day crew</t>
  </si>
  <si>
    <t>Day 4: night crew</t>
  </si>
  <si>
    <t>Day 4: lowest coverage</t>
  </si>
  <si>
    <t>Day 4: status</t>
  </si>
  <si>
    <t>Below target</t>
  </si>
  <si>
    <t>Day 11: crew B code</t>
  </si>
  <si>
    <t>Day 11: day crew</t>
  </si>
  <si>
    <t>Day 11: night crew</t>
  </si>
  <si>
    <t>Day 11: lowest coverage</t>
  </si>
  <si>
    <t>Day 11: status</t>
  </si>
  <si>
    <t>Day 3: shifts short</t>
  </si>
  <si>
    <t>Day 8: Check reports absence above crew size</t>
  </si>
  <si>
    <t>Absent &gt; crew size</t>
  </si>
  <si>
    <t>Day 2: Check OK (one crew on days and one on nights)</t>
  </si>
  <si>
    <t>OK</t>
  </si>
  <si>
    <t>Crew A: day shifts</t>
  </si>
  <si>
    <t>Crew A: night shifts</t>
  </si>
  <si>
    <t>Crew B: day shifts</t>
  </si>
  <si>
    <t>Crew B: night shifts</t>
  </si>
  <si>
    <t>Crew C: day shifts</t>
  </si>
  <si>
    <t>Crew C: night shifts</t>
  </si>
  <si>
    <t>Crew D: day shifts</t>
  </si>
  <si>
    <t>Crew D: night shifts</t>
  </si>
  <si>
    <t>Crew A: average hours per week</t>
  </si>
  <si>
    <t>Crew A: weekend shifts</t>
  </si>
  <si>
    <t>Crew C: holiday shifts</t>
  </si>
  <si>
    <t>All days: shifts below required (KPI formula)</t>
  </si>
  <si>
    <t>All crews: average hours per week (KPI formula)</t>
  </si>
  <si>
    <t>Fixed test inputs</t>
  </si>
  <si>
    <t>White cells are fixed test inputs; blue cells are the workbook's formulas evaluated on them.</t>
  </si>
  <si>
    <t>Parameters</t>
  </si>
  <si>
    <t>Pattern number (1 = DuPont)</t>
  </si>
  <si>
    <t>Cycle length (days)</t>
  </si>
  <si>
    <t>Shift length (h)</t>
  </si>
  <si>
    <t>Test table: Crews</t>
  </si>
  <si>
    <t>Test table: Patterns</t>
  </si>
  <si>
    <t>Test table: Rota</t>
  </si>
  <si>
    <t>Test grid: ByCrew</t>
  </si>
</sst>
</file>

<file path=xl/styles.xml><?xml version="1.0" encoding="utf-8"?>
<styleSheet xmlns="http://schemas.openxmlformats.org/spreadsheetml/2006/main">
  <numFmts count="10">
    <numFmt numFmtId="164" formatCode="d mmm yyyy"/>
    <numFmt numFmtId="165" formatCode="#,##0"/>
    <numFmt numFmtId="166" formatCode="0%"/>
    <numFmt numFmtId="167" formatCode="#,##0.0"/>
    <numFmt numFmtId="168" formatCode="+#,##0.0;-#,##0.0;0.0"/>
    <numFmt numFmtId="169" formatCode="&quot;Target &quot;0%"/>
    <numFmt numFmtId="170" formatCode="&quot;Target &quot;#,##0"/>
    <numFmt numFmtId="171" formatCode="0.0%"/>
    <numFmt numFmtId="172" formatCode="0.0E+00"/>
    <numFmt numFmtId="173"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10" fillId="4" borderId="3" xfId="0" applyFont="1" applyFill="1" applyBorder="1" applyAlignment="1">
      <alignment horizontal="center" vertical="center"/>
    </xf>
    <xf numFmtId="166" fontId="10" fillId="4" borderId="3" xfId="0" applyNumberFormat="1" applyFont="1" applyFill="1" applyBorder="1" applyAlignment="1">
      <alignment vertical="center"/>
    </xf>
    <xf numFmtId="0" fontId="20" fillId="4" borderId="3" xfId="0" applyFont="1" applyFill="1" applyBorder="1" applyAlignment="1">
      <alignment vertical="center"/>
    </xf>
    <xf numFmtId="0" fontId="21" fillId="0" borderId="0" xfId="0" applyFont="1" applyAlignment="1">
      <alignment vertical="center"/>
    </xf>
    <xf numFmtId="0" fontId="22" fillId="9" borderId="6" xfId="0" applyFont="1" applyFill="1" applyBorder="1" applyAlignment="1">
      <alignment vertical="center" wrapText="1"/>
    </xf>
    <xf numFmtId="166"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167"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170"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8" fontId="10" fillId="4" borderId="3" xfId="0" applyNumberFormat="1" applyFont="1" applyFill="1" applyBorder="1" applyAlignment="1">
      <alignment vertical="center"/>
    </xf>
    <xf numFmtId="167" fontId="10" fillId="0" borderId="9" xfId="0" applyNumberFormat="1" applyFont="1" applyBorder="1" applyAlignment="1">
      <alignment vertical="center"/>
    </xf>
    <xf numFmtId="164" fontId="9"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0" fontId="10" fillId="4" borderId="3" xfId="0" applyFont="1" applyFill="1" applyBorder="1" applyAlignment="1">
      <alignment vertical="center"/>
    </xf>
    <xf numFmtId="171"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65" fontId="10" fillId="0" borderId="9" xfId="0" applyNumberFormat="1" applyFont="1" applyBorder="1" applyAlignment="1">
      <alignment vertical="center"/>
    </xf>
    <xf numFmtId="173" fontId="10" fillId="0" borderId="9" xfId="0" applyNumberFormat="1" applyFont="1" applyBorder="1" applyAlignment="1">
      <alignment vertical="center"/>
    </xf>
    <xf numFmtId="173" fontId="10" fillId="4" borderId="3" xfId="0" applyNumberFormat="1" applyFont="1" applyFill="1" applyBorder="1" applyAlignment="1">
      <alignment vertical="center"/>
    </xf>
    <xf numFmtId="164" fontId="10" fillId="0" borderId="9" xfId="0" applyNumberFormat="1" applyFont="1" applyBorder="1" applyAlignment="1">
      <alignment vertical="center"/>
    </xf>
    <xf numFmtId="166" fontId="10" fillId="0" borderId="9" xfId="0" applyNumberFormat="1" applyFont="1" applyBorder="1" applyAlignment="1">
      <alignment vertical="center"/>
    </xf>
  </cellXfs>
  <cellStyles count="1">
    <cellStyle name="Normal" xfId="0" builtinId="0"/>
  </cellStyles>
  <dxfs count="7">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
      <font>
        <color rgb="FF6B728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Fewest people on shift, by day</a:t>
            </a:r>
          </a:p>
        </c:rich>
      </c:tx>
      <c:layout/>
    </c:title>
    <c:plotArea>
      <c:layout/>
      <c:barChart>
        <c:barDir val="col"/>
        <c:grouping val="clustered"/>
        <c:ser>
          <c:idx val="0"/>
          <c:order val="0"/>
          <c:tx>
            <c:v>Fewest on shift</c:v>
          </c:tx>
          <c:spPr>
            <a:solidFill>
              <a:srgbClr val="3B64D8"/>
            </a:solidFill>
            <a:ln w="9525">
              <a:solidFill>
                <a:srgbClr val="FFFFFF"/>
              </a:solidFill>
            </a:ln>
          </c:spPr>
          <c:cat>
            <c:numRef>
              <c:f>Rota!$B$6:$B$89</c:f>
              <c:numCache>
                <c:formatCode>General</c:formatCode>
                <c:ptCount val="84"/>
                <c:pt idx="0">
                  <c:v>46300</c:v>
                </c:pt>
                <c:pt idx="1">
                  <c:v>46301</c:v>
                </c:pt>
                <c:pt idx="2">
                  <c:v>46302</c:v>
                </c:pt>
                <c:pt idx="3">
                  <c:v>46303</c:v>
                </c:pt>
                <c:pt idx="4">
                  <c:v>46304</c:v>
                </c:pt>
                <c:pt idx="5">
                  <c:v>46305</c:v>
                </c:pt>
                <c:pt idx="6">
                  <c:v>46306</c:v>
                </c:pt>
                <c:pt idx="7">
                  <c:v>46307</c:v>
                </c:pt>
                <c:pt idx="8">
                  <c:v>46308</c:v>
                </c:pt>
                <c:pt idx="9">
                  <c:v>46309</c:v>
                </c:pt>
                <c:pt idx="10">
                  <c:v>46310</c:v>
                </c:pt>
                <c:pt idx="11">
                  <c:v>46311</c:v>
                </c:pt>
                <c:pt idx="12">
                  <c:v>46312</c:v>
                </c:pt>
                <c:pt idx="13">
                  <c:v>46313</c:v>
                </c:pt>
                <c:pt idx="14">
                  <c:v>46314</c:v>
                </c:pt>
                <c:pt idx="15">
                  <c:v>46315</c:v>
                </c:pt>
                <c:pt idx="16">
                  <c:v>46316</c:v>
                </c:pt>
                <c:pt idx="17">
                  <c:v>46317</c:v>
                </c:pt>
                <c:pt idx="18">
                  <c:v>46318</c:v>
                </c:pt>
                <c:pt idx="19">
                  <c:v>46319</c:v>
                </c:pt>
                <c:pt idx="20">
                  <c:v>46320</c:v>
                </c:pt>
                <c:pt idx="21">
                  <c:v>46321</c:v>
                </c:pt>
                <c:pt idx="22">
                  <c:v>46322</c:v>
                </c:pt>
                <c:pt idx="23">
                  <c:v>46323</c:v>
                </c:pt>
                <c:pt idx="24">
                  <c:v>46324</c:v>
                </c:pt>
                <c:pt idx="25">
                  <c:v>46325</c:v>
                </c:pt>
                <c:pt idx="26">
                  <c:v>46326</c:v>
                </c:pt>
                <c:pt idx="27">
                  <c:v>46327</c:v>
                </c:pt>
                <c:pt idx="28">
                  <c:v>46328</c:v>
                </c:pt>
                <c:pt idx="29">
                  <c:v>46329</c:v>
                </c:pt>
                <c:pt idx="30">
                  <c:v>46330</c:v>
                </c:pt>
                <c:pt idx="31">
                  <c:v>46331</c:v>
                </c:pt>
                <c:pt idx="32">
                  <c:v>46332</c:v>
                </c:pt>
                <c:pt idx="33">
                  <c:v>46333</c:v>
                </c:pt>
                <c:pt idx="34">
                  <c:v>46334</c:v>
                </c:pt>
                <c:pt idx="35">
                  <c:v>46335</c:v>
                </c:pt>
                <c:pt idx="36">
                  <c:v>46336</c:v>
                </c:pt>
                <c:pt idx="37">
                  <c:v>46337</c:v>
                </c:pt>
                <c:pt idx="38">
                  <c:v>46338</c:v>
                </c:pt>
                <c:pt idx="39">
                  <c:v>46339</c:v>
                </c:pt>
                <c:pt idx="40">
                  <c:v>46340</c:v>
                </c:pt>
                <c:pt idx="41">
                  <c:v>46341</c:v>
                </c:pt>
                <c:pt idx="42">
                  <c:v>46342</c:v>
                </c:pt>
                <c:pt idx="43">
                  <c:v>46343</c:v>
                </c:pt>
                <c:pt idx="44">
                  <c:v>46344</c:v>
                </c:pt>
                <c:pt idx="45">
                  <c:v>46345</c:v>
                </c:pt>
                <c:pt idx="46">
                  <c:v>46346</c:v>
                </c:pt>
                <c:pt idx="47">
                  <c:v>46347</c:v>
                </c:pt>
                <c:pt idx="48">
                  <c:v>46348</c:v>
                </c:pt>
                <c:pt idx="49">
                  <c:v>46349</c:v>
                </c:pt>
                <c:pt idx="50">
                  <c:v>46350</c:v>
                </c:pt>
                <c:pt idx="51">
                  <c:v>46351</c:v>
                </c:pt>
                <c:pt idx="52">
                  <c:v>46352</c:v>
                </c:pt>
                <c:pt idx="53">
                  <c:v>46353</c:v>
                </c:pt>
                <c:pt idx="54">
                  <c:v>46354</c:v>
                </c:pt>
                <c:pt idx="55">
                  <c:v>46355</c:v>
                </c:pt>
                <c:pt idx="56">
                  <c:v>46356</c:v>
                </c:pt>
                <c:pt idx="57">
                  <c:v>46357</c:v>
                </c:pt>
                <c:pt idx="58">
                  <c:v>46358</c:v>
                </c:pt>
                <c:pt idx="59">
                  <c:v>46359</c:v>
                </c:pt>
                <c:pt idx="60">
                  <c:v>46360</c:v>
                </c:pt>
                <c:pt idx="61">
                  <c:v>46361</c:v>
                </c:pt>
                <c:pt idx="62">
                  <c:v>46362</c:v>
                </c:pt>
                <c:pt idx="63">
                  <c:v>46363</c:v>
                </c:pt>
                <c:pt idx="64">
                  <c:v>46364</c:v>
                </c:pt>
                <c:pt idx="65">
                  <c:v>46365</c:v>
                </c:pt>
                <c:pt idx="66">
                  <c:v>46366</c:v>
                </c:pt>
                <c:pt idx="67">
                  <c:v>46367</c:v>
                </c:pt>
                <c:pt idx="68">
                  <c:v>46368</c:v>
                </c:pt>
                <c:pt idx="69">
                  <c:v>46369</c:v>
                </c:pt>
                <c:pt idx="70">
                  <c:v>46370</c:v>
                </c:pt>
                <c:pt idx="71">
                  <c:v>46371</c:v>
                </c:pt>
                <c:pt idx="72">
                  <c:v>46372</c:v>
                </c:pt>
                <c:pt idx="73">
                  <c:v>46373</c:v>
                </c:pt>
                <c:pt idx="74">
                  <c:v>46374</c:v>
                </c:pt>
                <c:pt idx="75">
                  <c:v>46375</c:v>
                </c:pt>
                <c:pt idx="76">
                  <c:v>46376</c:v>
                </c:pt>
                <c:pt idx="77">
                  <c:v>46377</c:v>
                </c:pt>
                <c:pt idx="78">
                  <c:v>46378</c:v>
                </c:pt>
                <c:pt idx="79">
                  <c:v>46379</c:v>
                </c:pt>
                <c:pt idx="80">
                  <c:v>46380</c:v>
                </c:pt>
                <c:pt idx="81">
                  <c:v>46381</c:v>
                </c:pt>
                <c:pt idx="82">
                  <c:v>46382</c:v>
                </c:pt>
                <c:pt idx="83">
                  <c:v>46383</c:v>
                </c:pt>
              </c:numCache>
            </c:numRef>
          </c:cat>
          <c:val>
            <c:numRef>
              <c:f>Rota!$P$6:$P$89</c:f>
              <c:numCache>
                <c:formatCode>General</c:formatCode>
                <c:ptCount val="84"/>
                <c:pt idx="0">
                  <c:v>11</c:v>
                </c:pt>
                <c:pt idx="1">
                  <c:v>9</c:v>
                </c:pt>
                <c:pt idx="2">
                  <c:v>12</c:v>
                </c:pt>
                <c:pt idx="3">
                  <c:v>12</c:v>
                </c:pt>
                <c:pt idx="4">
                  <c:v>11</c:v>
                </c:pt>
                <c:pt idx="5">
                  <c:v>9</c:v>
                </c:pt>
                <c:pt idx="6">
                  <c:v>11</c:v>
                </c:pt>
                <c:pt idx="7">
                  <c:v>11</c:v>
                </c:pt>
                <c:pt idx="8">
                  <c:v>11</c:v>
                </c:pt>
                <c:pt idx="9">
                  <c:v>11</c:v>
                </c:pt>
                <c:pt idx="10">
                  <c:v>11</c:v>
                </c:pt>
                <c:pt idx="11">
                  <c:v>12</c:v>
                </c:pt>
                <c:pt idx="12">
                  <c:v>11</c:v>
                </c:pt>
                <c:pt idx="13">
                  <c:v>12</c:v>
                </c:pt>
                <c:pt idx="14">
                  <c:v>10</c:v>
                </c:pt>
                <c:pt idx="15">
                  <c:v>11</c:v>
                </c:pt>
                <c:pt idx="16">
                  <c:v>12</c:v>
                </c:pt>
                <c:pt idx="17">
                  <c:v>11</c:v>
                </c:pt>
                <c:pt idx="18">
                  <c:v>10</c:v>
                </c:pt>
                <c:pt idx="19">
                  <c:v>11</c:v>
                </c:pt>
                <c:pt idx="20">
                  <c:v>11</c:v>
                </c:pt>
                <c:pt idx="21">
                  <c:v>12</c:v>
                </c:pt>
                <c:pt idx="22">
                  <c:v>11</c:v>
                </c:pt>
                <c:pt idx="23">
                  <c:v>11</c:v>
                </c:pt>
                <c:pt idx="24">
                  <c:v>11</c:v>
                </c:pt>
                <c:pt idx="25">
                  <c:v>12</c:v>
                </c:pt>
                <c:pt idx="26">
                  <c:v>12</c:v>
                </c:pt>
                <c:pt idx="27">
                  <c:v>12</c:v>
                </c:pt>
                <c:pt idx="28">
                  <c:v>11</c:v>
                </c:pt>
                <c:pt idx="29">
                  <c:v>11</c:v>
                </c:pt>
                <c:pt idx="30">
                  <c:v>10</c:v>
                </c:pt>
                <c:pt idx="31">
                  <c:v>12</c:v>
                </c:pt>
                <c:pt idx="32">
                  <c:v>11</c:v>
                </c:pt>
                <c:pt idx="33">
                  <c:v>10</c:v>
                </c:pt>
                <c:pt idx="34">
                  <c:v>11</c:v>
                </c:pt>
                <c:pt idx="35">
                  <c:v>12</c:v>
                </c:pt>
                <c:pt idx="36">
                  <c:v>11</c:v>
                </c:pt>
                <c:pt idx="37">
                  <c:v>9</c:v>
                </c:pt>
                <c:pt idx="38">
                  <c:v>11</c:v>
                </c:pt>
                <c:pt idx="39">
                  <c:v>12</c:v>
                </c:pt>
                <c:pt idx="40">
                  <c:v>12</c:v>
                </c:pt>
                <c:pt idx="41">
                  <c:v>10</c:v>
                </c:pt>
                <c:pt idx="42">
                  <c:v>11</c:v>
                </c:pt>
                <c:pt idx="43">
                  <c:v>11</c:v>
                </c:pt>
                <c:pt idx="44">
                  <c:v>12</c:v>
                </c:pt>
                <c:pt idx="45">
                  <c:v>12</c:v>
                </c:pt>
                <c:pt idx="46">
                  <c:v>10</c:v>
                </c:pt>
                <c:pt idx="47">
                  <c:v>11</c:v>
                </c:pt>
                <c:pt idx="48">
                  <c:v>11</c:v>
                </c:pt>
                <c:pt idx="49">
                  <c:v>12</c:v>
                </c:pt>
                <c:pt idx="50">
                  <c:v>12</c:v>
                </c:pt>
                <c:pt idx="51">
                  <c:v>11</c:v>
                </c:pt>
                <c:pt idx="52">
                  <c:v>11</c:v>
                </c:pt>
                <c:pt idx="53">
                  <c:v>11</c:v>
                </c:pt>
                <c:pt idx="54">
                  <c:v>12</c:v>
                </c:pt>
                <c:pt idx="55">
                  <c:v>12</c:v>
                </c:pt>
                <c:pt idx="56">
                  <c:v>11</c:v>
                </c:pt>
                <c:pt idx="57">
                  <c:v>11</c:v>
                </c:pt>
                <c:pt idx="58">
                  <c:v>10</c:v>
                </c:pt>
                <c:pt idx="59">
                  <c:v>12</c:v>
                </c:pt>
                <c:pt idx="60">
                  <c:v>11</c:v>
                </c:pt>
                <c:pt idx="61">
                  <c:v>11</c:v>
                </c:pt>
                <c:pt idx="62">
                  <c:v>11</c:v>
                </c:pt>
                <c:pt idx="63">
                  <c:v>10</c:v>
                </c:pt>
                <c:pt idx="64">
                  <c:v>11</c:v>
                </c:pt>
                <c:pt idx="65">
                  <c:v>11</c:v>
                </c:pt>
                <c:pt idx="66">
                  <c:v>9</c:v>
                </c:pt>
                <c:pt idx="67">
                  <c:v>11</c:v>
                </c:pt>
                <c:pt idx="68">
                  <c:v>12</c:v>
                </c:pt>
                <c:pt idx="69">
                  <c:v>11</c:v>
                </c:pt>
                <c:pt idx="70">
                  <c:v>10</c:v>
                </c:pt>
                <c:pt idx="71">
                  <c:v>11</c:v>
                </c:pt>
                <c:pt idx="72">
                  <c:v>10</c:v>
                </c:pt>
                <c:pt idx="73">
                  <c:v>12</c:v>
                </c:pt>
                <c:pt idx="74">
                  <c:v>11</c:v>
                </c:pt>
                <c:pt idx="75">
                  <c:v>11</c:v>
                </c:pt>
                <c:pt idx="76">
                  <c:v>10</c:v>
                </c:pt>
                <c:pt idx="77">
                  <c:v>10</c:v>
                </c:pt>
                <c:pt idx="78">
                  <c:v>12</c:v>
                </c:pt>
                <c:pt idx="79">
                  <c:v>9</c:v>
                </c:pt>
                <c:pt idx="80">
                  <c:v>9</c:v>
                </c:pt>
                <c:pt idx="81">
                  <c:v>12</c:v>
                </c:pt>
                <c:pt idx="82">
                  <c:v>11</c:v>
                </c:pt>
                <c:pt idx="83">
                  <c:v>12</c:v>
                </c:pt>
              </c:numCache>
            </c:numRef>
          </c:val>
        </c:ser>
        <c:gapWidth val="60"/>
        <c:overlap val="-10"/>
        <c:axId val="50010001"/>
        <c:axId val="50010002"/>
      </c:barChart>
      <c:lineChart>
        <c:grouping val="standard"/>
        <c:ser>
          <c:idx val="1"/>
          <c:order val="1"/>
          <c:tx>
            <c:v>Required</c:v>
          </c:tx>
          <c:spPr>
            <a:ln w="19050">
              <a:solidFill>
                <a:srgbClr val="B3000C"/>
              </a:solidFill>
              <a:prstDash val="dash"/>
            </a:ln>
          </c:spPr>
          <c:marker>
            <c:symbol val="none"/>
          </c:marker>
          <c:cat>
            <c:numRef>
              <c:f>Rota!$B$6:$B$89</c:f>
              <c:numCache>
                <c:formatCode>General</c:formatCode>
                <c:ptCount val="84"/>
                <c:pt idx="0">
                  <c:v>46300</c:v>
                </c:pt>
                <c:pt idx="1">
                  <c:v>46301</c:v>
                </c:pt>
                <c:pt idx="2">
                  <c:v>46302</c:v>
                </c:pt>
                <c:pt idx="3">
                  <c:v>46303</c:v>
                </c:pt>
                <c:pt idx="4">
                  <c:v>46304</c:v>
                </c:pt>
                <c:pt idx="5">
                  <c:v>46305</c:v>
                </c:pt>
                <c:pt idx="6">
                  <c:v>46306</c:v>
                </c:pt>
                <c:pt idx="7">
                  <c:v>46307</c:v>
                </c:pt>
                <c:pt idx="8">
                  <c:v>46308</c:v>
                </c:pt>
                <c:pt idx="9">
                  <c:v>46309</c:v>
                </c:pt>
                <c:pt idx="10">
                  <c:v>46310</c:v>
                </c:pt>
                <c:pt idx="11">
                  <c:v>46311</c:v>
                </c:pt>
                <c:pt idx="12">
                  <c:v>46312</c:v>
                </c:pt>
                <c:pt idx="13">
                  <c:v>46313</c:v>
                </c:pt>
                <c:pt idx="14">
                  <c:v>46314</c:v>
                </c:pt>
                <c:pt idx="15">
                  <c:v>46315</c:v>
                </c:pt>
                <c:pt idx="16">
                  <c:v>46316</c:v>
                </c:pt>
                <c:pt idx="17">
                  <c:v>46317</c:v>
                </c:pt>
                <c:pt idx="18">
                  <c:v>46318</c:v>
                </c:pt>
                <c:pt idx="19">
                  <c:v>46319</c:v>
                </c:pt>
                <c:pt idx="20">
                  <c:v>46320</c:v>
                </c:pt>
                <c:pt idx="21">
                  <c:v>46321</c:v>
                </c:pt>
                <c:pt idx="22">
                  <c:v>46322</c:v>
                </c:pt>
                <c:pt idx="23">
                  <c:v>46323</c:v>
                </c:pt>
                <c:pt idx="24">
                  <c:v>46324</c:v>
                </c:pt>
                <c:pt idx="25">
                  <c:v>46325</c:v>
                </c:pt>
                <c:pt idx="26">
                  <c:v>46326</c:v>
                </c:pt>
                <c:pt idx="27">
                  <c:v>46327</c:v>
                </c:pt>
                <c:pt idx="28">
                  <c:v>46328</c:v>
                </c:pt>
                <c:pt idx="29">
                  <c:v>46329</c:v>
                </c:pt>
                <c:pt idx="30">
                  <c:v>46330</c:v>
                </c:pt>
                <c:pt idx="31">
                  <c:v>46331</c:v>
                </c:pt>
                <c:pt idx="32">
                  <c:v>46332</c:v>
                </c:pt>
                <c:pt idx="33">
                  <c:v>46333</c:v>
                </c:pt>
                <c:pt idx="34">
                  <c:v>46334</c:v>
                </c:pt>
                <c:pt idx="35">
                  <c:v>46335</c:v>
                </c:pt>
                <c:pt idx="36">
                  <c:v>46336</c:v>
                </c:pt>
                <c:pt idx="37">
                  <c:v>46337</c:v>
                </c:pt>
                <c:pt idx="38">
                  <c:v>46338</c:v>
                </c:pt>
                <c:pt idx="39">
                  <c:v>46339</c:v>
                </c:pt>
                <c:pt idx="40">
                  <c:v>46340</c:v>
                </c:pt>
                <c:pt idx="41">
                  <c:v>46341</c:v>
                </c:pt>
                <c:pt idx="42">
                  <c:v>46342</c:v>
                </c:pt>
                <c:pt idx="43">
                  <c:v>46343</c:v>
                </c:pt>
                <c:pt idx="44">
                  <c:v>46344</c:v>
                </c:pt>
                <c:pt idx="45">
                  <c:v>46345</c:v>
                </c:pt>
                <c:pt idx="46">
                  <c:v>46346</c:v>
                </c:pt>
                <c:pt idx="47">
                  <c:v>46347</c:v>
                </c:pt>
                <c:pt idx="48">
                  <c:v>46348</c:v>
                </c:pt>
                <c:pt idx="49">
                  <c:v>46349</c:v>
                </c:pt>
                <c:pt idx="50">
                  <c:v>46350</c:v>
                </c:pt>
                <c:pt idx="51">
                  <c:v>46351</c:v>
                </c:pt>
                <c:pt idx="52">
                  <c:v>46352</c:v>
                </c:pt>
                <c:pt idx="53">
                  <c:v>46353</c:v>
                </c:pt>
                <c:pt idx="54">
                  <c:v>46354</c:v>
                </c:pt>
                <c:pt idx="55">
                  <c:v>46355</c:v>
                </c:pt>
                <c:pt idx="56">
                  <c:v>46356</c:v>
                </c:pt>
                <c:pt idx="57">
                  <c:v>46357</c:v>
                </c:pt>
                <c:pt idx="58">
                  <c:v>46358</c:v>
                </c:pt>
                <c:pt idx="59">
                  <c:v>46359</c:v>
                </c:pt>
                <c:pt idx="60">
                  <c:v>46360</c:v>
                </c:pt>
                <c:pt idx="61">
                  <c:v>46361</c:v>
                </c:pt>
                <c:pt idx="62">
                  <c:v>46362</c:v>
                </c:pt>
                <c:pt idx="63">
                  <c:v>46363</c:v>
                </c:pt>
                <c:pt idx="64">
                  <c:v>46364</c:v>
                </c:pt>
                <c:pt idx="65">
                  <c:v>46365</c:v>
                </c:pt>
                <c:pt idx="66">
                  <c:v>46366</c:v>
                </c:pt>
                <c:pt idx="67">
                  <c:v>46367</c:v>
                </c:pt>
                <c:pt idx="68">
                  <c:v>46368</c:v>
                </c:pt>
                <c:pt idx="69">
                  <c:v>46369</c:v>
                </c:pt>
                <c:pt idx="70">
                  <c:v>46370</c:v>
                </c:pt>
                <c:pt idx="71">
                  <c:v>46371</c:v>
                </c:pt>
                <c:pt idx="72">
                  <c:v>46372</c:v>
                </c:pt>
                <c:pt idx="73">
                  <c:v>46373</c:v>
                </c:pt>
                <c:pt idx="74">
                  <c:v>46374</c:v>
                </c:pt>
                <c:pt idx="75">
                  <c:v>46375</c:v>
                </c:pt>
                <c:pt idx="76">
                  <c:v>46376</c:v>
                </c:pt>
                <c:pt idx="77">
                  <c:v>46377</c:v>
                </c:pt>
                <c:pt idx="78">
                  <c:v>46378</c:v>
                </c:pt>
                <c:pt idx="79">
                  <c:v>46379</c:v>
                </c:pt>
                <c:pt idx="80">
                  <c:v>46380</c:v>
                </c:pt>
                <c:pt idx="81">
                  <c:v>46381</c:v>
                </c:pt>
                <c:pt idx="82">
                  <c:v>46382</c:v>
                </c:pt>
                <c:pt idx="83">
                  <c:v>46383</c:v>
                </c:pt>
              </c:numCache>
            </c:numRef>
          </c:cat>
          <c:val>
            <c:numRef>
              <c:f>Rota!$Q$6:$Q$89</c:f>
              <c:numCache>
                <c:formatCode>General</c:formatCode>
                <c:ptCount val="84"/>
                <c:pt idx="0">
                  <c:v>11</c:v>
                </c:pt>
                <c:pt idx="1">
                  <c:v>11</c:v>
                </c:pt>
                <c:pt idx="2">
                  <c:v>11</c:v>
                </c:pt>
                <c:pt idx="3">
                  <c:v>11</c:v>
                </c:pt>
                <c:pt idx="4">
                  <c:v>11</c:v>
                </c:pt>
                <c:pt idx="5">
                  <c:v>11</c:v>
                </c:pt>
                <c:pt idx="6">
                  <c:v>11</c:v>
                </c:pt>
                <c:pt idx="7">
                  <c:v>11</c:v>
                </c:pt>
                <c:pt idx="8">
                  <c:v>11</c:v>
                </c:pt>
                <c:pt idx="9">
                  <c:v>11</c:v>
                </c:pt>
                <c:pt idx="10">
                  <c:v>11</c:v>
                </c:pt>
                <c:pt idx="11">
                  <c:v>11</c:v>
                </c:pt>
                <c:pt idx="12">
                  <c:v>11</c:v>
                </c:pt>
                <c:pt idx="13">
                  <c:v>11</c:v>
                </c:pt>
                <c:pt idx="14">
                  <c:v>11</c:v>
                </c:pt>
                <c:pt idx="15">
                  <c:v>11</c:v>
                </c:pt>
                <c:pt idx="16">
                  <c:v>11</c:v>
                </c:pt>
                <c:pt idx="17">
                  <c:v>11</c:v>
                </c:pt>
                <c:pt idx="18">
                  <c:v>11</c:v>
                </c:pt>
                <c:pt idx="19">
                  <c:v>11</c:v>
                </c:pt>
                <c:pt idx="20">
                  <c:v>11</c:v>
                </c:pt>
                <c:pt idx="21">
                  <c:v>11</c:v>
                </c:pt>
                <c:pt idx="22">
                  <c:v>11</c:v>
                </c:pt>
                <c:pt idx="23">
                  <c:v>11</c:v>
                </c:pt>
                <c:pt idx="24">
                  <c:v>11</c:v>
                </c:pt>
                <c:pt idx="25">
                  <c:v>11</c:v>
                </c:pt>
                <c:pt idx="26">
                  <c:v>11</c:v>
                </c:pt>
                <c:pt idx="27">
                  <c:v>11</c:v>
                </c:pt>
                <c:pt idx="28">
                  <c:v>11</c:v>
                </c:pt>
                <c:pt idx="29">
                  <c:v>11</c:v>
                </c:pt>
                <c:pt idx="30">
                  <c:v>11</c:v>
                </c:pt>
                <c:pt idx="31">
                  <c:v>11</c:v>
                </c:pt>
                <c:pt idx="32">
                  <c:v>11</c:v>
                </c:pt>
                <c:pt idx="33">
                  <c:v>11</c:v>
                </c:pt>
                <c:pt idx="34">
                  <c:v>11</c:v>
                </c:pt>
                <c:pt idx="35">
                  <c:v>11</c:v>
                </c:pt>
                <c:pt idx="36">
                  <c:v>11</c:v>
                </c:pt>
                <c:pt idx="37">
                  <c:v>11</c:v>
                </c:pt>
                <c:pt idx="38">
                  <c:v>11</c:v>
                </c:pt>
                <c:pt idx="39">
                  <c:v>11</c:v>
                </c:pt>
                <c:pt idx="40">
                  <c:v>11</c:v>
                </c:pt>
                <c:pt idx="41">
                  <c:v>11</c:v>
                </c:pt>
                <c:pt idx="42">
                  <c:v>11</c:v>
                </c:pt>
                <c:pt idx="43">
                  <c:v>11</c:v>
                </c:pt>
                <c:pt idx="44">
                  <c:v>11</c:v>
                </c:pt>
                <c:pt idx="45">
                  <c:v>11</c:v>
                </c:pt>
                <c:pt idx="46">
                  <c:v>11</c:v>
                </c:pt>
                <c:pt idx="47">
                  <c:v>11</c:v>
                </c:pt>
                <c:pt idx="48">
                  <c:v>11</c:v>
                </c:pt>
                <c:pt idx="49">
                  <c:v>11</c:v>
                </c:pt>
                <c:pt idx="50">
                  <c:v>11</c:v>
                </c:pt>
                <c:pt idx="51">
                  <c:v>11</c:v>
                </c:pt>
                <c:pt idx="52">
                  <c:v>11</c:v>
                </c:pt>
                <c:pt idx="53">
                  <c:v>11</c:v>
                </c:pt>
                <c:pt idx="54">
                  <c:v>11</c:v>
                </c:pt>
                <c:pt idx="55">
                  <c:v>11</c:v>
                </c:pt>
                <c:pt idx="56">
                  <c:v>11</c:v>
                </c:pt>
                <c:pt idx="57">
                  <c:v>11</c:v>
                </c:pt>
                <c:pt idx="58">
                  <c:v>11</c:v>
                </c:pt>
                <c:pt idx="59">
                  <c:v>11</c:v>
                </c:pt>
                <c:pt idx="60">
                  <c:v>11</c:v>
                </c:pt>
                <c:pt idx="61">
                  <c:v>11</c:v>
                </c:pt>
                <c:pt idx="62">
                  <c:v>11</c:v>
                </c:pt>
                <c:pt idx="63">
                  <c:v>11</c:v>
                </c:pt>
                <c:pt idx="64">
                  <c:v>11</c:v>
                </c:pt>
                <c:pt idx="65">
                  <c:v>11</c:v>
                </c:pt>
                <c:pt idx="66">
                  <c:v>11</c:v>
                </c:pt>
                <c:pt idx="67">
                  <c:v>11</c:v>
                </c:pt>
                <c:pt idx="68">
                  <c:v>11</c:v>
                </c:pt>
                <c:pt idx="69">
                  <c:v>11</c:v>
                </c:pt>
                <c:pt idx="70">
                  <c:v>11</c:v>
                </c:pt>
                <c:pt idx="71">
                  <c:v>11</c:v>
                </c:pt>
                <c:pt idx="72">
                  <c:v>11</c:v>
                </c:pt>
                <c:pt idx="73">
                  <c:v>11</c:v>
                </c:pt>
                <c:pt idx="74">
                  <c:v>11</c:v>
                </c:pt>
                <c:pt idx="75">
                  <c:v>11</c:v>
                </c:pt>
                <c:pt idx="76">
                  <c:v>11</c:v>
                </c:pt>
                <c:pt idx="77">
                  <c:v>11</c:v>
                </c:pt>
                <c:pt idx="78">
                  <c:v>11</c:v>
                </c:pt>
                <c:pt idx="79">
                  <c:v>11</c:v>
                </c:pt>
                <c:pt idx="80">
                  <c:v>11</c:v>
                </c:pt>
                <c:pt idx="81">
                  <c:v>11</c:v>
                </c:pt>
                <c:pt idx="82">
                  <c:v>11</c:v>
                </c:pt>
                <c:pt idx="83">
                  <c:v>11</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Weekend and holiday shifts by crew</a:t>
            </a:r>
          </a:p>
        </c:rich>
      </c:tx>
      <c:layout/>
    </c:title>
    <c:plotArea>
      <c:layout/>
      <c:barChart>
        <c:barDir val="col"/>
        <c:grouping val="clustered"/>
        <c:ser>
          <c:idx val="0"/>
          <c:order val="0"/>
          <c:tx>
            <c:v>Weekend shifts</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Dashboard!$B$31:$B$34</c:f>
              <c:strCache>
                <c:ptCount val="4"/>
                <c:pt idx="0">
                  <c:v>A</c:v>
                </c:pt>
                <c:pt idx="1">
                  <c:v>B</c:v>
                </c:pt>
                <c:pt idx="2">
                  <c:v>C</c:v>
                </c:pt>
                <c:pt idx="3">
                  <c:v>D</c:v>
                </c:pt>
              </c:strCache>
            </c:strRef>
          </c:cat>
          <c:val>
            <c:numRef>
              <c:f>Dashboard!$I$31:$I$34</c:f>
              <c:numCache>
                <c:formatCode>General</c:formatCode>
                <c:ptCount val="4"/>
                <c:pt idx="0">
                  <c:v>12</c:v>
                </c:pt>
                <c:pt idx="1">
                  <c:v>12</c:v>
                </c:pt>
                <c:pt idx="2">
                  <c:v>12</c:v>
                </c:pt>
                <c:pt idx="3">
                  <c:v>12</c:v>
                </c:pt>
              </c:numCache>
            </c:numRef>
          </c:val>
        </c:ser>
        <c:ser>
          <c:idx val="1"/>
          <c:order val="1"/>
          <c:tx>
            <c:v>Holiday shifts</c:v>
          </c:tx>
          <c:spPr>
            <a:solidFill>
              <a:srgbClr val="E8702A"/>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Dashboard!$B$31:$B$34</c:f>
              <c:strCache>
                <c:ptCount val="4"/>
                <c:pt idx="0">
                  <c:v>A</c:v>
                </c:pt>
                <c:pt idx="1">
                  <c:v>B</c:v>
                </c:pt>
                <c:pt idx="2">
                  <c:v>C</c:v>
                </c:pt>
                <c:pt idx="3">
                  <c:v>D</c:v>
                </c:pt>
              </c:strCache>
            </c:strRef>
          </c:cat>
          <c:val>
            <c:numRef>
              <c:f>Dashboard!$J$31:$J$34</c:f>
              <c:numCache>
                <c:formatCode>General</c:formatCode>
                <c:ptCount val="4"/>
                <c:pt idx="0">
                  <c:v>0</c:v>
                </c:pt>
                <c:pt idx="1">
                  <c:v>2</c:v>
                </c:pt>
                <c:pt idx="2">
                  <c:v>0</c:v>
                </c:pt>
                <c:pt idx="3">
                  <c:v>2</c:v>
                </c:pt>
              </c:numCache>
            </c:numRef>
          </c:val>
        </c:ser>
        <c:gapWidth val="60"/>
        <c:overlap val="-10"/>
        <c:axId val="50020001"/>
        <c:axId val="50020002"/>
      </c:bar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Shifts below required by week</a:t>
            </a:r>
          </a:p>
        </c:rich>
      </c:tx>
      <c:layout/>
    </c:title>
    <c:plotArea>
      <c:layout/>
      <c:barChart>
        <c:barDir val="col"/>
        <c:grouping val="clustered"/>
        <c:ser>
          <c:idx val="0"/>
          <c:order val="0"/>
          <c:tx>
            <c:v>Shifts below required</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Dashboard!$G$38:$G$49</c:f>
              <c:numCache>
                <c:formatCode>General</c:formatCode>
                <c:ptCount val="12"/>
                <c:pt idx="0">
                  <c:v>46300</c:v>
                </c:pt>
                <c:pt idx="1">
                  <c:v>46307</c:v>
                </c:pt>
                <c:pt idx="2">
                  <c:v>46314</c:v>
                </c:pt>
                <c:pt idx="3">
                  <c:v>46321</c:v>
                </c:pt>
                <c:pt idx="4">
                  <c:v>46328</c:v>
                </c:pt>
                <c:pt idx="5">
                  <c:v>46335</c:v>
                </c:pt>
                <c:pt idx="6">
                  <c:v>46342</c:v>
                </c:pt>
                <c:pt idx="7">
                  <c:v>46349</c:v>
                </c:pt>
                <c:pt idx="8">
                  <c:v>46356</c:v>
                </c:pt>
                <c:pt idx="9">
                  <c:v>46363</c:v>
                </c:pt>
                <c:pt idx="10">
                  <c:v>46370</c:v>
                </c:pt>
                <c:pt idx="11">
                  <c:v>46377</c:v>
                </c:pt>
              </c:numCache>
            </c:numRef>
          </c:cat>
          <c:val>
            <c:numRef>
              <c:f>Dashboard!$J$38:$J$49</c:f>
              <c:numCache>
                <c:formatCode>General</c:formatCode>
                <c:ptCount val="12"/>
                <c:pt idx="0">
                  <c:v>2</c:v>
                </c:pt>
                <c:pt idx="1">
                  <c:v>0</c:v>
                </c:pt>
                <c:pt idx="2">
                  <c:v>2</c:v>
                </c:pt>
                <c:pt idx="3">
                  <c:v>0</c:v>
                </c:pt>
                <c:pt idx="4">
                  <c:v>2</c:v>
                </c:pt>
                <c:pt idx="5">
                  <c:v>2</c:v>
                </c:pt>
                <c:pt idx="6">
                  <c:v>1</c:v>
                </c:pt>
                <c:pt idx="7">
                  <c:v>0</c:v>
                </c:pt>
                <c:pt idx="8">
                  <c:v>1</c:v>
                </c:pt>
                <c:pt idx="9">
                  <c:v>2</c:v>
                </c:pt>
                <c:pt idx="10">
                  <c:v>3</c:v>
                </c:pt>
                <c:pt idx="11">
                  <c:v>3</c:v>
                </c:pt>
              </c:numCache>
            </c:numRef>
          </c:val>
        </c:ser>
        <c:gapWidth val="60"/>
        <c:overlap val="-10"/>
        <c:axId val="50030001"/>
        <c:axId val="50030002"/>
      </c:barChart>
      <c:catAx>
        <c:axId val="5003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26</xdr:row>
      <xdr:rowOff>152400</xdr:rowOff>
    </xdr:to>
    <xdr:graphicFrame macro="">
      <xdr:nvGraphicFramePr>
        <xdr:cNvPr id="2" name="Chart 1" descr="Column chart of the fewer of the day-shift and night-shift people on every day of the rota, with the required people per shift as a dashed red line; columns below the line are days with a shift short of peopl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26</xdr:row>
      <xdr:rowOff>152400</xdr:rowOff>
    </xdr:to>
    <xdr:graphicFrame macro="">
      <xdr:nvGraphicFramePr>
        <xdr:cNvPr id="3" name="Chart 2" descr="Clustered column chart of the weekend shifts and holiday shifts each crew works over the rota, to check the pattern shares them fairly."/>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35</xdr:row>
      <xdr:rowOff>38100</xdr:rowOff>
    </xdr:from>
    <xdr:to>
      <xdr:col>5</xdr:col>
      <xdr:colOff>676275</xdr:colOff>
      <xdr:row>48</xdr:row>
      <xdr:rowOff>161925</xdr:rowOff>
    </xdr:to>
    <xdr:graphicFrame macro="">
      <xdr:nvGraphicFramePr>
        <xdr:cNvPr id="4" name="Chart 3" descr="Column chart of the number of day and night shifts below the required people in each week of the rota."/>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Crews" displayName="tblCrews" ref="B22:D26" totalsRowShown="0">
  <autoFilter ref="B22:D26"/>
  <tableColumns count="3">
    <tableColumn id="1" name="Crew"/>
    <tableColumn id="2" name="Supervisor"/>
    <tableColumn id="3" name="People"/>
  </tableColumns>
  <tableStyleInfo name="TableStyleLight1" showFirstColumn="0" showLastColumn="0" showRowStripes="0" showColumnStripes="0"/>
</table>
</file>

<file path=xl/tables/table2.xml><?xml version="1.0" encoding="utf-8"?>
<table xmlns="http://schemas.openxmlformats.org/spreadsheetml/2006/main" id="2" name="tblPatternList" displayName="tblPatternList" ref="B32:E36" totalsRowShown="0">
  <autoFilter ref="B32:E36"/>
  <tableColumns count="4">
    <tableColumn id="1" name="Pattern"/>
    <tableColumn id="2" name="Cycle (days)"/>
    <tableColumn id="3" name="Crew offset (days)"/>
    <tableColumn id="4" name="Shift (h)"/>
  </tableColumns>
  <tableStyleInfo name="TableStyleLight1" showFirstColumn="0" showLastColumn="0" showRowStripes="0" showColumnStripes="0"/>
</table>
</file>

<file path=xl/tables/table3.xml><?xml version="1.0" encoding="utf-8"?>
<table xmlns="http://schemas.openxmlformats.org/spreadsheetml/2006/main" id="3" name="tblPatterns" displayName="tblPatterns" ref="B44:G72" totalsRowShown="0">
  <autoFilter ref="B44:G72"/>
  <tableColumns count="6">
    <tableColumn id="1" name="Cycle day"/>
    <tableColumn id="2" name="DuPont"/>
    <tableColumn id="3" name="2-2-3 Panama"/>
    <tableColumn id="4" name="4-on-4-off"/>
    <tableColumn id="5" name="3-on-3-off"/>
    <tableColumn id="6" name="Active">
      <calculatedColumnFormula>CHOOSE(PatternNo,tblPatterns[[#This Row],[DuPont]],tblPatterns[[#This Row],[2-2-3 Panama]],tblPatterns[[#This Row],[4-on-4-off]],tblPatterns[[#This Row],[3-on-3-off]])</calculatedColumnFormula>
    </tableColumn>
  </tableColumns>
  <tableStyleInfo name="TableStyleLight1" showFirstColumn="0" showLastColumn="0" showRowStripes="0" showColumnStripes="0"/>
</table>
</file>

<file path=xl/tables/table4.xml><?xml version="1.0" encoding="utf-8"?>
<table xmlns="http://schemas.openxmlformats.org/spreadsheetml/2006/main" id="4" name="tblRota" displayName="tblRota" ref="B5:W89" totalsRowShown="0">
  <autoFilter ref="B5:W89"/>
  <tableColumns count="22">
    <tableColumn id="1" name="Date"/>
    <tableColumn id="2" name="Weekday">
      <calculatedColumnFormula>IF(tblRota[[#This Row],[Date]]="","",CHOOSE(WEEKDAY(tblRota[[#This Row],[Date]],2),"Mon","Tue","Wed","Thu","Fri","Sat","Sun"))</calculatedColumnFormula>
    </tableColumn>
    <tableColumn id="3" name="Holiday"/>
    <tableColumn id="4" name="Cycle day">
      <calculatedColumnFormula>IF(tblRota[[#This Row],[Date]]="","",MOD(tblRota[[#This Row],[Date]]-Anchor,CycleDays)+1)</calculatedColumnFormula>
    </tableColumn>
    <tableColumn id="5" name="Crew A">
      <calculatedColumnFormula>IF(tblRota[[#This Row],[Date]]="","",IF(tblRota[[#This Row],[Cycle day]]="","",INDEX(tblPatterns[Active],MOD(tblRota[[#This Row],[Date]]-Anchor+CrewOffset*0,CycleDays)+1)))</calculatedColumnFormula>
    </tableColumn>
    <tableColumn id="6" name="Crew B">
      <calculatedColumnFormula>IF(tblRota[[#This Row],[Date]]="","",IF(tblRota[[#This Row],[Cycle day]]="","",INDEX(tblPatterns[Active],MOD(tblRota[[#This Row],[Date]]-Anchor+CrewOffset*1,CycleDays)+1)))</calculatedColumnFormula>
    </tableColumn>
    <tableColumn id="7" name="Crew C">
      <calculatedColumnFormula>IF(tblRota[[#This Row],[Date]]="","",IF(tblRota[[#This Row],[Cycle day]]="","",INDEX(tblPatterns[Active],MOD(tblRota[[#This Row],[Date]]-Anchor+CrewOffset*2,CycleDays)+1)))</calculatedColumnFormula>
    </tableColumn>
    <tableColumn id="8" name="Crew D">
      <calculatedColumnFormula>IF(tblRota[[#This Row],[Date]]="","",IF(tblRota[[#This Row],[Cycle day]]="","",INDEX(tblPatterns[Active],MOD(tblRota[[#This Row],[Date]]-Anchor+CrewOffset*3,CycleDays)+1)))</calculatedColumnFormula>
    </tableColumn>
    <tableColumn id="9" name="Day crew">
      <calculatedColumnFormula>IF(tblRota[[#This Row],[Date]]="","",IF(tblRota[[#This Row],[Crew A]]="D","A",IF(tblRota[[#This Row],[Crew B]]="D","B",IF(tblRota[[#This Row],[Crew C]]="D","C",IF(tblRota[[#This Row],[Crew D]]="D","D","")))))</calculatedColumnFormula>
    </tableColumn>
    <tableColumn id="10" name="Night crew">
      <calculatedColumnFormula>IF(tblRota[[#This Row],[Date]]="","",IF(tblRota[[#This Row],[Crew A]]="N","A",IF(tblRota[[#This Row],[Crew B]]="N","B",IF(tblRota[[#This Row],[Crew C]]="N","C",IF(tblRota[[#This Row],[Crew D]]="N","D","")))))</calculatedColumnFormula>
    </tableColumn>
    <tableColumn id="11" name="Day absent (people)"/>
    <tableColumn id="12" name="Night absent (people)"/>
    <tableColumn id="13" name="Day on shift (people)">
      <calculatedColumnFormula>IF(tblRota[[#This Row],[Date]]="","",IFERROR(INDEX(tblCrews[People],MATCH(tblRota[[#This Row],[Day crew]],tblCrews[Crew],0)),0)-tblRota[[#This Row],[Day absent (people)]])</calculatedColumnFormula>
    </tableColumn>
    <tableColumn id="14" name="Night on shift (people)">
      <calculatedColumnFormula>IF(tblRota[[#This Row],[Date]]="","",IFERROR(INDEX(tblCrews[People],MATCH(tblRota[[#This Row],[Night crew]],tblCrews[Crew],0)),0)-tblRota[[#This Row],[Night absent (people)]])</calculatedColumnFormula>
    </tableColumn>
    <tableColumn id="15" name="Fewest on shift (people)">
      <calculatedColumnFormula>IF(tblRota[[#This Row],[Date]]="","",MIN(tblRota[[#This Row],[Day on shift (people)]],tblRota[[#This Row],[Night on shift (people)]]))</calculatedColumnFormula>
    </tableColumn>
    <tableColumn id="16" name="Required (people)">
      <calculatedColumnFormula>IF(tblRota[[#This Row],[Date]]="","",ReqPerShift)</calculatedColumnFormula>
    </tableColumn>
    <tableColumn id="17" name="Lowest coverage">
      <calculatedColumnFormula>IF(tblRota[[#This Row],[Date]]="","",IF(tblRota[[#This Row],[Required (people)]]&gt;0,tblRota[[#This Row],[Fewest on shift (people)]]/tblRota[[#This Row],[Required (people)]],""))</calculatedColumnFormula>
    </tableColumn>
    <tableColumn id="18" name="Status">
      <calculatedColumnFormula>IF(NOT(ISNUMBER(tblRota[[#This Row],[Lowest coverage]])),"",IF(tblRota[[#This Row],[Lowest coverage]]&gt;=TargetCover,"On target",IF(tblRota[[#This Row],[Lowest coverage]]&gt;=TargetCover*(1-0.05),"Near target","Below target")))</calculatedColumnFormula>
    </tableColumn>
    <tableColumn id="19" name="Shifts short">
      <calculatedColumnFormula>IF(tblRota[[#This Row],[Date]]="","",(tblRota[[#This Row],[Day on shift (people)]]&lt;tblRota[[#This Row],[Required (people)]])+(tblRota[[#This Row],[Night on shift (people)]]&lt;tblRota[[#This Row],[Required (people)]]))</calculatedColumnFormula>
    </tableColumn>
    <tableColumn id="20" name="Weekend">
      <calculatedColumnFormula>IF(tblRota[[#This Row],[Date]]="","",IF(WEEKDAY(tblRota[[#This Row],[Date]],2)&gt;5,"Yes","No"))</calculatedColumnFormula>
    </tableColumn>
    <tableColumn id="21" name="Check">
      <calculatedColumnFormula>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calculatedColumnFormula>
    </tableColumn>
    <tableColumn id="22" name="Notes"/>
  </tableColumns>
  <tableStyleInfo name="TableStyleLight1" showFirstColumn="0" showLastColumn="0" showRowStripes="0" showColumnStripes="0"/>
</table>
</file>

<file path=xl/tables/table5.xml><?xml version="1.0" encoding="utf-8"?>
<table xmlns="http://schemas.openxmlformats.org/spreadsheetml/2006/main" id="5" name="tblVerifyCrews" displayName="tblVerifyCrews" ref="B57:D61" totalsRowShown="0">
  <tableColumns count="3">
    <tableColumn id="1" name="Crew"/>
    <tableColumn id="2" name="Supervisor"/>
    <tableColumn id="3" name="People"/>
  </tableColumns>
  <tableStyleInfo name="TableStyleLight1" showFirstColumn="0" showLastColumn="0" showRowStripes="0" showColumnStripes="0"/>
</table>
</file>

<file path=xl/tables/table6.xml><?xml version="1.0" encoding="utf-8"?>
<table xmlns="http://schemas.openxmlformats.org/spreadsheetml/2006/main" id="6" name="tblVerifyPatterns" displayName="tblVerifyPatterns" ref="B64:G92" totalsRowShown="0">
  <tableColumns count="6">
    <tableColumn id="1" name="Cycle day"/>
    <tableColumn id="2" name="DuPont"/>
    <tableColumn id="3" name="2-2-3 Panama"/>
    <tableColumn id="4" name="4-on-4-off"/>
    <tableColumn id="5" name="3-on-3-off"/>
    <tableColumn id="6" name="Active">
      <calculatedColumnFormula>CHOOSE($E$48,tblVerifyPatterns[[#This Row],[DuPont]],tblVerifyPatterns[[#This Row],[2-2-3 Panama]],tblVerifyPatterns[[#This Row],[4-on-4-off]],tblVerifyPatterns[[#This Row],[3-on-3-off]])</calculatedColumnFormula>
    </tableColumn>
  </tableColumns>
  <tableStyleInfo name="TableStyleLight1" showFirstColumn="0" showLastColumn="0" showRowStripes="0" showColumnStripes="0"/>
</table>
</file>

<file path=xl/tables/table7.xml><?xml version="1.0" encoding="utf-8"?>
<table xmlns="http://schemas.openxmlformats.org/spreadsheetml/2006/main" id="7" name="tblVerifyRota" displayName="tblVerifyRota" ref="B95:W109" totalsRowShown="0">
  <tableColumns count="22">
    <tableColumn id="1" name="Date"/>
    <tableColumn id="2" name="Weekday">
      <calculatedColumnFormula>IF(tblVerifyRota[[#This Row],[Date]]="","",CHOOSE(WEEKDAY(tblVerifyRota[[#This Row],[Date]],2),"Mon","Tue","Wed","Thu","Fri","Sat","Sun"))</calculatedColumnFormula>
    </tableColumn>
    <tableColumn id="3" name="Holiday"/>
    <tableColumn id="4" name="Cycle day">
      <calculatedColumnFormula>IF(tblVerifyRota[[#This Row],[Date]]="","",MOD(tblVerifyRota[[#This Row],[Date]]-$E$47,$E$49)+1)</calculatedColumnFormula>
    </tableColumn>
    <tableColumn id="5" name="Crew A">
      <calculatedColumnFormula>IF(tblVerifyRota[[#This Row],[Date]]="","",IF(tblVerifyRota[[#This Row],[Cycle day]]="","",INDEX(tblVerifyPatterns[Active],MOD(tblVerifyRota[[#This Row],[Date]]-$E$47+$E$50*0,$E$49)+1)))</calculatedColumnFormula>
    </tableColumn>
    <tableColumn id="6" name="Crew B">
      <calculatedColumnFormula>IF(tblVerifyRota[[#This Row],[Date]]="","",IF(tblVerifyRota[[#This Row],[Cycle day]]="","",INDEX(tblVerifyPatterns[Active],MOD(tblVerifyRota[[#This Row],[Date]]-$E$47+$E$50*1,$E$49)+1)))</calculatedColumnFormula>
    </tableColumn>
    <tableColumn id="7" name="Crew C">
      <calculatedColumnFormula>IF(tblVerifyRota[[#This Row],[Date]]="","",IF(tblVerifyRota[[#This Row],[Cycle day]]="","",INDEX(tblVerifyPatterns[Active],MOD(tblVerifyRota[[#This Row],[Date]]-$E$47+$E$50*2,$E$49)+1)))</calculatedColumnFormula>
    </tableColumn>
    <tableColumn id="8" name="Crew D">
      <calculatedColumnFormula>IF(tblVerifyRota[[#This Row],[Date]]="","",IF(tblVerifyRota[[#This Row],[Cycle day]]="","",INDEX(tblVerifyPatterns[Active],MOD(tblVerifyRota[[#This Row],[Date]]-$E$47+$E$50*3,$E$49)+1)))</calculatedColumnFormula>
    </tableColumn>
    <tableColumn id="9" name="Day crew">
      <calculatedColumnFormula>IF(tblVerifyRota[[#This Row],[Date]]="","",IF(tblVerifyRota[[#This Row],[Crew A]]="D","A",IF(tblVerifyRota[[#This Row],[Crew B]]="D","B",IF(tblVerifyRota[[#This Row],[Crew C]]="D","C",IF(tblVerifyRota[[#This Row],[Crew D]]="D","D","")))))</calculatedColumnFormula>
    </tableColumn>
    <tableColumn id="10" name="Night crew">
      <calculatedColumnFormula>IF(tblVerifyRota[[#This Row],[Date]]="","",IF(tblVerifyRota[[#This Row],[Crew A]]="N","A",IF(tblVerifyRota[[#This Row],[Crew B]]="N","B",IF(tblVerifyRota[[#This Row],[Crew C]]="N","C",IF(tblVerifyRota[[#This Row],[Crew D]]="N","D","")))))</calculatedColumnFormula>
    </tableColumn>
    <tableColumn id="11" name="Day absent (people)"/>
    <tableColumn id="12" name="Night absent (people)"/>
    <tableColumn id="13" name="Day on shift (people)">
      <calculatedColumnFormula>IF(tblVerifyRota[[#This Row],[Date]]="","",IFERROR(INDEX(tblVerifyCrews[People],MATCH(tblVerifyRota[[#This Row],[Day crew]],tblVerifyCrews[Crew],0)),0)-tblVerifyRota[[#This Row],[Day absent (people)]])</calculatedColumnFormula>
    </tableColumn>
    <tableColumn id="14" name="Night on shift (people)">
      <calculatedColumnFormula>IF(tblVerifyRota[[#This Row],[Date]]="","",IFERROR(INDEX(tblVerifyCrews[People],MATCH(tblVerifyRota[[#This Row],[Night crew]],tblVerifyCrews[Crew],0)),0)-tblVerifyRota[[#This Row],[Night absent (people)]])</calculatedColumnFormula>
    </tableColumn>
    <tableColumn id="15" name="Fewest on shift (people)">
      <calculatedColumnFormula>IF(tblVerifyRota[[#This Row],[Date]]="","",MIN(tblVerifyRota[[#This Row],[Day on shift (people)]],tblVerifyRota[[#This Row],[Night on shift (people)]]))</calculatedColumnFormula>
    </tableColumn>
    <tableColumn id="16" name="Required (people)">
      <calculatedColumnFormula>IF(tblVerifyRota[[#This Row],[Date]]="","",$E$52)</calculatedColumnFormula>
    </tableColumn>
    <tableColumn id="17" name="Lowest coverage">
      <calculatedColumnFormula>IF(tblVerifyRota[[#This Row],[Date]]="","",IF(tblVerifyRota[[#This Row],[Required (people)]]&gt;0,tblVerifyRota[[#This Row],[Fewest on shift (people)]]/tblVerifyRota[[#This Row],[Required (people)]],""))</calculatedColumnFormula>
    </tableColumn>
    <tableColumn id="18" name="Status">
      <calculatedColumnFormula>IF(NOT(ISNUMBER(tblVerifyRota[[#This Row],[Lowest coverage]])),"",IF(tblVerifyRota[[#This Row],[Lowest coverage]]&gt;=$E$53,"On target",IF(tblVerifyRota[[#This Row],[Lowest coverage]]&gt;=$E$53*(1-0.05),"Near target","Below target")))</calculatedColumnFormula>
    </tableColumn>
    <tableColumn id="19" name="Shifts short">
      <calculatedColumnFormula>IF(tblVerifyRota[[#This Row],[Date]]="","",(tblVerifyRota[[#This Row],[Day on shift (people)]]&lt;tblVerifyRota[[#This Row],[Required (people)]])+(tblVerifyRota[[#This Row],[Night on shift (people)]]&lt;tblVerifyRota[[#This Row],[Required (people)]]))</calculatedColumnFormula>
    </tableColumn>
    <tableColumn id="20" name="Weekend">
      <calculatedColumnFormula>IF(tblVerifyRota[[#This Row],[Date]]="","",IF(WEEKDAY(tblVerifyRota[[#This Row],[Date]],2)&gt;5,"Yes","No"))</calculatedColumnFormula>
    </tableColumn>
    <tableColumn id="21" name="Check">
      <calculatedColumnFormula>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calculatedColumnFormula>
    </tableColumn>
    <tableColumn id="22"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ift-rotation-schedule" TargetMode="External"/><Relationship Id="rId2" Type="http://schemas.openxmlformats.org/officeDocument/2006/relationships/hyperlink" Target="https://www.mfgcalcs.com/calculators/workforce-labor-standards-skills-planning/shift-coverage?utm_source=mfgcalcs-template&amp;utm_medium=xlsx&amp;utm_campaign=shift-rotation-schedule" TargetMode="External"/><Relationship Id="rId3" Type="http://schemas.openxmlformats.org/officeDocument/2006/relationships/hyperlink" Target="https://www.mfgcalcs.com/templates/shift-rotation-schedule?utm_source=mfgcalcs-template&amp;utm_medium=xlsx&amp;utm_campaign=shift-rotation-schedule" TargetMode="External"/><Relationship Id="rId4" Type="http://schemas.openxmlformats.org/officeDocument/2006/relationships/hyperlink" Target="https://www.mfgcalcs.com/templates?utm_source=mfgcalcs-template&amp;utm_medium=xlsx&amp;utm_campaign=shift-rotation-schedule"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ift-rotation-schedule"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ift-rotation-schedule"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ift-rotation-schedule"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ift-rotation-schedule" TargetMode="External"/><Relationship Id="rId2" Type="http://schemas.openxmlformats.org/officeDocument/2006/relationships/hyperlink" Target="https://www.mfgcalcs.com/calculators/workforce-labor-standards-skills-planning/shift-coverage?utm_source=mfgcalcs-template&amp;utm_medium=xlsx&amp;utm_campaign=shift-rotation-schedul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ift-rotation-schedule" TargetMode="External"/><Relationship Id="rId2" Type="http://schemas.openxmlformats.org/officeDocument/2006/relationships/table" Target="../tables/table5.xml"/><Relationship Id="rId3" Type="http://schemas.openxmlformats.org/officeDocument/2006/relationships/table" Target="../tables/table6.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31 of 31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Rota!A1" tooltip="Go to Rota" display="Rota"/>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- 4-Crew Shift Rotation Schedule&amp;R&amp;8&amp;A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G72"/>
  <sheetViews>
    <sheetView showGridLines="0" workbookViewId="0"/>
  </sheetViews>
  <sheetFormatPr defaultRowHeight="15"/>
  <cols>
    <col min="1" max="1" width="2.7109375" customWidth="1"/>
    <col min="2" max="2" width="24.7109375" customWidth="1"/>
    <col min="3" max="7" width="13.7109375" customWidth="1"/>
  </cols>
  <sheetData>
    <row r="1" spans="1:7" ht="30" customHeight="1">
      <c r="A1" s="1" t="s">
        <v>0</v>
      </c>
      <c r="B1" s="1"/>
      <c r="C1" s="1"/>
      <c r="D1" s="1"/>
      <c r="E1" s="1"/>
      <c r="F1" s="1"/>
      <c r="G1" s="1"/>
    </row>
    <row r="2" spans="1:7" ht="21" customHeight="1">
      <c r="B2" s="2" t="s">
        <v>18</v>
      </c>
      <c r="C2" s="2"/>
      <c r="D2" s="2"/>
      <c r="E2" s="2"/>
      <c r="F2" s="2"/>
      <c r="G2" s="3" t="s">
        <v>2</v>
      </c>
    </row>
    <row r="3" spans="1:7" ht="6" customHeight="1"/>
    <row r="4" spans="1:7" ht="21" customHeight="1">
      <c r="B4" s="8" t="s">
        <v>73</v>
      </c>
      <c r="C4" s="8"/>
      <c r="D4" s="8"/>
      <c r="E4" s="8"/>
      <c r="F4" s="8"/>
      <c r="G4" s="8"/>
    </row>
    <row r="5" spans="1:7" ht="5" customHeight="1"/>
    <row r="6" spans="1:7">
      <c r="B6" s="27" t="s">
        <v>74</v>
      </c>
      <c r="C6" s="27"/>
      <c r="D6" s="28" t="s">
        <v>75</v>
      </c>
      <c r="E6" s="28"/>
    </row>
    <row r="7" spans="1:7">
      <c r="B7" s="27" t="s">
        <v>76</v>
      </c>
      <c r="C7" s="27"/>
      <c r="D7" s="28" t="s">
        <v>69</v>
      </c>
      <c r="E7" s="28"/>
    </row>
    <row r="8" spans="1:7">
      <c r="B8" s="27" t="s">
        <v>77</v>
      </c>
      <c r="C8" s="27"/>
      <c r="D8" s="29">
        <v>46300</v>
      </c>
      <c r="E8" s="7"/>
    </row>
    <row r="9" spans="1:7">
      <c r="B9" s="27" t="s">
        <v>78</v>
      </c>
      <c r="C9" s="27"/>
      <c r="D9" s="30">
        <v>11</v>
      </c>
      <c r="E9" s="7" t="s">
        <v>79</v>
      </c>
    </row>
    <row r="10" spans="1:7">
      <c r="B10" s="27" t="s">
        <v>80</v>
      </c>
      <c r="C10" s="27"/>
      <c r="D10" s="31">
        <v>1</v>
      </c>
      <c r="E10" s="7"/>
    </row>
    <row r="11" spans="1:7">
      <c r="B11" s="27" t="s">
        <v>81</v>
      </c>
      <c r="C11" s="27"/>
      <c r="D11" s="32">
        <v>40</v>
      </c>
      <c r="E11" s="7" t="s">
        <v>82</v>
      </c>
    </row>
    <row r="12" spans="1:7">
      <c r="B12" s="27" t="s">
        <v>83</v>
      </c>
      <c r="C12" s="27"/>
      <c r="D12" s="33">
        <f>IFERROR(MATCH(Pattern,tblPatternList[Pattern],0),1)</f>
        <v>2</v>
      </c>
      <c r="E12" s="7" t="s">
        <v>84</v>
      </c>
    </row>
    <row r="13" spans="1:7">
      <c r="B13" s="27" t="s">
        <v>85</v>
      </c>
      <c r="C13" s="27"/>
      <c r="D13" s="33">
        <f>INDEX(tblPatternList[Cycle (days)],PatternNo)</f>
        <v>28</v>
      </c>
      <c r="E13" s="7" t="s">
        <v>86</v>
      </c>
    </row>
    <row r="14" spans="1:7">
      <c r="B14" s="27" t="s">
        <v>87</v>
      </c>
      <c r="C14" s="27"/>
      <c r="D14" s="33">
        <f>INDEX(tblPatternList[Crew offset (days)],PatternNo)</f>
        <v>7</v>
      </c>
      <c r="E14" s="7" t="s">
        <v>86</v>
      </c>
    </row>
    <row r="15" spans="1:7">
      <c r="B15" s="27" t="s">
        <v>88</v>
      </c>
      <c r="C15" s="27"/>
      <c r="D15" s="34">
        <f>INDEX(tblPatternList[Shift (h)],PatternNo)</f>
        <v>12</v>
      </c>
      <c r="E15" s="7" t="s">
        <v>89</v>
      </c>
    </row>
    <row r="17" spans="2:7" ht="35.4" customHeight="1">
      <c r="B17" s="25" t="s">
        <v>90</v>
      </c>
      <c r="C17" s="25"/>
      <c r="D17" s="25"/>
      <c r="E17" s="25"/>
      <c r="F17" s="25"/>
      <c r="G17" s="25"/>
    </row>
    <row r="19" spans="2:7" ht="21" customHeight="1">
      <c r="B19" s="8" t="s">
        <v>91</v>
      </c>
      <c r="C19" s="8"/>
      <c r="D19" s="8"/>
      <c r="E19" s="8"/>
      <c r="F19" s="8"/>
      <c r="G19" s="8"/>
    </row>
    <row r="20" spans="2:7" ht="5" customHeight="1"/>
    <row r="21" spans="2:7">
      <c r="B21" s="35" t="s">
        <v>92</v>
      </c>
      <c r="C21" s="35"/>
      <c r="D21" s="35"/>
    </row>
    <row r="22" spans="2:7" ht="20" customHeight="1">
      <c r="B22" s="36" t="s">
        <v>60</v>
      </c>
      <c r="C22" s="36" t="s">
        <v>61</v>
      </c>
      <c r="D22" s="36" t="s">
        <v>62</v>
      </c>
    </row>
    <row r="23" spans="2:7">
      <c r="B23" s="28" t="s">
        <v>93</v>
      </c>
      <c r="C23" s="28" t="s">
        <v>94</v>
      </c>
      <c r="D23" s="30">
        <v>12</v>
      </c>
    </row>
    <row r="24" spans="2:7">
      <c r="B24" s="28" t="s">
        <v>95</v>
      </c>
      <c r="C24" s="28" t="s">
        <v>96</v>
      </c>
      <c r="D24" s="30">
        <v>12</v>
      </c>
    </row>
    <row r="25" spans="2:7">
      <c r="B25" s="28" t="s">
        <v>97</v>
      </c>
      <c r="C25" s="28" t="s">
        <v>98</v>
      </c>
      <c r="D25" s="30">
        <v>11</v>
      </c>
    </row>
    <row r="26" spans="2:7">
      <c r="B26" s="28" t="s">
        <v>99</v>
      </c>
      <c r="C26" s="28" t="s">
        <v>100</v>
      </c>
      <c r="D26" s="30">
        <v>12</v>
      </c>
    </row>
    <row r="28" spans="2:7" ht="21" customHeight="1">
      <c r="B28" s="8" t="s">
        <v>101</v>
      </c>
      <c r="C28" s="8"/>
      <c r="D28" s="8"/>
      <c r="E28" s="8"/>
      <c r="F28" s="8"/>
      <c r="G28" s="8"/>
    </row>
    <row r="29" spans="2:7" ht="5" customHeight="1"/>
    <row r="30" spans="2:7" ht="26.76" customHeight="1">
      <c r="B30" s="21" t="s">
        <v>102</v>
      </c>
      <c r="C30" s="21"/>
      <c r="D30" s="21"/>
      <c r="E30" s="21"/>
      <c r="F30" s="21"/>
      <c r="G30" s="21"/>
    </row>
    <row r="31" spans="2:7">
      <c r="B31" s="35" t="s">
        <v>103</v>
      </c>
      <c r="C31" s="35"/>
      <c r="D31" s="35"/>
      <c r="E31" s="35"/>
    </row>
    <row r="32" spans="2:7" ht="32" customHeight="1">
      <c r="B32" s="36" t="s">
        <v>63</v>
      </c>
      <c r="C32" s="36" t="s">
        <v>64</v>
      </c>
      <c r="D32" s="36" t="s">
        <v>65</v>
      </c>
      <c r="E32" s="36" t="s">
        <v>66</v>
      </c>
    </row>
    <row r="33" spans="2:7">
      <c r="B33" s="28" t="s">
        <v>68</v>
      </c>
      <c r="C33" s="30">
        <v>28</v>
      </c>
      <c r="D33" s="30">
        <v>7</v>
      </c>
      <c r="E33" s="32">
        <v>12</v>
      </c>
    </row>
    <row r="34" spans="2:7">
      <c r="B34" s="28" t="s">
        <v>69</v>
      </c>
      <c r="C34" s="30">
        <v>28</v>
      </c>
      <c r="D34" s="30">
        <v>7</v>
      </c>
      <c r="E34" s="32">
        <v>12</v>
      </c>
    </row>
    <row r="35" spans="2:7">
      <c r="B35" s="28" t="s">
        <v>70</v>
      </c>
      <c r="C35" s="30">
        <v>16</v>
      </c>
      <c r="D35" s="30">
        <v>4</v>
      </c>
      <c r="E35" s="32">
        <v>12</v>
      </c>
    </row>
    <row r="36" spans="2:7">
      <c r="B36" s="28" t="s">
        <v>71</v>
      </c>
      <c r="C36" s="30">
        <v>12</v>
      </c>
      <c r="D36" s="30">
        <v>3</v>
      </c>
      <c r="E36" s="32">
        <v>12</v>
      </c>
    </row>
    <row r="38" spans="2:7">
      <c r="B38" s="21" t="s">
        <v>104</v>
      </c>
      <c r="C38" s="21"/>
      <c r="D38" s="21"/>
      <c r="E38" s="21"/>
      <c r="F38" s="21"/>
      <c r="G38" s="21"/>
    </row>
    <row r="39" spans="2:7">
      <c r="B39" s="21" t="s">
        <v>105</v>
      </c>
      <c r="C39" s="21"/>
      <c r="D39" s="21"/>
      <c r="E39" s="21"/>
      <c r="F39" s="21"/>
      <c r="G39" s="21"/>
    </row>
    <row r="40" spans="2:7">
      <c r="B40" s="21" t="s">
        <v>106</v>
      </c>
      <c r="C40" s="21"/>
      <c r="D40" s="21"/>
      <c r="E40" s="21"/>
      <c r="F40" s="21"/>
      <c r="G40" s="21"/>
    </row>
    <row r="41" spans="2:7">
      <c r="B41" s="21" t="s">
        <v>107</v>
      </c>
      <c r="C41" s="21"/>
      <c r="D41" s="21"/>
      <c r="E41" s="21"/>
      <c r="F41" s="21"/>
      <c r="G41" s="21"/>
    </row>
    <row r="42" spans="2:7">
      <c r="B42" s="35" t="s">
        <v>108</v>
      </c>
      <c r="C42" s="35"/>
      <c r="D42" s="35"/>
      <c r="E42" s="35"/>
      <c r="F42" s="35"/>
      <c r="G42" s="35"/>
    </row>
    <row r="43" spans="2:7" ht="18" customHeight="1">
      <c r="B43" s="37" t="s">
        <v>109</v>
      </c>
      <c r="C43" s="37"/>
      <c r="D43" s="37"/>
      <c r="E43" s="37"/>
      <c r="F43" s="37"/>
      <c r="G43" s="37"/>
    </row>
    <row r="44" spans="2:7" ht="20" customHeight="1">
      <c r="B44" s="36" t="s">
        <v>67</v>
      </c>
      <c r="C44" s="36" t="s">
        <v>68</v>
      </c>
      <c r="D44" s="36" t="s">
        <v>69</v>
      </c>
      <c r="E44" s="36" t="s">
        <v>70</v>
      </c>
      <c r="F44" s="36" t="s">
        <v>71</v>
      </c>
      <c r="G44" s="36" t="s">
        <v>72</v>
      </c>
    </row>
    <row r="45" spans="2:7">
      <c r="B45" s="30">
        <v>1</v>
      </c>
      <c r="C45" s="28" t="s">
        <v>110</v>
      </c>
      <c r="D45" s="28" t="s">
        <v>99</v>
      </c>
      <c r="E45" s="28" t="s">
        <v>99</v>
      </c>
      <c r="F45" s="28" t="s">
        <v>99</v>
      </c>
      <c r="G45" s="38" t="str">
        <f>CHOOSE(PatternNo,tblPatterns[[#This Row],[DuPont]],tblPatterns[[#This Row],[2-2-3 Panama]],tblPatterns[[#This Row],[4-on-4-off]],tblPatterns[[#This Row],[3-on-3-off]])</f>
        <v>D</v>
      </c>
    </row>
    <row r="46" spans="2:7">
      <c r="B46" s="30">
        <v>2</v>
      </c>
      <c r="C46" s="28" t="s">
        <v>110</v>
      </c>
      <c r="D46" s="28" t="s">
        <v>99</v>
      </c>
      <c r="E46" s="28" t="s">
        <v>99</v>
      </c>
      <c r="F46" s="28" t="s">
        <v>99</v>
      </c>
      <c r="G46" s="38" t="str">
        <f>CHOOSE(PatternNo,tblPatterns[[#This Row],[DuPont]],tblPatterns[[#This Row],[2-2-3 Panama]],tblPatterns[[#This Row],[4-on-4-off]],tblPatterns[[#This Row],[3-on-3-off]])</f>
        <v>D</v>
      </c>
    </row>
    <row r="47" spans="2:7">
      <c r="B47" s="30">
        <v>3</v>
      </c>
      <c r="C47" s="28" t="s">
        <v>110</v>
      </c>
      <c r="D47" s="28" t="s">
        <v>111</v>
      </c>
      <c r="E47" s="28" t="s">
        <v>99</v>
      </c>
      <c r="F47" s="28" t="s">
        <v>99</v>
      </c>
      <c r="G47" s="38" t="str">
        <f>CHOOSE(PatternNo,tblPatterns[[#This Row],[DuPont]],tblPatterns[[#This Row],[2-2-3 Panama]],tblPatterns[[#This Row],[4-on-4-off]],tblPatterns[[#This Row],[3-on-3-off]])</f>
        <v>O</v>
      </c>
    </row>
    <row r="48" spans="2:7">
      <c r="B48" s="30">
        <v>4</v>
      </c>
      <c r="C48" s="28" t="s">
        <v>110</v>
      </c>
      <c r="D48" s="28" t="s">
        <v>111</v>
      </c>
      <c r="E48" s="28" t="s">
        <v>99</v>
      </c>
      <c r="F48" s="28" t="s">
        <v>111</v>
      </c>
      <c r="G48" s="38" t="str">
        <f>CHOOSE(PatternNo,tblPatterns[[#This Row],[DuPont]],tblPatterns[[#This Row],[2-2-3 Panama]],tblPatterns[[#This Row],[4-on-4-off]],tblPatterns[[#This Row],[3-on-3-off]])</f>
        <v>O</v>
      </c>
    </row>
    <row r="49" spans="2:7">
      <c r="B49" s="30">
        <v>5</v>
      </c>
      <c r="C49" s="28" t="s">
        <v>111</v>
      </c>
      <c r="D49" s="28" t="s">
        <v>99</v>
      </c>
      <c r="E49" s="28" t="s">
        <v>111</v>
      </c>
      <c r="F49" s="28" t="s">
        <v>111</v>
      </c>
      <c r="G49" s="38" t="str">
        <f>CHOOSE(PatternNo,tblPatterns[[#This Row],[DuPont]],tblPatterns[[#This Row],[2-2-3 Panama]],tblPatterns[[#This Row],[4-on-4-off]],tblPatterns[[#This Row],[3-on-3-off]])</f>
        <v>D</v>
      </c>
    </row>
    <row r="50" spans="2:7">
      <c r="B50" s="30">
        <v>6</v>
      </c>
      <c r="C50" s="28" t="s">
        <v>111</v>
      </c>
      <c r="D50" s="28" t="s">
        <v>99</v>
      </c>
      <c r="E50" s="28" t="s">
        <v>111</v>
      </c>
      <c r="F50" s="28" t="s">
        <v>111</v>
      </c>
      <c r="G50" s="38" t="str">
        <f>CHOOSE(PatternNo,tblPatterns[[#This Row],[DuPont]],tblPatterns[[#This Row],[2-2-3 Panama]],tblPatterns[[#This Row],[4-on-4-off]],tblPatterns[[#This Row],[3-on-3-off]])</f>
        <v>D</v>
      </c>
    </row>
    <row r="51" spans="2:7">
      <c r="B51" s="30">
        <v>7</v>
      </c>
      <c r="C51" s="28" t="s">
        <v>111</v>
      </c>
      <c r="D51" s="28" t="s">
        <v>99</v>
      </c>
      <c r="E51" s="28" t="s">
        <v>111</v>
      </c>
      <c r="F51" s="28" t="s">
        <v>110</v>
      </c>
      <c r="G51" s="38" t="str">
        <f>CHOOSE(PatternNo,tblPatterns[[#This Row],[DuPont]],tblPatterns[[#This Row],[2-2-3 Panama]],tblPatterns[[#This Row],[4-on-4-off]],tblPatterns[[#This Row],[3-on-3-off]])</f>
        <v>D</v>
      </c>
    </row>
    <row r="52" spans="2:7">
      <c r="B52" s="30">
        <v>8</v>
      </c>
      <c r="C52" s="28" t="s">
        <v>99</v>
      </c>
      <c r="D52" s="28" t="s">
        <v>111</v>
      </c>
      <c r="E52" s="28" t="s">
        <v>111</v>
      </c>
      <c r="F52" s="28" t="s">
        <v>110</v>
      </c>
      <c r="G52" s="38" t="str">
        <f>CHOOSE(PatternNo,tblPatterns[[#This Row],[DuPont]],tblPatterns[[#This Row],[2-2-3 Panama]],tblPatterns[[#This Row],[4-on-4-off]],tblPatterns[[#This Row],[3-on-3-off]])</f>
        <v>O</v>
      </c>
    </row>
    <row r="53" spans="2:7">
      <c r="B53" s="30">
        <v>9</v>
      </c>
      <c r="C53" s="28" t="s">
        <v>99</v>
      </c>
      <c r="D53" s="28" t="s">
        <v>111</v>
      </c>
      <c r="E53" s="28" t="s">
        <v>110</v>
      </c>
      <c r="F53" s="28" t="s">
        <v>110</v>
      </c>
      <c r="G53" s="38" t="str">
        <f>CHOOSE(PatternNo,tblPatterns[[#This Row],[DuPont]],tblPatterns[[#This Row],[2-2-3 Panama]],tblPatterns[[#This Row],[4-on-4-off]],tblPatterns[[#This Row],[3-on-3-off]])</f>
        <v>O</v>
      </c>
    </row>
    <row r="54" spans="2:7">
      <c r="B54" s="30">
        <v>10</v>
      </c>
      <c r="C54" s="28" t="s">
        <v>99</v>
      </c>
      <c r="D54" s="28" t="s">
        <v>99</v>
      </c>
      <c r="E54" s="28" t="s">
        <v>110</v>
      </c>
      <c r="F54" s="28" t="s">
        <v>111</v>
      </c>
      <c r="G54" s="38" t="str">
        <f>CHOOSE(PatternNo,tblPatterns[[#This Row],[DuPont]],tblPatterns[[#This Row],[2-2-3 Panama]],tblPatterns[[#This Row],[4-on-4-off]],tblPatterns[[#This Row],[3-on-3-off]])</f>
        <v>D</v>
      </c>
    </row>
    <row r="55" spans="2:7">
      <c r="B55" s="30">
        <v>11</v>
      </c>
      <c r="C55" s="28" t="s">
        <v>111</v>
      </c>
      <c r="D55" s="28" t="s">
        <v>99</v>
      </c>
      <c r="E55" s="28" t="s">
        <v>110</v>
      </c>
      <c r="F55" s="28" t="s">
        <v>111</v>
      </c>
      <c r="G55" s="38" t="str">
        <f>CHOOSE(PatternNo,tblPatterns[[#This Row],[DuPont]],tblPatterns[[#This Row],[2-2-3 Panama]],tblPatterns[[#This Row],[4-on-4-off]],tblPatterns[[#This Row],[3-on-3-off]])</f>
        <v>D</v>
      </c>
    </row>
    <row r="56" spans="2:7">
      <c r="B56" s="30">
        <v>12</v>
      </c>
      <c r="C56" s="28" t="s">
        <v>110</v>
      </c>
      <c r="D56" s="28" t="s">
        <v>111</v>
      </c>
      <c r="E56" s="28" t="s">
        <v>110</v>
      </c>
      <c r="F56" s="28" t="s">
        <v>111</v>
      </c>
      <c r="G56" s="38" t="str">
        <f>CHOOSE(PatternNo,tblPatterns[[#This Row],[DuPont]],tblPatterns[[#This Row],[2-2-3 Panama]],tblPatterns[[#This Row],[4-on-4-off]],tblPatterns[[#This Row],[3-on-3-off]])</f>
        <v>O</v>
      </c>
    </row>
    <row r="57" spans="2:7">
      <c r="B57" s="30">
        <v>13</v>
      </c>
      <c r="C57" s="28" t="s">
        <v>110</v>
      </c>
      <c r="D57" s="28" t="s">
        <v>111</v>
      </c>
      <c r="E57" s="28" t="s">
        <v>111</v>
      </c>
      <c r="F57" s="28"/>
      <c r="G57" s="38" t="str">
        <f>CHOOSE(PatternNo,tblPatterns[[#This Row],[DuPont]],tblPatterns[[#This Row],[2-2-3 Panama]],tblPatterns[[#This Row],[4-on-4-off]],tblPatterns[[#This Row],[3-on-3-off]])</f>
        <v>O</v>
      </c>
    </row>
    <row r="58" spans="2:7">
      <c r="B58" s="30">
        <v>14</v>
      </c>
      <c r="C58" s="28" t="s">
        <v>110</v>
      </c>
      <c r="D58" s="28" t="s">
        <v>111</v>
      </c>
      <c r="E58" s="28" t="s">
        <v>111</v>
      </c>
      <c r="F58" s="28"/>
      <c r="G58" s="38" t="str">
        <f>CHOOSE(PatternNo,tblPatterns[[#This Row],[DuPont]],tblPatterns[[#This Row],[2-2-3 Panama]],tblPatterns[[#This Row],[4-on-4-off]],tblPatterns[[#This Row],[3-on-3-off]])</f>
        <v>O</v>
      </c>
    </row>
    <row r="59" spans="2:7">
      <c r="B59" s="30">
        <v>15</v>
      </c>
      <c r="C59" s="28" t="s">
        <v>111</v>
      </c>
      <c r="D59" s="28" t="s">
        <v>110</v>
      </c>
      <c r="E59" s="28" t="s">
        <v>111</v>
      </c>
      <c r="F59" s="28"/>
      <c r="G59" s="38" t="str">
        <f>CHOOSE(PatternNo,tblPatterns[[#This Row],[DuPont]],tblPatterns[[#This Row],[2-2-3 Panama]],tblPatterns[[#This Row],[4-on-4-off]],tblPatterns[[#This Row],[3-on-3-off]])</f>
        <v>N</v>
      </c>
    </row>
    <row r="60" spans="2:7">
      <c r="B60" s="30">
        <v>16</v>
      </c>
      <c r="C60" s="28" t="s">
        <v>111</v>
      </c>
      <c r="D60" s="28" t="s">
        <v>110</v>
      </c>
      <c r="E60" s="28" t="s">
        <v>111</v>
      </c>
      <c r="F60" s="28"/>
      <c r="G60" s="38" t="str">
        <f>CHOOSE(PatternNo,tblPatterns[[#This Row],[DuPont]],tblPatterns[[#This Row],[2-2-3 Panama]],tblPatterns[[#This Row],[4-on-4-off]],tblPatterns[[#This Row],[3-on-3-off]])</f>
        <v>N</v>
      </c>
    </row>
    <row r="61" spans="2:7">
      <c r="B61" s="30">
        <v>17</v>
      </c>
      <c r="C61" s="28" t="s">
        <v>111</v>
      </c>
      <c r="D61" s="28" t="s">
        <v>111</v>
      </c>
      <c r="E61" s="28"/>
      <c r="F61" s="28"/>
      <c r="G61" s="38" t="str">
        <f>CHOOSE(PatternNo,tblPatterns[[#This Row],[DuPont]],tblPatterns[[#This Row],[2-2-3 Panama]],tblPatterns[[#This Row],[4-on-4-off]],tblPatterns[[#This Row],[3-on-3-off]])</f>
        <v>O</v>
      </c>
    </row>
    <row r="62" spans="2:7">
      <c r="B62" s="30">
        <v>18</v>
      </c>
      <c r="C62" s="28" t="s">
        <v>99</v>
      </c>
      <c r="D62" s="28" t="s">
        <v>111</v>
      </c>
      <c r="E62" s="28"/>
      <c r="F62" s="28"/>
      <c r="G62" s="38" t="str">
        <f>CHOOSE(PatternNo,tblPatterns[[#This Row],[DuPont]],tblPatterns[[#This Row],[2-2-3 Panama]],tblPatterns[[#This Row],[4-on-4-off]],tblPatterns[[#This Row],[3-on-3-off]])</f>
        <v>O</v>
      </c>
    </row>
    <row r="63" spans="2:7">
      <c r="B63" s="30">
        <v>19</v>
      </c>
      <c r="C63" s="28" t="s">
        <v>99</v>
      </c>
      <c r="D63" s="28" t="s">
        <v>110</v>
      </c>
      <c r="E63" s="28"/>
      <c r="F63" s="28"/>
      <c r="G63" s="38" t="str">
        <f>CHOOSE(PatternNo,tblPatterns[[#This Row],[DuPont]],tblPatterns[[#This Row],[2-2-3 Panama]],tblPatterns[[#This Row],[4-on-4-off]],tblPatterns[[#This Row],[3-on-3-off]])</f>
        <v>N</v>
      </c>
    </row>
    <row r="64" spans="2:7">
      <c r="B64" s="30">
        <v>20</v>
      </c>
      <c r="C64" s="28" t="s">
        <v>99</v>
      </c>
      <c r="D64" s="28" t="s">
        <v>110</v>
      </c>
      <c r="E64" s="28"/>
      <c r="F64" s="28"/>
      <c r="G64" s="38" t="str">
        <f>CHOOSE(PatternNo,tblPatterns[[#This Row],[DuPont]],tblPatterns[[#This Row],[2-2-3 Panama]],tblPatterns[[#This Row],[4-on-4-off]],tblPatterns[[#This Row],[3-on-3-off]])</f>
        <v>N</v>
      </c>
    </row>
    <row r="65" spans="2:7">
      <c r="B65" s="30">
        <v>21</v>
      </c>
      <c r="C65" s="28" t="s">
        <v>99</v>
      </c>
      <c r="D65" s="28" t="s">
        <v>110</v>
      </c>
      <c r="E65" s="28"/>
      <c r="F65" s="28"/>
      <c r="G65" s="38" t="str">
        <f>CHOOSE(PatternNo,tblPatterns[[#This Row],[DuPont]],tblPatterns[[#This Row],[2-2-3 Panama]],tblPatterns[[#This Row],[4-on-4-off]],tblPatterns[[#This Row],[3-on-3-off]])</f>
        <v>N</v>
      </c>
    </row>
    <row r="66" spans="2:7">
      <c r="B66" s="30">
        <v>22</v>
      </c>
      <c r="C66" s="28" t="s">
        <v>111</v>
      </c>
      <c r="D66" s="28" t="s">
        <v>111</v>
      </c>
      <c r="E66" s="28"/>
      <c r="F66" s="28"/>
      <c r="G66" s="38" t="str">
        <f>CHOOSE(PatternNo,tblPatterns[[#This Row],[DuPont]],tblPatterns[[#This Row],[2-2-3 Panama]],tblPatterns[[#This Row],[4-on-4-off]],tblPatterns[[#This Row],[3-on-3-off]])</f>
        <v>O</v>
      </c>
    </row>
    <row r="67" spans="2:7">
      <c r="B67" s="30">
        <v>23</v>
      </c>
      <c r="C67" s="28" t="s">
        <v>111</v>
      </c>
      <c r="D67" s="28" t="s">
        <v>111</v>
      </c>
      <c r="E67" s="28"/>
      <c r="F67" s="28"/>
      <c r="G67" s="38" t="str">
        <f>CHOOSE(PatternNo,tblPatterns[[#This Row],[DuPont]],tblPatterns[[#This Row],[2-2-3 Panama]],tblPatterns[[#This Row],[4-on-4-off]],tblPatterns[[#This Row],[3-on-3-off]])</f>
        <v>O</v>
      </c>
    </row>
    <row r="68" spans="2:7">
      <c r="B68" s="30">
        <v>24</v>
      </c>
      <c r="C68" s="28" t="s">
        <v>111</v>
      </c>
      <c r="D68" s="28" t="s">
        <v>110</v>
      </c>
      <c r="E68" s="28"/>
      <c r="F68" s="28"/>
      <c r="G68" s="38" t="str">
        <f>CHOOSE(PatternNo,tblPatterns[[#This Row],[DuPont]],tblPatterns[[#This Row],[2-2-3 Panama]],tblPatterns[[#This Row],[4-on-4-off]],tblPatterns[[#This Row],[3-on-3-off]])</f>
        <v>N</v>
      </c>
    </row>
    <row r="69" spans="2:7">
      <c r="B69" s="30">
        <v>25</v>
      </c>
      <c r="C69" s="28" t="s">
        <v>111</v>
      </c>
      <c r="D69" s="28" t="s">
        <v>110</v>
      </c>
      <c r="E69" s="28"/>
      <c r="F69" s="28"/>
      <c r="G69" s="38" t="str">
        <f>CHOOSE(PatternNo,tblPatterns[[#This Row],[DuPont]],tblPatterns[[#This Row],[2-2-3 Panama]],tblPatterns[[#This Row],[4-on-4-off]],tblPatterns[[#This Row],[3-on-3-off]])</f>
        <v>N</v>
      </c>
    </row>
    <row r="70" spans="2:7">
      <c r="B70" s="30">
        <v>26</v>
      </c>
      <c r="C70" s="28" t="s">
        <v>111</v>
      </c>
      <c r="D70" s="28" t="s">
        <v>111</v>
      </c>
      <c r="E70" s="28"/>
      <c r="F70" s="28"/>
      <c r="G70" s="38" t="str">
        <f>CHOOSE(PatternNo,tblPatterns[[#This Row],[DuPont]],tblPatterns[[#This Row],[2-2-3 Panama]],tblPatterns[[#This Row],[4-on-4-off]],tblPatterns[[#This Row],[3-on-3-off]])</f>
        <v>O</v>
      </c>
    </row>
    <row r="71" spans="2:7">
      <c r="B71" s="30">
        <v>27</v>
      </c>
      <c r="C71" s="28" t="s">
        <v>111</v>
      </c>
      <c r="D71" s="28" t="s">
        <v>111</v>
      </c>
      <c r="E71" s="28"/>
      <c r="F71" s="28"/>
      <c r="G71" s="38" t="str">
        <f>CHOOSE(PatternNo,tblPatterns[[#This Row],[DuPont]],tblPatterns[[#This Row],[2-2-3 Panama]],tblPatterns[[#This Row],[4-on-4-off]],tblPatterns[[#This Row],[3-on-3-off]])</f>
        <v>O</v>
      </c>
    </row>
    <row r="72" spans="2:7">
      <c r="B72" s="30">
        <v>28</v>
      </c>
      <c r="C72" s="28" t="s">
        <v>111</v>
      </c>
      <c r="D72" s="28" t="s">
        <v>111</v>
      </c>
      <c r="E72" s="28"/>
      <c r="F72" s="28"/>
      <c r="G72" s="38" t="str">
        <f>CHOOSE(PatternNo,tblPatterns[[#This Row],[DuPont]],tblPatterns[[#This Row],[2-2-3 Panama]],tblPatterns[[#This Row],[4-on-4-off]],tblPatterns[[#This Row],[3-on-3-off]])</f>
        <v>O</v>
      </c>
    </row>
  </sheetData>
  <mergeCells count="27">
    <mergeCell ref="A1:G1"/>
    <mergeCell ref="B2:F2"/>
    <mergeCell ref="B4:G4"/>
    <mergeCell ref="B6:C6"/>
    <mergeCell ref="D6:E6"/>
    <mergeCell ref="B7:C7"/>
    <mergeCell ref="D7:E7"/>
    <mergeCell ref="B8:C8"/>
    <mergeCell ref="B9:C9"/>
    <mergeCell ref="B10:C10"/>
    <mergeCell ref="B11:C11"/>
    <mergeCell ref="B12:C12"/>
    <mergeCell ref="B13:C13"/>
    <mergeCell ref="B14:C14"/>
    <mergeCell ref="B15:C15"/>
    <mergeCell ref="B17:G17"/>
    <mergeCell ref="B19:G19"/>
    <mergeCell ref="B21:D21"/>
    <mergeCell ref="B28:G28"/>
    <mergeCell ref="B30:G30"/>
    <mergeCell ref="B31:E31"/>
    <mergeCell ref="B38:G38"/>
    <mergeCell ref="B39:G39"/>
    <mergeCell ref="B40:G40"/>
    <mergeCell ref="B41:G41"/>
    <mergeCell ref="B42:G42"/>
    <mergeCell ref="B43:G43"/>
  </mergeCells>
  <dataValidations count="18">
    <dataValidation type="textLength" allowBlank="1" showInputMessage="1" showErrorMessage="1" errorTitle="Check this entry" error="Text up to 80 characters." promptTitle="Plant or unit" prompt="Text up to 80 characters." sqref="D6">
      <formula1>0</formula1>
      <formula2>80</formula2>
    </dataValidation>
    <dataValidation type="list" allowBlank="1" showInputMessage="1" showErrorMessage="1" errorTitle="Check this entry" error="Pick from the list (edit the list on Setup: PatternNames)." promptTitle="Rotation pattern" prompt="One of the patterns listed below. Each crew follows the same pattern, offset by the crew offset. Pick from the list (edit the list on Setup: PatternNames)." sqref="D7">
      <formula1>PatternNames</formula1>
    </dataValidation>
    <dataValidation type="date" allowBlank="1" showInputMessage="1" showErrorMessage="1" errorTitle="Check this entry" error="Enter a date between 01 Jan 2000 and 31 Dec 2100." promptTitle="Crew A on cycle day 1 on" prompt="A date on which crew A is on day 1 of the pattern. Usually the start of the rota. Enter a date between 01 Jan 2000 and 31 Dec 2100." sqref="D8">
      <formula1>36526</formula1>
      <formula2>73415</formula2>
    </dataValidation>
    <dataValidation type="whole" allowBlank="1" showInputMessage="1" showErrorMessage="1" errorTitle="Check this entry" error="Enter a whole number from 1 to 10,000." promptTitle="People required per shift" prompt="Minimum qualified people needed on every day and night shift. Enter a whole number from 1 to 10,000." sqref="D9">
      <formula1>1</formula1>
      <formula2>10000</formula2>
    </dataValidation>
    <dataValidation type="decimal" allowBlank="1" showInputMessage="1" showErrorMessage="1" errorTitle="Check this entry" error="Enter a percentage from 0% to 300% (type 85% or 0.85)." promptTitle="Coverage target" prompt="People on shift / people required. 100% means every shift at its minimum. Enter a percentage from 0% to 300% (type 85% or 0.85)." sqref="D10">
      <formula1>0</formula1>
      <formula2>3</formula2>
    </dataValidation>
    <dataValidation type="decimal" allowBlank="1" showInputMessage="1" showErrorMessage="1" errorTitle="Check this entry" error="Enter a number from 1 to 100." promptTitle="Contract hours per week" prompt="Weekly hours in the employment contract; hours above it are shown on the Dashboard (whether they are paid as overtime depends on your agreement). Enter a number from 1 to 100." sqref="D11">
      <formula1>1</formula1>
      <formula2>100</formula2>
    </dataValidation>
    <dataValidation type="list" allowBlank="1" showInputMessage="1" showErrorMessage="1" errorTitle="Check this entry" error="Pick one of: A, B, C, D." promptTitle="Crew" prompt="The four crews are A, B, C and D, in this order (the Rota has one column per crew). Pick one of: A, B, C, D." sqref="B23:B126">
      <formula1>"A,B,C,D"</formula1>
    </dataValidation>
    <dataValidation type="textLength" allowBlank="1" showInputMessage="1" showErrorMessage="1" errorTitle="Check this entry" error="Text up to 60 characters." promptTitle="Supervisor" prompt="Text up to 60 characters." sqref="C23:C126">
      <formula1>0</formula1>
      <formula2>60</formula2>
    </dataValidation>
    <dataValidation type="whole" allowBlank="1" showInputMessage="1" showErrorMessage="1" errorTitle="Check this entry" error="Enter a whole number from 0 to 10,000." promptTitle="People" prompt="People on the crew who can fill the required positions. Enter a whole number from 0 to 10,000." sqref="D23:D126">
      <formula1>0</formula1>
      <formula2>10000</formula2>
    </dataValidation>
    <dataValidation type="textLength" allowBlank="1" showInputMessage="1" showErrorMessage="1" errorTitle="Check this entry" error="Text up to 30 characters." promptTitle="Pattern" prompt="Text up to 30 characters." sqref="B33:B136">
      <formula1>0</formula1>
      <formula2>30</formula2>
    </dataValidation>
    <dataValidation type="whole" allowBlank="1" showInputMessage="1" showErrorMessage="1" errorTitle="Check this entry" error="Enter a whole number from 2 to 28." promptTitle="Cycle (days)" prompt="Days before the pattern repeats (at most 28, the rows of the code table). Enter a whole number from 2 to 28." sqref="C33:C136">
      <formula1>2</formula1>
      <formula2>28</formula2>
    </dataValidation>
    <dataValidation type="whole" allowBlank="1" showInputMessage="1" showErrorMessage="1" errorTitle="Check this entry" error="Enter a whole number from 0 to 27." promptTitle="Crew offset (days)" prompt="Days each crew runs ahead of the previous one: cycle / 4 for these patterns. Enter a whole number from 0 to 27." sqref="D33:D136">
      <formula1>0</formula1>
      <formula2>27</formula2>
    </dataValidation>
    <dataValidation type="decimal" allowBlank="1" showInputMessage="1" showErrorMessage="1" errorTitle="Check this entry" error="Enter a number from 1 to 24." promptTitle="Shift (h)" prompt="Paid length of one shift. Enter a number from 1 to 24." sqref="E33:E136">
      <formula1>1</formula1>
      <formula2>24</formula2>
    </dataValidation>
    <dataValidation type="whole" allowBlank="1" showInputMessage="1" showErrorMessage="1" errorTitle="Check this entry" error="Enter a whole number from 1 to 28." promptTitle="Cycle day" prompt="Enter a whole number from 1 to 28." sqref="B45:B172">
      <formula1>1</formula1>
      <formula2>28</formula2>
    </dataValidation>
    <dataValidation type="list" allowBlank="1" showInputMessage="1" showErrorMessage="1" errorTitle="Check this entry" error="Pick one of: D, N, O." promptTitle="DuPont" prompt="D day, N night, O off. Pick one of: D, N, O." sqref="C45:C172">
      <formula1>"D,N,O"</formula1>
    </dataValidation>
    <dataValidation type="list" allowBlank="1" showInputMessage="1" showErrorMessage="1" errorTitle="Check this entry" error="Pick one of: D, N, O." promptTitle="2-2-3 Panama" prompt="D day, N night, O off. Pick one of: D, N, O." sqref="D45:D172">
      <formula1>"D,N,O"</formula1>
    </dataValidation>
    <dataValidation type="list" allowBlank="1" showInputMessage="1" showErrorMessage="1" errorTitle="Check this entry" error="Pick one of: D, N, O." promptTitle="4-on-4-off" prompt="D day, N night, O off. Pick one of: D, N, O." sqref="E45:E172">
      <formula1>"D,N,O"</formula1>
    </dataValidation>
    <dataValidation type="list" allowBlank="1" showInputMessage="1" showErrorMessage="1" errorTitle="Check this entry" error="Pick one of: D, N, O." promptTitle="3-on-3-off" prompt="D day, N night, O off. Pick one of: D, N, O." sqref="F45:F172">
      <formula1>"D,N,O"</formula1>
    </dataValidation>
  </dataValidations>
  <hyperlinks>
    <hyperlink ref="G2" r:id="rId1" tooltip="Free manufacturing calculators and templates"/>
  </hyperlinks>
  <pageMargins left="0.4" right="0.4" top="0.7" bottom="0.65" header="0.3" footer="0.3"/>
  <pageSetup fitToHeight="0" orientation="portrait"/>
  <headerFooter>
    <oddHeader>&amp;L&amp;8MFG Calcs - 4-Crew Shift Rotation Schedule&amp;R&amp;8&amp;A</oddHeader>
    <oddFooter>&amp;L&amp;8mfgcalcs.com - free manufacturing templates&amp;R&amp;8Page &amp;P of &amp;N</oddFooter>
  </headerFooter>
  <rowBreaks count="1" manualBreakCount="1">
    <brk id="40"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W89"/>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12.28515625" customWidth="1"/>
    <col min="3" max="4" width="8.7109375" customWidth="1"/>
    <col min="5" max="11" width="7.7109375" customWidth="1"/>
    <col min="12" max="17" width="9.7109375" customWidth="1"/>
    <col min="18" max="18" width="10.28515625" customWidth="1"/>
    <col min="19" max="19" width="12.28515625" customWidth="1"/>
    <col min="20" max="20" width="8.28515625" customWidth="1"/>
    <col min="21" max="21" width="8.7109375" customWidth="1"/>
    <col min="22" max="22" width="20.7109375" customWidth="1"/>
    <col min="23" max="23" width="22.7109375" customWidth="1"/>
  </cols>
  <sheetData>
    <row r="1" spans="1:23" ht="30" customHeight="1">
      <c r="A1" s="1" t="s">
        <v>0</v>
      </c>
      <c r="B1" s="1"/>
      <c r="C1" s="1"/>
      <c r="D1" s="1"/>
      <c r="E1" s="1"/>
      <c r="F1" s="1"/>
      <c r="G1" s="1"/>
      <c r="H1" s="1"/>
      <c r="I1" s="1"/>
      <c r="J1" s="1"/>
      <c r="K1" s="1"/>
      <c r="L1" s="1"/>
      <c r="M1" s="1"/>
      <c r="N1" s="1"/>
      <c r="O1" s="1"/>
      <c r="P1" s="1"/>
      <c r="Q1" s="1"/>
      <c r="R1" s="1"/>
      <c r="S1" s="1"/>
      <c r="T1" s="1"/>
      <c r="U1" s="1"/>
      <c r="V1" s="1"/>
      <c r="W1" s="1"/>
    </row>
    <row r="2" spans="1:23" ht="21" customHeight="1">
      <c r="B2" s="2" t="s">
        <v>20</v>
      </c>
      <c r="C2" s="2"/>
      <c r="D2" s="2"/>
      <c r="E2" s="2"/>
      <c r="F2" s="2"/>
      <c r="G2" s="2"/>
      <c r="H2" s="2"/>
      <c r="I2" s="2"/>
      <c r="J2" s="2"/>
      <c r="K2" s="2"/>
      <c r="L2" s="2"/>
      <c r="M2" s="2"/>
      <c r="N2" s="2"/>
      <c r="O2" s="2"/>
      <c r="P2" s="2"/>
      <c r="Q2" s="2"/>
      <c r="R2" s="2"/>
      <c r="S2" s="2"/>
      <c r="T2" s="2"/>
      <c r="U2" s="2"/>
      <c r="V2" s="2"/>
      <c r="W2" s="3" t="s">
        <v>2</v>
      </c>
    </row>
    <row r="3" spans="1:23" ht="6" customHeight="1"/>
    <row r="4" spans="1:23" ht="29.76" customHeight="1">
      <c r="B4" s="37" t="s">
        <v>133</v>
      </c>
      <c r="C4" s="37"/>
      <c r="D4" s="37"/>
      <c r="E4" s="37"/>
      <c r="F4" s="37"/>
      <c r="G4" s="37"/>
      <c r="H4" s="37"/>
      <c r="I4" s="37"/>
      <c r="J4" s="37"/>
      <c r="K4" s="37"/>
      <c r="L4" s="37"/>
      <c r="M4" s="37"/>
      <c r="N4" s="37"/>
      <c r="O4" s="37"/>
      <c r="P4" s="37"/>
      <c r="Q4" s="37"/>
      <c r="R4" s="37"/>
      <c r="S4" s="37"/>
      <c r="T4" s="37"/>
      <c r="U4" s="37"/>
      <c r="V4" s="37"/>
      <c r="W4" s="37"/>
    </row>
    <row r="5" spans="1:23" ht="45.5" customHeight="1">
      <c r="B5" s="36" t="s">
        <v>112</v>
      </c>
      <c r="C5" s="36" t="s">
        <v>113</v>
      </c>
      <c r="D5" s="36" t="s">
        <v>114</v>
      </c>
      <c r="E5" s="36" t="s">
        <v>67</v>
      </c>
      <c r="F5" s="36" t="s">
        <v>115</v>
      </c>
      <c r="G5" s="36" t="s">
        <v>116</v>
      </c>
      <c r="H5" s="36" t="s">
        <v>117</v>
      </c>
      <c r="I5" s="36" t="s">
        <v>118</v>
      </c>
      <c r="J5" s="36" t="s">
        <v>119</v>
      </c>
      <c r="K5" s="36" t="s">
        <v>120</v>
      </c>
      <c r="L5" s="36" t="s">
        <v>121</v>
      </c>
      <c r="M5" s="36" t="s">
        <v>122</v>
      </c>
      <c r="N5" s="36" t="s">
        <v>123</v>
      </c>
      <c r="O5" s="36" t="s">
        <v>124</v>
      </c>
      <c r="P5" s="36" t="s">
        <v>125</v>
      </c>
      <c r="Q5" s="36" t="s">
        <v>126</v>
      </c>
      <c r="R5" s="36" t="s">
        <v>127</v>
      </c>
      <c r="S5" s="36" t="s">
        <v>128</v>
      </c>
      <c r="T5" s="36" t="s">
        <v>129</v>
      </c>
      <c r="U5" s="36" t="s">
        <v>130</v>
      </c>
      <c r="V5" s="36" t="s">
        <v>131</v>
      </c>
      <c r="W5" s="36" t="s">
        <v>132</v>
      </c>
    </row>
    <row r="6" spans="1:23">
      <c r="B6" s="29">
        <v>46300</v>
      </c>
      <c r="C6" s="38" t="str">
        <f>IF(tblRota[[#This Row],[Date]]="","",CHOOSE(WEEKDAY(tblRota[[#This Row],[Date]],2),"Mon","Tue","Wed","Thu","Fri","Sat","Sun"))</f>
        <v>Mon</v>
      </c>
      <c r="D6" s="28" t="s">
        <v>134</v>
      </c>
      <c r="E6" s="33">
        <f>IF(tblRota[[#This Row],[Date]]="","",MOD(tblRota[[#This Row],[Date]]-Anchor,CycleDays)+1)</f>
        <v>1</v>
      </c>
      <c r="F6" s="38" t="str">
        <f>IF(tblRota[[#This Row],[Date]]="","",IF(tblRota[[#This Row],[Cycle day]]="","",INDEX(tblPatterns[Active],MOD(tblRota[[#This Row],[Date]]-Anchor+CrewOffset*0,CycleDays)+1)))</f>
        <v>D</v>
      </c>
      <c r="G6" s="38" t="str">
        <f>IF(tblRota[[#This Row],[Date]]="","",IF(tblRota[[#This Row],[Cycle day]]="","",INDEX(tblPatterns[Active],MOD(tblRota[[#This Row],[Date]]-Anchor+CrewOffset*1,CycleDays)+1)))</f>
        <v>O</v>
      </c>
      <c r="H6" s="38" t="str">
        <f>IF(tblRota[[#This Row],[Date]]="","",IF(tblRota[[#This Row],[Cycle day]]="","",INDEX(tblPatterns[Active],MOD(tblRota[[#This Row],[Date]]-Anchor+CrewOffset*2,CycleDays)+1)))</f>
        <v>N</v>
      </c>
      <c r="I6" s="38" t="str">
        <f>IF(tblRota[[#This Row],[Date]]="","",IF(tblRota[[#This Row],[Cycle day]]="","",INDEX(tblPatterns[Active],MOD(tblRota[[#This Row],[Date]]-Anchor+CrewOffset*3,CycleDays)+1)))</f>
        <v>O</v>
      </c>
      <c r="J6" s="38" t="str">
        <f>IF(tblRota[[#This Row],[Date]]="","",IF(tblRota[[#This Row],[Crew A]]="D","A",IF(tblRota[[#This Row],[Crew B]]="D","B",IF(tblRota[[#This Row],[Crew C]]="D","C",IF(tblRota[[#This Row],[Crew D]]="D","D","")))))</f>
        <v>A</v>
      </c>
      <c r="K6" s="38" t="str">
        <f>IF(tblRota[[#This Row],[Date]]="","",IF(tblRota[[#This Row],[Crew A]]="N","A",IF(tblRota[[#This Row],[Crew B]]="N","B",IF(tblRota[[#This Row],[Crew C]]="N","C",IF(tblRota[[#This Row],[Crew D]]="N","D","")))))</f>
        <v>C</v>
      </c>
      <c r="L6" s="30">
        <v>0</v>
      </c>
      <c r="M6" s="30">
        <v>0</v>
      </c>
      <c r="N6" s="33">
        <f>IF(tblRota[[#This Row],[Date]]="","",IFERROR(INDEX(tblCrews[People],MATCH(tblRota[[#This Row],[Day crew]],tblCrews[Crew],0)),0)-tblRota[[#This Row],[Day absent (people)]])</f>
        <v>12</v>
      </c>
      <c r="O6" s="33">
        <f>IF(tblRota[[#This Row],[Date]]="","",IFERROR(INDEX(tblCrews[People],MATCH(tblRota[[#This Row],[Night crew]],tblCrews[Crew],0)),0)-tblRota[[#This Row],[Night absent (people)]])</f>
        <v>11</v>
      </c>
      <c r="P6" s="33">
        <f>IF(tblRota[[#This Row],[Date]]="","",MIN(tblRota[[#This Row],[Day on shift (people)]],tblRota[[#This Row],[Night on shift (people)]]))</f>
        <v>11</v>
      </c>
      <c r="Q6" s="33">
        <f>IF(tblRota[[#This Row],[Date]]="","",ReqPerShift)</f>
        <v>11</v>
      </c>
      <c r="R6" s="39">
        <f>IF(tblRota[[#This Row],[Date]]="","",IF(tblRota[[#This Row],[Required (people)]]&gt;0,tblRota[[#This Row],[Fewest on shift (people)]]/tblRota[[#This Row],[Required (people)]],""))</f>
        <v>1</v>
      </c>
      <c r="S6" s="38" t="str">
        <f>IF(NOT(ISNUMBER(tblRota[[#This Row],[Lowest coverage]])),"",IF(tblRota[[#This Row],[Lowest coverage]]&gt;=TargetCover,"On target",IF(tblRota[[#This Row],[Lowest coverage]]&gt;=TargetCover*(1-0.05),"Near target","Below target")))</f>
        <v>On target</v>
      </c>
      <c r="T6" s="33">
        <f>IF(tblRota[[#This Row],[Date]]="","",(tblRota[[#This Row],[Day on shift (people)]]&lt;tblRota[[#This Row],[Required (people)]])+(tblRota[[#This Row],[Night on shift (people)]]&lt;tblRota[[#This Row],[Required (people)]]))</f>
        <v>0</v>
      </c>
      <c r="U6" s="38" t="str">
        <f>IF(tblRota[[#This Row],[Date]]="","",IF(WEEKDAY(tblRota[[#This Row],[Date]],2)&gt;5,"Yes","No"))</f>
        <v>No</v>
      </c>
      <c r="V6"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6" s="28" t="s">
        <v>135</v>
      </c>
    </row>
    <row r="7" spans="1:23">
      <c r="B7" s="29">
        <v>46301</v>
      </c>
      <c r="C7" s="38" t="str">
        <f>IF(tblRota[[#This Row],[Date]]="","",CHOOSE(WEEKDAY(tblRota[[#This Row],[Date]],2),"Mon","Tue","Wed","Thu","Fri","Sat","Sun"))</f>
        <v>Tue</v>
      </c>
      <c r="D7" s="28" t="s">
        <v>134</v>
      </c>
      <c r="E7" s="33">
        <f>IF(tblRota[[#This Row],[Date]]="","",MOD(tblRota[[#This Row],[Date]]-Anchor,CycleDays)+1)</f>
        <v>2</v>
      </c>
      <c r="F7" s="38" t="str">
        <f>IF(tblRota[[#This Row],[Date]]="","",IF(tblRota[[#This Row],[Cycle day]]="","",INDEX(tblPatterns[Active],MOD(tblRota[[#This Row],[Date]]-Anchor+CrewOffset*0,CycleDays)+1)))</f>
        <v>D</v>
      </c>
      <c r="G7" s="38" t="str">
        <f>IF(tblRota[[#This Row],[Date]]="","",IF(tblRota[[#This Row],[Cycle day]]="","",INDEX(tblPatterns[Active],MOD(tblRota[[#This Row],[Date]]-Anchor+CrewOffset*1,CycleDays)+1)))</f>
        <v>O</v>
      </c>
      <c r="H7" s="38" t="str">
        <f>IF(tblRota[[#This Row],[Date]]="","",IF(tblRota[[#This Row],[Cycle day]]="","",INDEX(tblPatterns[Active],MOD(tblRota[[#This Row],[Date]]-Anchor+CrewOffset*2,CycleDays)+1)))</f>
        <v>N</v>
      </c>
      <c r="I7" s="38" t="str">
        <f>IF(tblRota[[#This Row],[Date]]="","",IF(tblRota[[#This Row],[Cycle day]]="","",INDEX(tblPatterns[Active],MOD(tblRota[[#This Row],[Date]]-Anchor+CrewOffset*3,CycleDays)+1)))</f>
        <v>O</v>
      </c>
      <c r="J7" s="38" t="str">
        <f>IF(tblRota[[#This Row],[Date]]="","",IF(tblRota[[#This Row],[Crew A]]="D","A",IF(tblRota[[#This Row],[Crew B]]="D","B",IF(tblRota[[#This Row],[Crew C]]="D","C",IF(tblRota[[#This Row],[Crew D]]="D","D","")))))</f>
        <v>A</v>
      </c>
      <c r="K7" s="38" t="str">
        <f>IF(tblRota[[#This Row],[Date]]="","",IF(tblRota[[#This Row],[Crew A]]="N","A",IF(tblRota[[#This Row],[Crew B]]="N","B",IF(tblRota[[#This Row],[Crew C]]="N","C",IF(tblRota[[#This Row],[Crew D]]="N","D","")))))</f>
        <v>C</v>
      </c>
      <c r="L7" s="30">
        <v>1</v>
      </c>
      <c r="M7" s="30">
        <v>2</v>
      </c>
      <c r="N7" s="33">
        <f>IF(tblRota[[#This Row],[Date]]="","",IFERROR(INDEX(tblCrews[People],MATCH(tblRota[[#This Row],[Day crew]],tblCrews[Crew],0)),0)-tblRota[[#This Row],[Day absent (people)]])</f>
        <v>11</v>
      </c>
      <c r="O7" s="33">
        <f>IF(tblRota[[#This Row],[Date]]="","",IFERROR(INDEX(tblCrews[People],MATCH(tblRota[[#This Row],[Night crew]],tblCrews[Crew],0)),0)-tblRota[[#This Row],[Night absent (people)]])</f>
        <v>9</v>
      </c>
      <c r="P7" s="33">
        <f>IF(tblRota[[#This Row],[Date]]="","",MIN(tblRota[[#This Row],[Day on shift (people)]],tblRota[[#This Row],[Night on shift (people)]]))</f>
        <v>9</v>
      </c>
      <c r="Q7" s="33">
        <f>IF(tblRota[[#This Row],[Date]]="","",ReqPerShift)</f>
        <v>11</v>
      </c>
      <c r="R7" s="39">
        <f>IF(tblRota[[#This Row],[Date]]="","",IF(tblRota[[#This Row],[Required (people)]]&gt;0,tblRota[[#This Row],[Fewest on shift (people)]]/tblRota[[#This Row],[Required (people)]],""))</f>
        <v>0.818181818181818</v>
      </c>
      <c r="S7" s="38" t="str">
        <f>IF(NOT(ISNUMBER(tblRota[[#This Row],[Lowest coverage]])),"",IF(tblRota[[#This Row],[Lowest coverage]]&gt;=TargetCover,"On target",IF(tblRota[[#This Row],[Lowest coverage]]&gt;=TargetCover*(1-0.05),"Near target","Below target")))</f>
        <v>Below target</v>
      </c>
      <c r="T7" s="33">
        <f>IF(tblRota[[#This Row],[Date]]="","",(tblRota[[#This Row],[Day on shift (people)]]&lt;tblRota[[#This Row],[Required (people)]])+(tblRota[[#This Row],[Night on shift (people)]]&lt;tblRota[[#This Row],[Required (people)]]))</f>
        <v>1</v>
      </c>
      <c r="U7" s="38" t="str">
        <f>IF(tblRota[[#This Row],[Date]]="","",IF(WEEKDAY(tblRota[[#This Row],[Date]],2)&gt;5,"Yes","No"))</f>
        <v>No</v>
      </c>
      <c r="V7"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7" s="28" t="s">
        <v>136</v>
      </c>
    </row>
    <row r="8" spans="1:23">
      <c r="B8" s="29">
        <v>46302</v>
      </c>
      <c r="C8" s="38" t="str">
        <f>IF(tblRota[[#This Row],[Date]]="","",CHOOSE(WEEKDAY(tblRota[[#This Row],[Date]],2),"Mon","Tue","Wed","Thu","Fri","Sat","Sun"))</f>
        <v>Wed</v>
      </c>
      <c r="D8" s="28" t="s">
        <v>134</v>
      </c>
      <c r="E8" s="33">
        <f>IF(tblRota[[#This Row],[Date]]="","",MOD(tblRota[[#This Row],[Date]]-Anchor,CycleDays)+1)</f>
        <v>3</v>
      </c>
      <c r="F8" s="38" t="str">
        <f>IF(tblRota[[#This Row],[Date]]="","",IF(tblRota[[#This Row],[Cycle day]]="","",INDEX(tblPatterns[Active],MOD(tblRota[[#This Row],[Date]]-Anchor+CrewOffset*0,CycleDays)+1)))</f>
        <v>O</v>
      </c>
      <c r="G8" s="38" t="str">
        <f>IF(tblRota[[#This Row],[Date]]="","",IF(tblRota[[#This Row],[Cycle day]]="","",INDEX(tblPatterns[Active],MOD(tblRota[[#This Row],[Date]]-Anchor+CrewOffset*1,CycleDays)+1)))</f>
        <v>D</v>
      </c>
      <c r="H8" s="38" t="str">
        <f>IF(tblRota[[#This Row],[Date]]="","",IF(tblRota[[#This Row],[Cycle day]]="","",INDEX(tblPatterns[Active],MOD(tblRota[[#This Row],[Date]]-Anchor+CrewOffset*2,CycleDays)+1)))</f>
        <v>O</v>
      </c>
      <c r="I8" s="38" t="str">
        <f>IF(tblRota[[#This Row],[Date]]="","",IF(tblRota[[#This Row],[Cycle day]]="","",INDEX(tblPatterns[Active],MOD(tblRota[[#This Row],[Date]]-Anchor+CrewOffset*3,CycleDays)+1)))</f>
        <v>N</v>
      </c>
      <c r="J8" s="38" t="str">
        <f>IF(tblRota[[#This Row],[Date]]="","",IF(tblRota[[#This Row],[Crew A]]="D","A",IF(tblRota[[#This Row],[Crew B]]="D","B",IF(tblRota[[#This Row],[Crew C]]="D","C",IF(tblRota[[#This Row],[Crew D]]="D","D","")))))</f>
        <v>B</v>
      </c>
      <c r="K8" s="38" t="str">
        <f>IF(tblRota[[#This Row],[Date]]="","",IF(tblRota[[#This Row],[Crew A]]="N","A",IF(tblRota[[#This Row],[Crew B]]="N","B",IF(tblRota[[#This Row],[Crew C]]="N","C",IF(tblRota[[#This Row],[Crew D]]="N","D","")))))</f>
        <v>D</v>
      </c>
      <c r="L8" s="30">
        <v>0</v>
      </c>
      <c r="M8" s="30">
        <v>0</v>
      </c>
      <c r="N8" s="33">
        <f>IF(tblRota[[#This Row],[Date]]="","",IFERROR(INDEX(tblCrews[People],MATCH(tblRota[[#This Row],[Day crew]],tblCrews[Crew],0)),0)-tblRota[[#This Row],[Day absent (people)]])</f>
        <v>12</v>
      </c>
      <c r="O8" s="33">
        <f>IF(tblRota[[#This Row],[Date]]="","",IFERROR(INDEX(tblCrews[People],MATCH(tblRota[[#This Row],[Night crew]],tblCrews[Crew],0)),0)-tblRota[[#This Row],[Night absent (people)]])</f>
        <v>12</v>
      </c>
      <c r="P8" s="33">
        <f>IF(tblRota[[#This Row],[Date]]="","",MIN(tblRota[[#This Row],[Day on shift (people)]],tblRota[[#This Row],[Night on shift (people)]]))</f>
        <v>12</v>
      </c>
      <c r="Q8" s="33">
        <f>IF(tblRota[[#This Row],[Date]]="","",ReqPerShift)</f>
        <v>11</v>
      </c>
      <c r="R8" s="39">
        <f>IF(tblRota[[#This Row],[Date]]="","",IF(tblRota[[#This Row],[Required (people)]]&gt;0,tblRota[[#This Row],[Fewest on shift (people)]]/tblRota[[#This Row],[Required (people)]],""))</f>
        <v>1.09090909090909</v>
      </c>
      <c r="S8" s="38" t="str">
        <f>IF(NOT(ISNUMBER(tblRota[[#This Row],[Lowest coverage]])),"",IF(tblRota[[#This Row],[Lowest coverage]]&gt;=TargetCover,"On target",IF(tblRota[[#This Row],[Lowest coverage]]&gt;=TargetCover*(1-0.05),"Near target","Below target")))</f>
        <v>On target</v>
      </c>
      <c r="T8" s="33">
        <f>IF(tblRota[[#This Row],[Date]]="","",(tblRota[[#This Row],[Day on shift (people)]]&lt;tblRota[[#This Row],[Required (people)]])+(tblRota[[#This Row],[Night on shift (people)]]&lt;tblRota[[#This Row],[Required (people)]]))</f>
        <v>0</v>
      </c>
      <c r="U8" s="38" t="str">
        <f>IF(tblRota[[#This Row],[Date]]="","",IF(WEEKDAY(tblRota[[#This Row],[Date]],2)&gt;5,"Yes","No"))</f>
        <v>No</v>
      </c>
      <c r="V8"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8" s="28" t="s">
        <v>135</v>
      </c>
    </row>
    <row r="9" spans="1:23">
      <c r="B9" s="29">
        <v>46303</v>
      </c>
      <c r="C9" s="38" t="str">
        <f>IF(tblRota[[#This Row],[Date]]="","",CHOOSE(WEEKDAY(tblRota[[#This Row],[Date]],2),"Mon","Tue","Wed","Thu","Fri","Sat","Sun"))</f>
        <v>Thu</v>
      </c>
      <c r="D9" s="28" t="s">
        <v>134</v>
      </c>
      <c r="E9" s="33">
        <f>IF(tblRota[[#This Row],[Date]]="","",MOD(tblRota[[#This Row],[Date]]-Anchor,CycleDays)+1)</f>
        <v>4</v>
      </c>
      <c r="F9" s="38" t="str">
        <f>IF(tblRota[[#This Row],[Date]]="","",IF(tblRota[[#This Row],[Cycle day]]="","",INDEX(tblPatterns[Active],MOD(tblRota[[#This Row],[Date]]-Anchor+CrewOffset*0,CycleDays)+1)))</f>
        <v>O</v>
      </c>
      <c r="G9" s="38" t="str">
        <f>IF(tblRota[[#This Row],[Date]]="","",IF(tblRota[[#This Row],[Cycle day]]="","",INDEX(tblPatterns[Active],MOD(tblRota[[#This Row],[Date]]-Anchor+CrewOffset*1,CycleDays)+1)))</f>
        <v>D</v>
      </c>
      <c r="H9" s="38" t="str">
        <f>IF(tblRota[[#This Row],[Date]]="","",IF(tblRota[[#This Row],[Cycle day]]="","",INDEX(tblPatterns[Active],MOD(tblRota[[#This Row],[Date]]-Anchor+CrewOffset*2,CycleDays)+1)))</f>
        <v>O</v>
      </c>
      <c r="I9" s="38" t="str">
        <f>IF(tblRota[[#This Row],[Date]]="","",IF(tblRota[[#This Row],[Cycle day]]="","",INDEX(tblPatterns[Active],MOD(tblRota[[#This Row],[Date]]-Anchor+CrewOffset*3,CycleDays)+1)))</f>
        <v>N</v>
      </c>
      <c r="J9" s="38" t="str">
        <f>IF(tblRota[[#This Row],[Date]]="","",IF(tblRota[[#This Row],[Crew A]]="D","A",IF(tblRota[[#This Row],[Crew B]]="D","B",IF(tblRota[[#This Row],[Crew C]]="D","C",IF(tblRota[[#This Row],[Crew D]]="D","D","")))))</f>
        <v>B</v>
      </c>
      <c r="K9" s="38" t="str">
        <f>IF(tblRota[[#This Row],[Date]]="","",IF(tblRota[[#This Row],[Crew A]]="N","A",IF(tblRota[[#This Row],[Crew B]]="N","B",IF(tblRota[[#This Row],[Crew C]]="N","C",IF(tblRota[[#This Row],[Crew D]]="N","D","")))))</f>
        <v>D</v>
      </c>
      <c r="L9" s="30">
        <v>0</v>
      </c>
      <c r="M9" s="30">
        <v>0</v>
      </c>
      <c r="N9" s="33">
        <f>IF(tblRota[[#This Row],[Date]]="","",IFERROR(INDEX(tblCrews[People],MATCH(tblRota[[#This Row],[Day crew]],tblCrews[Crew],0)),0)-tblRota[[#This Row],[Day absent (people)]])</f>
        <v>12</v>
      </c>
      <c r="O9" s="33">
        <f>IF(tblRota[[#This Row],[Date]]="","",IFERROR(INDEX(tblCrews[People],MATCH(tblRota[[#This Row],[Night crew]],tblCrews[Crew],0)),0)-tblRota[[#This Row],[Night absent (people)]])</f>
        <v>12</v>
      </c>
      <c r="P9" s="33">
        <f>IF(tblRota[[#This Row],[Date]]="","",MIN(tblRota[[#This Row],[Day on shift (people)]],tblRota[[#This Row],[Night on shift (people)]]))</f>
        <v>12</v>
      </c>
      <c r="Q9" s="33">
        <f>IF(tblRota[[#This Row],[Date]]="","",ReqPerShift)</f>
        <v>11</v>
      </c>
      <c r="R9" s="39">
        <f>IF(tblRota[[#This Row],[Date]]="","",IF(tblRota[[#This Row],[Required (people)]]&gt;0,tblRota[[#This Row],[Fewest on shift (people)]]/tblRota[[#This Row],[Required (people)]],""))</f>
        <v>1.09090909090909</v>
      </c>
      <c r="S9" s="38" t="str">
        <f>IF(NOT(ISNUMBER(tblRota[[#This Row],[Lowest coverage]])),"",IF(tblRota[[#This Row],[Lowest coverage]]&gt;=TargetCover,"On target",IF(tblRota[[#This Row],[Lowest coverage]]&gt;=TargetCover*(1-0.05),"Near target","Below target")))</f>
        <v>On target</v>
      </c>
      <c r="T9" s="33">
        <f>IF(tblRota[[#This Row],[Date]]="","",(tblRota[[#This Row],[Day on shift (people)]]&lt;tblRota[[#This Row],[Required (people)]])+(tblRota[[#This Row],[Night on shift (people)]]&lt;tblRota[[#This Row],[Required (people)]]))</f>
        <v>0</v>
      </c>
      <c r="U9" s="38" t="str">
        <f>IF(tblRota[[#This Row],[Date]]="","",IF(WEEKDAY(tblRota[[#This Row],[Date]],2)&gt;5,"Yes","No"))</f>
        <v>No</v>
      </c>
      <c r="V9"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9" s="28" t="s">
        <v>135</v>
      </c>
    </row>
    <row r="10" spans="1:23">
      <c r="B10" s="29">
        <v>46304</v>
      </c>
      <c r="C10" s="38" t="str">
        <f>IF(tblRota[[#This Row],[Date]]="","",CHOOSE(WEEKDAY(tblRota[[#This Row],[Date]],2),"Mon","Tue","Wed","Thu","Fri","Sat","Sun"))</f>
        <v>Fri</v>
      </c>
      <c r="D10" s="28" t="s">
        <v>134</v>
      </c>
      <c r="E10" s="33">
        <f>IF(tblRota[[#This Row],[Date]]="","",MOD(tblRota[[#This Row],[Date]]-Anchor,CycleDays)+1)</f>
        <v>5</v>
      </c>
      <c r="F10" s="38" t="str">
        <f>IF(tblRota[[#This Row],[Date]]="","",IF(tblRota[[#This Row],[Cycle day]]="","",INDEX(tblPatterns[Active],MOD(tblRota[[#This Row],[Date]]-Anchor+CrewOffset*0,CycleDays)+1)))</f>
        <v>D</v>
      </c>
      <c r="G10" s="38" t="str">
        <f>IF(tblRota[[#This Row],[Date]]="","",IF(tblRota[[#This Row],[Cycle day]]="","",INDEX(tblPatterns[Active],MOD(tblRota[[#This Row],[Date]]-Anchor+CrewOffset*1,CycleDays)+1)))</f>
        <v>O</v>
      </c>
      <c r="H10" s="38" t="str">
        <f>IF(tblRota[[#This Row],[Date]]="","",IF(tblRota[[#This Row],[Cycle day]]="","",INDEX(tblPatterns[Active],MOD(tblRota[[#This Row],[Date]]-Anchor+CrewOffset*2,CycleDays)+1)))</f>
        <v>N</v>
      </c>
      <c r="I10" s="38" t="str">
        <f>IF(tblRota[[#This Row],[Date]]="","",IF(tblRota[[#This Row],[Cycle day]]="","",INDEX(tblPatterns[Active],MOD(tblRota[[#This Row],[Date]]-Anchor+CrewOffset*3,CycleDays)+1)))</f>
        <v>O</v>
      </c>
      <c r="J10" s="38" t="str">
        <f>IF(tblRota[[#This Row],[Date]]="","",IF(tblRota[[#This Row],[Crew A]]="D","A",IF(tblRota[[#This Row],[Crew B]]="D","B",IF(tblRota[[#This Row],[Crew C]]="D","C",IF(tblRota[[#This Row],[Crew D]]="D","D","")))))</f>
        <v>A</v>
      </c>
      <c r="K10" s="38" t="str">
        <f>IF(tblRota[[#This Row],[Date]]="","",IF(tblRota[[#This Row],[Crew A]]="N","A",IF(tblRota[[#This Row],[Crew B]]="N","B",IF(tblRota[[#This Row],[Crew C]]="N","C",IF(tblRota[[#This Row],[Crew D]]="N","D","")))))</f>
        <v>C</v>
      </c>
      <c r="L10" s="30">
        <v>0</v>
      </c>
      <c r="M10" s="30">
        <v>0</v>
      </c>
      <c r="N10" s="33">
        <f>IF(tblRota[[#This Row],[Date]]="","",IFERROR(INDEX(tblCrews[People],MATCH(tblRota[[#This Row],[Day crew]],tblCrews[Crew],0)),0)-tblRota[[#This Row],[Day absent (people)]])</f>
        <v>12</v>
      </c>
      <c r="O10" s="33">
        <f>IF(tblRota[[#This Row],[Date]]="","",IFERROR(INDEX(tblCrews[People],MATCH(tblRota[[#This Row],[Night crew]],tblCrews[Crew],0)),0)-tblRota[[#This Row],[Night absent (people)]])</f>
        <v>11</v>
      </c>
      <c r="P10" s="33">
        <f>IF(tblRota[[#This Row],[Date]]="","",MIN(tblRota[[#This Row],[Day on shift (people)]],tblRota[[#This Row],[Night on shift (people)]]))</f>
        <v>11</v>
      </c>
      <c r="Q10" s="33">
        <f>IF(tblRota[[#This Row],[Date]]="","",ReqPerShift)</f>
        <v>11</v>
      </c>
      <c r="R10" s="39">
        <f>IF(tblRota[[#This Row],[Date]]="","",IF(tblRota[[#This Row],[Required (people)]]&gt;0,tblRota[[#This Row],[Fewest on shift (people)]]/tblRota[[#This Row],[Required (people)]],""))</f>
        <v>1</v>
      </c>
      <c r="S10" s="38" t="str">
        <f>IF(NOT(ISNUMBER(tblRota[[#This Row],[Lowest coverage]])),"",IF(tblRota[[#This Row],[Lowest coverage]]&gt;=TargetCover,"On target",IF(tblRota[[#This Row],[Lowest coverage]]&gt;=TargetCover*(1-0.05),"Near target","Below target")))</f>
        <v>On target</v>
      </c>
      <c r="T10" s="33">
        <f>IF(tblRota[[#This Row],[Date]]="","",(tblRota[[#This Row],[Day on shift (people)]]&lt;tblRota[[#This Row],[Required (people)]])+(tblRota[[#This Row],[Night on shift (people)]]&lt;tblRota[[#This Row],[Required (people)]]))</f>
        <v>0</v>
      </c>
      <c r="U10" s="38" t="str">
        <f>IF(tblRota[[#This Row],[Date]]="","",IF(WEEKDAY(tblRota[[#This Row],[Date]],2)&gt;5,"Yes","No"))</f>
        <v>No</v>
      </c>
      <c r="V10"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10" s="28" t="s">
        <v>135</v>
      </c>
    </row>
    <row r="11" spans="1:23">
      <c r="B11" s="29">
        <v>46305</v>
      </c>
      <c r="C11" s="38" t="str">
        <f>IF(tblRota[[#This Row],[Date]]="","",CHOOSE(WEEKDAY(tblRota[[#This Row],[Date]],2),"Mon","Tue","Wed","Thu","Fri","Sat","Sun"))</f>
        <v>Sat</v>
      </c>
      <c r="D11" s="28" t="s">
        <v>134</v>
      </c>
      <c r="E11" s="33">
        <f>IF(tblRota[[#This Row],[Date]]="","",MOD(tblRota[[#This Row],[Date]]-Anchor,CycleDays)+1)</f>
        <v>6</v>
      </c>
      <c r="F11" s="38" t="str">
        <f>IF(tblRota[[#This Row],[Date]]="","",IF(tblRota[[#This Row],[Cycle day]]="","",INDEX(tblPatterns[Active],MOD(tblRota[[#This Row],[Date]]-Anchor+CrewOffset*0,CycleDays)+1)))</f>
        <v>D</v>
      </c>
      <c r="G11" s="38" t="str">
        <f>IF(tblRota[[#This Row],[Date]]="","",IF(tblRota[[#This Row],[Cycle day]]="","",INDEX(tblPatterns[Active],MOD(tblRota[[#This Row],[Date]]-Anchor+CrewOffset*1,CycleDays)+1)))</f>
        <v>O</v>
      </c>
      <c r="H11" s="38" t="str">
        <f>IF(tblRota[[#This Row],[Date]]="","",IF(tblRota[[#This Row],[Cycle day]]="","",INDEX(tblPatterns[Active],MOD(tblRota[[#This Row],[Date]]-Anchor+CrewOffset*2,CycleDays)+1)))</f>
        <v>N</v>
      </c>
      <c r="I11" s="38" t="str">
        <f>IF(tblRota[[#This Row],[Date]]="","",IF(tblRota[[#This Row],[Cycle day]]="","",INDEX(tblPatterns[Active],MOD(tblRota[[#This Row],[Date]]-Anchor+CrewOffset*3,CycleDays)+1)))</f>
        <v>O</v>
      </c>
      <c r="J11" s="38" t="str">
        <f>IF(tblRota[[#This Row],[Date]]="","",IF(tblRota[[#This Row],[Crew A]]="D","A",IF(tblRota[[#This Row],[Crew B]]="D","B",IF(tblRota[[#This Row],[Crew C]]="D","C",IF(tblRota[[#This Row],[Crew D]]="D","D","")))))</f>
        <v>A</v>
      </c>
      <c r="K11" s="38" t="str">
        <f>IF(tblRota[[#This Row],[Date]]="","",IF(tblRota[[#This Row],[Crew A]]="N","A",IF(tblRota[[#This Row],[Crew B]]="N","B",IF(tblRota[[#This Row],[Crew C]]="N","C",IF(tblRota[[#This Row],[Crew D]]="N","D","")))))</f>
        <v>C</v>
      </c>
      <c r="L11" s="30">
        <v>0</v>
      </c>
      <c r="M11" s="30">
        <v>2</v>
      </c>
      <c r="N11" s="33">
        <f>IF(tblRota[[#This Row],[Date]]="","",IFERROR(INDEX(tblCrews[People],MATCH(tblRota[[#This Row],[Day crew]],tblCrews[Crew],0)),0)-tblRota[[#This Row],[Day absent (people)]])</f>
        <v>12</v>
      </c>
      <c r="O11" s="33">
        <f>IF(tblRota[[#This Row],[Date]]="","",IFERROR(INDEX(tblCrews[People],MATCH(tblRota[[#This Row],[Night crew]],tblCrews[Crew],0)),0)-tblRota[[#This Row],[Night absent (people)]])</f>
        <v>9</v>
      </c>
      <c r="P11" s="33">
        <f>IF(tblRota[[#This Row],[Date]]="","",MIN(tblRota[[#This Row],[Day on shift (people)]],tblRota[[#This Row],[Night on shift (people)]]))</f>
        <v>9</v>
      </c>
      <c r="Q11" s="33">
        <f>IF(tblRota[[#This Row],[Date]]="","",ReqPerShift)</f>
        <v>11</v>
      </c>
      <c r="R11" s="39">
        <f>IF(tblRota[[#This Row],[Date]]="","",IF(tblRota[[#This Row],[Required (people)]]&gt;0,tblRota[[#This Row],[Fewest on shift (people)]]/tblRota[[#This Row],[Required (people)]],""))</f>
        <v>0.818181818181818</v>
      </c>
      <c r="S11" s="38" t="str">
        <f>IF(NOT(ISNUMBER(tblRota[[#This Row],[Lowest coverage]])),"",IF(tblRota[[#This Row],[Lowest coverage]]&gt;=TargetCover,"On target",IF(tblRota[[#This Row],[Lowest coverage]]&gt;=TargetCover*(1-0.05),"Near target","Below target")))</f>
        <v>Below target</v>
      </c>
      <c r="T11" s="33">
        <f>IF(tblRota[[#This Row],[Date]]="","",(tblRota[[#This Row],[Day on shift (people)]]&lt;tblRota[[#This Row],[Required (people)]])+(tblRota[[#This Row],[Night on shift (people)]]&lt;tblRota[[#This Row],[Required (people)]]))</f>
        <v>1</v>
      </c>
      <c r="U11" s="38" t="str">
        <f>IF(tblRota[[#This Row],[Date]]="","",IF(WEEKDAY(tblRota[[#This Row],[Date]],2)&gt;5,"Yes","No"))</f>
        <v>Yes</v>
      </c>
      <c r="V11"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11" s="28" t="s">
        <v>135</v>
      </c>
    </row>
    <row r="12" spans="1:23">
      <c r="B12" s="29">
        <v>46306</v>
      </c>
      <c r="C12" s="38" t="str">
        <f>IF(tblRota[[#This Row],[Date]]="","",CHOOSE(WEEKDAY(tblRota[[#This Row],[Date]],2),"Mon","Tue","Wed","Thu","Fri","Sat","Sun"))</f>
        <v>Sun</v>
      </c>
      <c r="D12" s="28" t="s">
        <v>134</v>
      </c>
      <c r="E12" s="33">
        <f>IF(tblRota[[#This Row],[Date]]="","",MOD(tblRota[[#This Row],[Date]]-Anchor,CycleDays)+1)</f>
        <v>7</v>
      </c>
      <c r="F12" s="38" t="str">
        <f>IF(tblRota[[#This Row],[Date]]="","",IF(tblRota[[#This Row],[Cycle day]]="","",INDEX(tblPatterns[Active],MOD(tblRota[[#This Row],[Date]]-Anchor+CrewOffset*0,CycleDays)+1)))</f>
        <v>D</v>
      </c>
      <c r="G12" s="38" t="str">
        <f>IF(tblRota[[#This Row],[Date]]="","",IF(tblRota[[#This Row],[Cycle day]]="","",INDEX(tblPatterns[Active],MOD(tblRota[[#This Row],[Date]]-Anchor+CrewOffset*1,CycleDays)+1)))</f>
        <v>O</v>
      </c>
      <c r="H12" s="38" t="str">
        <f>IF(tblRota[[#This Row],[Date]]="","",IF(tblRota[[#This Row],[Cycle day]]="","",INDEX(tblPatterns[Active],MOD(tblRota[[#This Row],[Date]]-Anchor+CrewOffset*2,CycleDays)+1)))</f>
        <v>N</v>
      </c>
      <c r="I12" s="38" t="str">
        <f>IF(tblRota[[#This Row],[Date]]="","",IF(tblRota[[#This Row],[Cycle day]]="","",INDEX(tblPatterns[Active],MOD(tblRota[[#This Row],[Date]]-Anchor+CrewOffset*3,CycleDays)+1)))</f>
        <v>O</v>
      </c>
      <c r="J12" s="38" t="str">
        <f>IF(tblRota[[#This Row],[Date]]="","",IF(tblRota[[#This Row],[Crew A]]="D","A",IF(tblRota[[#This Row],[Crew B]]="D","B",IF(tblRota[[#This Row],[Crew C]]="D","C",IF(tblRota[[#This Row],[Crew D]]="D","D","")))))</f>
        <v>A</v>
      </c>
      <c r="K12" s="38" t="str">
        <f>IF(tblRota[[#This Row],[Date]]="","",IF(tblRota[[#This Row],[Crew A]]="N","A",IF(tblRota[[#This Row],[Crew B]]="N","B",IF(tblRota[[#This Row],[Crew C]]="N","C",IF(tblRota[[#This Row],[Crew D]]="N","D","")))))</f>
        <v>C</v>
      </c>
      <c r="L12" s="30">
        <v>0</v>
      </c>
      <c r="M12" s="30">
        <v>0</v>
      </c>
      <c r="N12" s="33">
        <f>IF(tblRota[[#This Row],[Date]]="","",IFERROR(INDEX(tblCrews[People],MATCH(tblRota[[#This Row],[Day crew]],tblCrews[Crew],0)),0)-tblRota[[#This Row],[Day absent (people)]])</f>
        <v>12</v>
      </c>
      <c r="O12" s="33">
        <f>IF(tblRota[[#This Row],[Date]]="","",IFERROR(INDEX(tblCrews[People],MATCH(tblRota[[#This Row],[Night crew]],tblCrews[Crew],0)),0)-tblRota[[#This Row],[Night absent (people)]])</f>
        <v>11</v>
      </c>
      <c r="P12" s="33">
        <f>IF(tblRota[[#This Row],[Date]]="","",MIN(tblRota[[#This Row],[Day on shift (people)]],tblRota[[#This Row],[Night on shift (people)]]))</f>
        <v>11</v>
      </c>
      <c r="Q12" s="33">
        <f>IF(tblRota[[#This Row],[Date]]="","",ReqPerShift)</f>
        <v>11</v>
      </c>
      <c r="R12" s="39">
        <f>IF(tblRota[[#This Row],[Date]]="","",IF(tblRota[[#This Row],[Required (people)]]&gt;0,tblRota[[#This Row],[Fewest on shift (people)]]/tblRota[[#This Row],[Required (people)]],""))</f>
        <v>1</v>
      </c>
      <c r="S12" s="38" t="str">
        <f>IF(NOT(ISNUMBER(tblRota[[#This Row],[Lowest coverage]])),"",IF(tblRota[[#This Row],[Lowest coverage]]&gt;=TargetCover,"On target",IF(tblRota[[#This Row],[Lowest coverage]]&gt;=TargetCover*(1-0.05),"Near target","Below target")))</f>
        <v>On target</v>
      </c>
      <c r="T12" s="33">
        <f>IF(tblRota[[#This Row],[Date]]="","",(tblRota[[#This Row],[Day on shift (people)]]&lt;tblRota[[#This Row],[Required (people)]])+(tblRota[[#This Row],[Night on shift (people)]]&lt;tblRota[[#This Row],[Required (people)]]))</f>
        <v>0</v>
      </c>
      <c r="U12" s="38" t="str">
        <f>IF(tblRota[[#This Row],[Date]]="","",IF(WEEKDAY(tblRota[[#This Row],[Date]],2)&gt;5,"Yes","No"))</f>
        <v>Yes</v>
      </c>
      <c r="V12"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12" s="28" t="s">
        <v>135</v>
      </c>
    </row>
    <row r="13" spans="1:23">
      <c r="B13" s="29">
        <v>46307</v>
      </c>
      <c r="C13" s="38" t="str">
        <f>IF(tblRota[[#This Row],[Date]]="","",CHOOSE(WEEKDAY(tblRota[[#This Row],[Date]],2),"Mon","Tue","Wed","Thu","Fri","Sat","Sun"))</f>
        <v>Mon</v>
      </c>
      <c r="D13" s="28" t="s">
        <v>134</v>
      </c>
      <c r="E13" s="33">
        <f>IF(tblRota[[#This Row],[Date]]="","",MOD(tblRota[[#This Row],[Date]]-Anchor,CycleDays)+1)</f>
        <v>8</v>
      </c>
      <c r="F13" s="38" t="str">
        <f>IF(tblRota[[#This Row],[Date]]="","",IF(tblRota[[#This Row],[Cycle day]]="","",INDEX(tblPatterns[Active],MOD(tblRota[[#This Row],[Date]]-Anchor+CrewOffset*0,CycleDays)+1)))</f>
        <v>O</v>
      </c>
      <c r="G13" s="38" t="str">
        <f>IF(tblRota[[#This Row],[Date]]="","",IF(tblRota[[#This Row],[Cycle day]]="","",INDEX(tblPatterns[Active],MOD(tblRota[[#This Row],[Date]]-Anchor+CrewOffset*1,CycleDays)+1)))</f>
        <v>N</v>
      </c>
      <c r="H13" s="38" t="str">
        <f>IF(tblRota[[#This Row],[Date]]="","",IF(tblRota[[#This Row],[Cycle day]]="","",INDEX(tblPatterns[Active],MOD(tblRota[[#This Row],[Date]]-Anchor+CrewOffset*2,CycleDays)+1)))</f>
        <v>O</v>
      </c>
      <c r="I13" s="38" t="str">
        <f>IF(tblRota[[#This Row],[Date]]="","",IF(tblRota[[#This Row],[Cycle day]]="","",INDEX(tblPatterns[Active],MOD(tblRota[[#This Row],[Date]]-Anchor+CrewOffset*3,CycleDays)+1)))</f>
        <v>D</v>
      </c>
      <c r="J13" s="38" t="str">
        <f>IF(tblRota[[#This Row],[Date]]="","",IF(tblRota[[#This Row],[Crew A]]="D","A",IF(tblRota[[#This Row],[Crew B]]="D","B",IF(tblRota[[#This Row],[Crew C]]="D","C",IF(tblRota[[#This Row],[Crew D]]="D","D","")))))</f>
        <v>D</v>
      </c>
      <c r="K13" s="38" t="str">
        <f>IF(tblRota[[#This Row],[Date]]="","",IF(tblRota[[#This Row],[Crew A]]="N","A",IF(tblRota[[#This Row],[Crew B]]="N","B",IF(tblRota[[#This Row],[Crew C]]="N","C",IF(tblRota[[#This Row],[Crew D]]="N","D","")))))</f>
        <v>B</v>
      </c>
      <c r="L13" s="30">
        <v>0</v>
      </c>
      <c r="M13" s="30">
        <v>1</v>
      </c>
      <c r="N13" s="33">
        <f>IF(tblRota[[#This Row],[Date]]="","",IFERROR(INDEX(tblCrews[People],MATCH(tblRota[[#This Row],[Day crew]],tblCrews[Crew],0)),0)-tblRota[[#This Row],[Day absent (people)]])</f>
        <v>12</v>
      </c>
      <c r="O13" s="33">
        <f>IF(tblRota[[#This Row],[Date]]="","",IFERROR(INDEX(tblCrews[People],MATCH(tblRota[[#This Row],[Night crew]],tblCrews[Crew],0)),0)-tblRota[[#This Row],[Night absent (people)]])</f>
        <v>11</v>
      </c>
      <c r="P13" s="33">
        <f>IF(tblRota[[#This Row],[Date]]="","",MIN(tblRota[[#This Row],[Day on shift (people)]],tblRota[[#This Row],[Night on shift (people)]]))</f>
        <v>11</v>
      </c>
      <c r="Q13" s="33">
        <f>IF(tblRota[[#This Row],[Date]]="","",ReqPerShift)</f>
        <v>11</v>
      </c>
      <c r="R13" s="39">
        <f>IF(tblRota[[#This Row],[Date]]="","",IF(tblRota[[#This Row],[Required (people)]]&gt;0,tblRota[[#This Row],[Fewest on shift (people)]]/tblRota[[#This Row],[Required (people)]],""))</f>
        <v>1</v>
      </c>
      <c r="S13" s="38" t="str">
        <f>IF(NOT(ISNUMBER(tblRota[[#This Row],[Lowest coverage]])),"",IF(tblRota[[#This Row],[Lowest coverage]]&gt;=TargetCover,"On target",IF(tblRota[[#This Row],[Lowest coverage]]&gt;=TargetCover*(1-0.05),"Near target","Below target")))</f>
        <v>On target</v>
      </c>
      <c r="T13" s="33">
        <f>IF(tblRota[[#This Row],[Date]]="","",(tblRota[[#This Row],[Day on shift (people)]]&lt;tblRota[[#This Row],[Required (people)]])+(tblRota[[#This Row],[Night on shift (people)]]&lt;tblRota[[#This Row],[Required (people)]]))</f>
        <v>0</v>
      </c>
      <c r="U13" s="38" t="str">
        <f>IF(tblRota[[#This Row],[Date]]="","",IF(WEEKDAY(tblRota[[#This Row],[Date]],2)&gt;5,"Yes","No"))</f>
        <v>No</v>
      </c>
      <c r="V13"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13" s="28" t="s">
        <v>135</v>
      </c>
    </row>
    <row r="14" spans="1:23">
      <c r="B14" s="29">
        <v>46308</v>
      </c>
      <c r="C14" s="38" t="str">
        <f>IF(tblRota[[#This Row],[Date]]="","",CHOOSE(WEEKDAY(tblRota[[#This Row],[Date]],2),"Mon","Tue","Wed","Thu","Fri","Sat","Sun"))</f>
        <v>Tue</v>
      </c>
      <c r="D14" s="28" t="s">
        <v>134</v>
      </c>
      <c r="E14" s="33">
        <f>IF(tblRota[[#This Row],[Date]]="","",MOD(tblRota[[#This Row],[Date]]-Anchor,CycleDays)+1)</f>
        <v>9</v>
      </c>
      <c r="F14" s="38" t="str">
        <f>IF(tblRota[[#This Row],[Date]]="","",IF(tblRota[[#This Row],[Cycle day]]="","",INDEX(tblPatterns[Active],MOD(tblRota[[#This Row],[Date]]-Anchor+CrewOffset*0,CycleDays)+1)))</f>
        <v>O</v>
      </c>
      <c r="G14" s="38" t="str">
        <f>IF(tblRota[[#This Row],[Date]]="","",IF(tblRota[[#This Row],[Cycle day]]="","",INDEX(tblPatterns[Active],MOD(tblRota[[#This Row],[Date]]-Anchor+CrewOffset*1,CycleDays)+1)))</f>
        <v>N</v>
      </c>
      <c r="H14" s="38" t="str">
        <f>IF(tblRota[[#This Row],[Date]]="","",IF(tblRota[[#This Row],[Cycle day]]="","",INDEX(tblPatterns[Active],MOD(tblRota[[#This Row],[Date]]-Anchor+CrewOffset*2,CycleDays)+1)))</f>
        <v>O</v>
      </c>
      <c r="I14" s="38" t="str">
        <f>IF(tblRota[[#This Row],[Date]]="","",IF(tblRota[[#This Row],[Cycle day]]="","",INDEX(tblPatterns[Active],MOD(tblRota[[#This Row],[Date]]-Anchor+CrewOffset*3,CycleDays)+1)))</f>
        <v>D</v>
      </c>
      <c r="J14" s="38" t="str">
        <f>IF(tblRota[[#This Row],[Date]]="","",IF(tblRota[[#This Row],[Crew A]]="D","A",IF(tblRota[[#This Row],[Crew B]]="D","B",IF(tblRota[[#This Row],[Crew C]]="D","C",IF(tblRota[[#This Row],[Crew D]]="D","D","")))))</f>
        <v>D</v>
      </c>
      <c r="K14" s="38" t="str">
        <f>IF(tblRota[[#This Row],[Date]]="","",IF(tblRota[[#This Row],[Crew A]]="N","A",IF(tblRota[[#This Row],[Crew B]]="N","B",IF(tblRota[[#This Row],[Crew C]]="N","C",IF(tblRota[[#This Row],[Crew D]]="N","D","")))))</f>
        <v>B</v>
      </c>
      <c r="L14" s="30">
        <v>0</v>
      </c>
      <c r="M14" s="30">
        <v>1</v>
      </c>
      <c r="N14" s="33">
        <f>IF(tblRota[[#This Row],[Date]]="","",IFERROR(INDEX(tblCrews[People],MATCH(tblRota[[#This Row],[Day crew]],tblCrews[Crew],0)),0)-tblRota[[#This Row],[Day absent (people)]])</f>
        <v>12</v>
      </c>
      <c r="O14" s="33">
        <f>IF(tblRota[[#This Row],[Date]]="","",IFERROR(INDEX(tblCrews[People],MATCH(tblRota[[#This Row],[Night crew]],tblCrews[Crew],0)),0)-tblRota[[#This Row],[Night absent (people)]])</f>
        <v>11</v>
      </c>
      <c r="P14" s="33">
        <f>IF(tblRota[[#This Row],[Date]]="","",MIN(tblRota[[#This Row],[Day on shift (people)]],tblRota[[#This Row],[Night on shift (people)]]))</f>
        <v>11</v>
      </c>
      <c r="Q14" s="33">
        <f>IF(tblRota[[#This Row],[Date]]="","",ReqPerShift)</f>
        <v>11</v>
      </c>
      <c r="R14" s="39">
        <f>IF(tblRota[[#This Row],[Date]]="","",IF(tblRota[[#This Row],[Required (people)]]&gt;0,tblRota[[#This Row],[Fewest on shift (people)]]/tblRota[[#This Row],[Required (people)]],""))</f>
        <v>1</v>
      </c>
      <c r="S14" s="38" t="str">
        <f>IF(NOT(ISNUMBER(tblRota[[#This Row],[Lowest coverage]])),"",IF(tblRota[[#This Row],[Lowest coverage]]&gt;=TargetCover,"On target",IF(tblRota[[#This Row],[Lowest coverage]]&gt;=TargetCover*(1-0.05),"Near target","Below target")))</f>
        <v>On target</v>
      </c>
      <c r="T14" s="33">
        <f>IF(tblRota[[#This Row],[Date]]="","",(tblRota[[#This Row],[Day on shift (people)]]&lt;tblRota[[#This Row],[Required (people)]])+(tblRota[[#This Row],[Night on shift (people)]]&lt;tblRota[[#This Row],[Required (people)]]))</f>
        <v>0</v>
      </c>
      <c r="U14" s="38" t="str">
        <f>IF(tblRota[[#This Row],[Date]]="","",IF(WEEKDAY(tblRota[[#This Row],[Date]],2)&gt;5,"Yes","No"))</f>
        <v>No</v>
      </c>
      <c r="V14"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14" s="28" t="s">
        <v>135</v>
      </c>
    </row>
    <row r="15" spans="1:23">
      <c r="B15" s="29">
        <v>46309</v>
      </c>
      <c r="C15" s="38" t="str">
        <f>IF(tblRota[[#This Row],[Date]]="","",CHOOSE(WEEKDAY(tblRota[[#This Row],[Date]],2),"Mon","Tue","Wed","Thu","Fri","Sat","Sun"))</f>
        <v>Wed</v>
      </c>
      <c r="D15" s="28" t="s">
        <v>134</v>
      </c>
      <c r="E15" s="33">
        <f>IF(tblRota[[#This Row],[Date]]="","",MOD(tblRota[[#This Row],[Date]]-Anchor,CycleDays)+1)</f>
        <v>10</v>
      </c>
      <c r="F15" s="38" t="str">
        <f>IF(tblRota[[#This Row],[Date]]="","",IF(tblRota[[#This Row],[Cycle day]]="","",INDEX(tblPatterns[Active],MOD(tblRota[[#This Row],[Date]]-Anchor+CrewOffset*0,CycleDays)+1)))</f>
        <v>D</v>
      </c>
      <c r="G15" s="38" t="str">
        <f>IF(tblRota[[#This Row],[Date]]="","",IF(tblRota[[#This Row],[Cycle day]]="","",INDEX(tblPatterns[Active],MOD(tblRota[[#This Row],[Date]]-Anchor+CrewOffset*1,CycleDays)+1)))</f>
        <v>O</v>
      </c>
      <c r="H15" s="38" t="str">
        <f>IF(tblRota[[#This Row],[Date]]="","",IF(tblRota[[#This Row],[Cycle day]]="","",INDEX(tblPatterns[Active],MOD(tblRota[[#This Row],[Date]]-Anchor+CrewOffset*2,CycleDays)+1)))</f>
        <v>N</v>
      </c>
      <c r="I15" s="38" t="str">
        <f>IF(tblRota[[#This Row],[Date]]="","",IF(tblRota[[#This Row],[Cycle day]]="","",INDEX(tblPatterns[Active],MOD(tblRota[[#This Row],[Date]]-Anchor+CrewOffset*3,CycleDays)+1)))</f>
        <v>O</v>
      </c>
      <c r="J15" s="38" t="str">
        <f>IF(tblRota[[#This Row],[Date]]="","",IF(tblRota[[#This Row],[Crew A]]="D","A",IF(tblRota[[#This Row],[Crew B]]="D","B",IF(tblRota[[#This Row],[Crew C]]="D","C",IF(tblRota[[#This Row],[Crew D]]="D","D","")))))</f>
        <v>A</v>
      </c>
      <c r="K15" s="38" t="str">
        <f>IF(tblRota[[#This Row],[Date]]="","",IF(tblRota[[#This Row],[Crew A]]="N","A",IF(tblRota[[#This Row],[Crew B]]="N","B",IF(tblRota[[#This Row],[Crew C]]="N","C",IF(tblRota[[#This Row],[Crew D]]="N","D","")))))</f>
        <v>C</v>
      </c>
      <c r="L15" s="30">
        <v>0</v>
      </c>
      <c r="M15" s="30">
        <v>0</v>
      </c>
      <c r="N15" s="33">
        <f>IF(tblRota[[#This Row],[Date]]="","",IFERROR(INDEX(tblCrews[People],MATCH(tblRota[[#This Row],[Day crew]],tblCrews[Crew],0)),0)-tblRota[[#This Row],[Day absent (people)]])</f>
        <v>12</v>
      </c>
      <c r="O15" s="33">
        <f>IF(tblRota[[#This Row],[Date]]="","",IFERROR(INDEX(tblCrews[People],MATCH(tblRota[[#This Row],[Night crew]],tblCrews[Crew],0)),0)-tblRota[[#This Row],[Night absent (people)]])</f>
        <v>11</v>
      </c>
      <c r="P15" s="33">
        <f>IF(tblRota[[#This Row],[Date]]="","",MIN(tblRota[[#This Row],[Day on shift (people)]],tblRota[[#This Row],[Night on shift (people)]]))</f>
        <v>11</v>
      </c>
      <c r="Q15" s="33">
        <f>IF(tblRota[[#This Row],[Date]]="","",ReqPerShift)</f>
        <v>11</v>
      </c>
      <c r="R15" s="39">
        <f>IF(tblRota[[#This Row],[Date]]="","",IF(tblRota[[#This Row],[Required (people)]]&gt;0,tblRota[[#This Row],[Fewest on shift (people)]]/tblRota[[#This Row],[Required (people)]],""))</f>
        <v>1</v>
      </c>
      <c r="S15" s="38" t="str">
        <f>IF(NOT(ISNUMBER(tblRota[[#This Row],[Lowest coverage]])),"",IF(tblRota[[#This Row],[Lowest coverage]]&gt;=TargetCover,"On target",IF(tblRota[[#This Row],[Lowest coverage]]&gt;=TargetCover*(1-0.05),"Near target","Below target")))</f>
        <v>On target</v>
      </c>
      <c r="T15" s="33">
        <f>IF(tblRota[[#This Row],[Date]]="","",(tblRota[[#This Row],[Day on shift (people)]]&lt;tblRota[[#This Row],[Required (people)]])+(tblRota[[#This Row],[Night on shift (people)]]&lt;tblRota[[#This Row],[Required (people)]]))</f>
        <v>0</v>
      </c>
      <c r="U15" s="38" t="str">
        <f>IF(tblRota[[#This Row],[Date]]="","",IF(WEEKDAY(tblRota[[#This Row],[Date]],2)&gt;5,"Yes","No"))</f>
        <v>No</v>
      </c>
      <c r="V15"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15" s="28" t="s">
        <v>135</v>
      </c>
    </row>
    <row r="16" spans="1:23">
      <c r="B16" s="29">
        <v>46310</v>
      </c>
      <c r="C16" s="38" t="str">
        <f>IF(tblRota[[#This Row],[Date]]="","",CHOOSE(WEEKDAY(tblRota[[#This Row],[Date]],2),"Mon","Tue","Wed","Thu","Fri","Sat","Sun"))</f>
        <v>Thu</v>
      </c>
      <c r="D16" s="28" t="s">
        <v>134</v>
      </c>
      <c r="E16" s="33">
        <f>IF(tblRota[[#This Row],[Date]]="","",MOD(tblRota[[#This Row],[Date]]-Anchor,CycleDays)+1)</f>
        <v>11</v>
      </c>
      <c r="F16" s="38" t="str">
        <f>IF(tblRota[[#This Row],[Date]]="","",IF(tblRota[[#This Row],[Cycle day]]="","",INDEX(tblPatterns[Active],MOD(tblRota[[#This Row],[Date]]-Anchor+CrewOffset*0,CycleDays)+1)))</f>
        <v>D</v>
      </c>
      <c r="G16" s="38" t="str">
        <f>IF(tblRota[[#This Row],[Date]]="","",IF(tblRota[[#This Row],[Cycle day]]="","",INDEX(tblPatterns[Active],MOD(tblRota[[#This Row],[Date]]-Anchor+CrewOffset*1,CycleDays)+1)))</f>
        <v>O</v>
      </c>
      <c r="H16" s="38" t="str">
        <f>IF(tblRota[[#This Row],[Date]]="","",IF(tblRota[[#This Row],[Cycle day]]="","",INDEX(tblPatterns[Active],MOD(tblRota[[#This Row],[Date]]-Anchor+CrewOffset*2,CycleDays)+1)))</f>
        <v>N</v>
      </c>
      <c r="I16" s="38" t="str">
        <f>IF(tblRota[[#This Row],[Date]]="","",IF(tblRota[[#This Row],[Cycle day]]="","",INDEX(tblPatterns[Active],MOD(tblRota[[#This Row],[Date]]-Anchor+CrewOffset*3,CycleDays)+1)))</f>
        <v>O</v>
      </c>
      <c r="J16" s="38" t="str">
        <f>IF(tblRota[[#This Row],[Date]]="","",IF(tblRota[[#This Row],[Crew A]]="D","A",IF(tblRota[[#This Row],[Crew B]]="D","B",IF(tblRota[[#This Row],[Crew C]]="D","C",IF(tblRota[[#This Row],[Crew D]]="D","D","")))))</f>
        <v>A</v>
      </c>
      <c r="K16" s="38" t="str">
        <f>IF(tblRota[[#This Row],[Date]]="","",IF(tblRota[[#This Row],[Crew A]]="N","A",IF(tblRota[[#This Row],[Crew B]]="N","B",IF(tblRota[[#This Row],[Crew C]]="N","C",IF(tblRota[[#This Row],[Crew D]]="N","D","")))))</f>
        <v>C</v>
      </c>
      <c r="L16" s="30">
        <v>0</v>
      </c>
      <c r="M16" s="30">
        <v>0</v>
      </c>
      <c r="N16" s="33">
        <f>IF(tblRota[[#This Row],[Date]]="","",IFERROR(INDEX(tblCrews[People],MATCH(tblRota[[#This Row],[Day crew]],tblCrews[Crew],0)),0)-tblRota[[#This Row],[Day absent (people)]])</f>
        <v>12</v>
      </c>
      <c r="O16" s="33">
        <f>IF(tblRota[[#This Row],[Date]]="","",IFERROR(INDEX(tblCrews[People],MATCH(tblRota[[#This Row],[Night crew]],tblCrews[Crew],0)),0)-tblRota[[#This Row],[Night absent (people)]])</f>
        <v>11</v>
      </c>
      <c r="P16" s="33">
        <f>IF(tblRota[[#This Row],[Date]]="","",MIN(tblRota[[#This Row],[Day on shift (people)]],tblRota[[#This Row],[Night on shift (people)]]))</f>
        <v>11</v>
      </c>
      <c r="Q16" s="33">
        <f>IF(tblRota[[#This Row],[Date]]="","",ReqPerShift)</f>
        <v>11</v>
      </c>
      <c r="R16" s="39">
        <f>IF(tblRota[[#This Row],[Date]]="","",IF(tblRota[[#This Row],[Required (people)]]&gt;0,tblRota[[#This Row],[Fewest on shift (people)]]/tblRota[[#This Row],[Required (people)]],""))</f>
        <v>1</v>
      </c>
      <c r="S16" s="38" t="str">
        <f>IF(NOT(ISNUMBER(tblRota[[#This Row],[Lowest coverage]])),"",IF(tblRota[[#This Row],[Lowest coverage]]&gt;=TargetCover,"On target",IF(tblRota[[#This Row],[Lowest coverage]]&gt;=TargetCover*(1-0.05),"Near target","Below target")))</f>
        <v>On target</v>
      </c>
      <c r="T16" s="33">
        <f>IF(tblRota[[#This Row],[Date]]="","",(tblRota[[#This Row],[Day on shift (people)]]&lt;tblRota[[#This Row],[Required (people)]])+(tblRota[[#This Row],[Night on shift (people)]]&lt;tblRota[[#This Row],[Required (people)]]))</f>
        <v>0</v>
      </c>
      <c r="U16" s="38" t="str">
        <f>IF(tblRota[[#This Row],[Date]]="","",IF(WEEKDAY(tblRota[[#This Row],[Date]],2)&gt;5,"Yes","No"))</f>
        <v>No</v>
      </c>
      <c r="V16"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16" s="28" t="s">
        <v>135</v>
      </c>
    </row>
    <row r="17" spans="2:23">
      <c r="B17" s="29">
        <v>46311</v>
      </c>
      <c r="C17" s="38" t="str">
        <f>IF(tblRota[[#This Row],[Date]]="","",CHOOSE(WEEKDAY(tblRota[[#This Row],[Date]],2),"Mon","Tue","Wed","Thu","Fri","Sat","Sun"))</f>
        <v>Fri</v>
      </c>
      <c r="D17" s="28" t="s">
        <v>134</v>
      </c>
      <c r="E17" s="33">
        <f>IF(tblRota[[#This Row],[Date]]="","",MOD(tblRota[[#This Row],[Date]]-Anchor,CycleDays)+1)</f>
        <v>12</v>
      </c>
      <c r="F17" s="38" t="str">
        <f>IF(tblRota[[#This Row],[Date]]="","",IF(tblRota[[#This Row],[Cycle day]]="","",INDEX(tblPatterns[Active],MOD(tblRota[[#This Row],[Date]]-Anchor+CrewOffset*0,CycleDays)+1)))</f>
        <v>O</v>
      </c>
      <c r="G17" s="38" t="str">
        <f>IF(tblRota[[#This Row],[Date]]="","",IF(tblRota[[#This Row],[Cycle day]]="","",INDEX(tblPatterns[Active],MOD(tblRota[[#This Row],[Date]]-Anchor+CrewOffset*1,CycleDays)+1)))</f>
        <v>N</v>
      </c>
      <c r="H17" s="38" t="str">
        <f>IF(tblRota[[#This Row],[Date]]="","",IF(tblRota[[#This Row],[Cycle day]]="","",INDEX(tblPatterns[Active],MOD(tblRota[[#This Row],[Date]]-Anchor+CrewOffset*2,CycleDays)+1)))</f>
        <v>O</v>
      </c>
      <c r="I17" s="38" t="str">
        <f>IF(tblRota[[#This Row],[Date]]="","",IF(tblRota[[#This Row],[Cycle day]]="","",INDEX(tblPatterns[Active],MOD(tblRota[[#This Row],[Date]]-Anchor+CrewOffset*3,CycleDays)+1)))</f>
        <v>D</v>
      </c>
      <c r="J17" s="38" t="str">
        <f>IF(tblRota[[#This Row],[Date]]="","",IF(tblRota[[#This Row],[Crew A]]="D","A",IF(tblRota[[#This Row],[Crew B]]="D","B",IF(tblRota[[#This Row],[Crew C]]="D","C",IF(tblRota[[#This Row],[Crew D]]="D","D","")))))</f>
        <v>D</v>
      </c>
      <c r="K17" s="38" t="str">
        <f>IF(tblRota[[#This Row],[Date]]="","",IF(tblRota[[#This Row],[Crew A]]="N","A",IF(tblRota[[#This Row],[Crew B]]="N","B",IF(tblRota[[#This Row],[Crew C]]="N","C",IF(tblRota[[#This Row],[Crew D]]="N","D","")))))</f>
        <v>B</v>
      </c>
      <c r="L17" s="30">
        <v>0</v>
      </c>
      <c r="M17" s="30">
        <v>0</v>
      </c>
      <c r="N17" s="33">
        <f>IF(tblRota[[#This Row],[Date]]="","",IFERROR(INDEX(tblCrews[People],MATCH(tblRota[[#This Row],[Day crew]],tblCrews[Crew],0)),0)-tblRota[[#This Row],[Day absent (people)]])</f>
        <v>12</v>
      </c>
      <c r="O17" s="33">
        <f>IF(tblRota[[#This Row],[Date]]="","",IFERROR(INDEX(tblCrews[People],MATCH(tblRota[[#This Row],[Night crew]],tblCrews[Crew],0)),0)-tblRota[[#This Row],[Night absent (people)]])</f>
        <v>12</v>
      </c>
      <c r="P17" s="33">
        <f>IF(tblRota[[#This Row],[Date]]="","",MIN(tblRota[[#This Row],[Day on shift (people)]],tblRota[[#This Row],[Night on shift (people)]]))</f>
        <v>12</v>
      </c>
      <c r="Q17" s="33">
        <f>IF(tblRota[[#This Row],[Date]]="","",ReqPerShift)</f>
        <v>11</v>
      </c>
      <c r="R17" s="39">
        <f>IF(tblRota[[#This Row],[Date]]="","",IF(tblRota[[#This Row],[Required (people)]]&gt;0,tblRota[[#This Row],[Fewest on shift (people)]]/tblRota[[#This Row],[Required (people)]],""))</f>
        <v>1.09090909090909</v>
      </c>
      <c r="S17" s="38" t="str">
        <f>IF(NOT(ISNUMBER(tblRota[[#This Row],[Lowest coverage]])),"",IF(tblRota[[#This Row],[Lowest coverage]]&gt;=TargetCover,"On target",IF(tblRota[[#This Row],[Lowest coverage]]&gt;=TargetCover*(1-0.05),"Near target","Below target")))</f>
        <v>On target</v>
      </c>
      <c r="T17" s="33">
        <f>IF(tblRota[[#This Row],[Date]]="","",(tblRota[[#This Row],[Day on shift (people)]]&lt;tblRota[[#This Row],[Required (people)]])+(tblRota[[#This Row],[Night on shift (people)]]&lt;tblRota[[#This Row],[Required (people)]]))</f>
        <v>0</v>
      </c>
      <c r="U17" s="38" t="str">
        <f>IF(tblRota[[#This Row],[Date]]="","",IF(WEEKDAY(tblRota[[#This Row],[Date]],2)&gt;5,"Yes","No"))</f>
        <v>No</v>
      </c>
      <c r="V17"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17" s="28" t="s">
        <v>135</v>
      </c>
    </row>
    <row r="18" spans="2:23">
      <c r="B18" s="29">
        <v>46312</v>
      </c>
      <c r="C18" s="38" t="str">
        <f>IF(tblRota[[#This Row],[Date]]="","",CHOOSE(WEEKDAY(tblRota[[#This Row],[Date]],2),"Mon","Tue","Wed","Thu","Fri","Sat","Sun"))</f>
        <v>Sat</v>
      </c>
      <c r="D18" s="28" t="s">
        <v>134</v>
      </c>
      <c r="E18" s="33">
        <f>IF(tblRota[[#This Row],[Date]]="","",MOD(tblRota[[#This Row],[Date]]-Anchor,CycleDays)+1)</f>
        <v>13</v>
      </c>
      <c r="F18" s="38" t="str">
        <f>IF(tblRota[[#This Row],[Date]]="","",IF(tblRota[[#This Row],[Cycle day]]="","",INDEX(tblPatterns[Active],MOD(tblRota[[#This Row],[Date]]-Anchor+CrewOffset*0,CycleDays)+1)))</f>
        <v>O</v>
      </c>
      <c r="G18" s="38" t="str">
        <f>IF(tblRota[[#This Row],[Date]]="","",IF(tblRota[[#This Row],[Cycle day]]="","",INDEX(tblPatterns[Active],MOD(tblRota[[#This Row],[Date]]-Anchor+CrewOffset*1,CycleDays)+1)))</f>
        <v>N</v>
      </c>
      <c r="H18" s="38" t="str">
        <f>IF(tblRota[[#This Row],[Date]]="","",IF(tblRota[[#This Row],[Cycle day]]="","",INDEX(tblPatterns[Active],MOD(tblRota[[#This Row],[Date]]-Anchor+CrewOffset*2,CycleDays)+1)))</f>
        <v>O</v>
      </c>
      <c r="I18" s="38" t="str">
        <f>IF(tblRota[[#This Row],[Date]]="","",IF(tblRota[[#This Row],[Cycle day]]="","",INDEX(tblPatterns[Active],MOD(tblRota[[#This Row],[Date]]-Anchor+CrewOffset*3,CycleDays)+1)))</f>
        <v>D</v>
      </c>
      <c r="J18" s="38" t="str">
        <f>IF(tblRota[[#This Row],[Date]]="","",IF(tblRota[[#This Row],[Crew A]]="D","A",IF(tblRota[[#This Row],[Crew B]]="D","B",IF(tblRota[[#This Row],[Crew C]]="D","C",IF(tblRota[[#This Row],[Crew D]]="D","D","")))))</f>
        <v>D</v>
      </c>
      <c r="K18" s="38" t="str">
        <f>IF(tblRota[[#This Row],[Date]]="","",IF(tblRota[[#This Row],[Crew A]]="N","A",IF(tblRota[[#This Row],[Crew B]]="N","B",IF(tblRota[[#This Row],[Crew C]]="N","C",IF(tblRota[[#This Row],[Crew D]]="N","D","")))))</f>
        <v>B</v>
      </c>
      <c r="L18" s="30">
        <v>1</v>
      </c>
      <c r="M18" s="30">
        <v>1</v>
      </c>
      <c r="N18" s="33">
        <f>IF(tblRota[[#This Row],[Date]]="","",IFERROR(INDEX(tblCrews[People],MATCH(tblRota[[#This Row],[Day crew]],tblCrews[Crew],0)),0)-tblRota[[#This Row],[Day absent (people)]])</f>
        <v>11</v>
      </c>
      <c r="O18" s="33">
        <f>IF(tblRota[[#This Row],[Date]]="","",IFERROR(INDEX(tblCrews[People],MATCH(tblRota[[#This Row],[Night crew]],tblCrews[Crew],0)),0)-tblRota[[#This Row],[Night absent (people)]])</f>
        <v>11</v>
      </c>
      <c r="P18" s="33">
        <f>IF(tblRota[[#This Row],[Date]]="","",MIN(tblRota[[#This Row],[Day on shift (people)]],tblRota[[#This Row],[Night on shift (people)]]))</f>
        <v>11</v>
      </c>
      <c r="Q18" s="33">
        <f>IF(tblRota[[#This Row],[Date]]="","",ReqPerShift)</f>
        <v>11</v>
      </c>
      <c r="R18" s="39">
        <f>IF(tblRota[[#This Row],[Date]]="","",IF(tblRota[[#This Row],[Required (people)]]&gt;0,tblRota[[#This Row],[Fewest on shift (people)]]/tblRota[[#This Row],[Required (people)]],""))</f>
        <v>1</v>
      </c>
      <c r="S18" s="38" t="str">
        <f>IF(NOT(ISNUMBER(tblRota[[#This Row],[Lowest coverage]])),"",IF(tblRota[[#This Row],[Lowest coverage]]&gt;=TargetCover,"On target",IF(tblRota[[#This Row],[Lowest coverage]]&gt;=TargetCover*(1-0.05),"Near target","Below target")))</f>
        <v>On target</v>
      </c>
      <c r="T18" s="33">
        <f>IF(tblRota[[#This Row],[Date]]="","",(tblRota[[#This Row],[Day on shift (people)]]&lt;tblRota[[#This Row],[Required (people)]])+(tblRota[[#This Row],[Night on shift (people)]]&lt;tblRota[[#This Row],[Required (people)]]))</f>
        <v>0</v>
      </c>
      <c r="U18" s="38" t="str">
        <f>IF(tblRota[[#This Row],[Date]]="","",IF(WEEKDAY(tblRota[[#This Row],[Date]],2)&gt;5,"Yes","No"))</f>
        <v>Yes</v>
      </c>
      <c r="V18"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18" s="28" t="s">
        <v>135</v>
      </c>
    </row>
    <row r="19" spans="2:23">
      <c r="B19" s="29">
        <v>46313</v>
      </c>
      <c r="C19" s="38" t="str">
        <f>IF(tblRota[[#This Row],[Date]]="","",CHOOSE(WEEKDAY(tblRota[[#This Row],[Date]],2),"Mon","Tue","Wed","Thu","Fri","Sat","Sun"))</f>
        <v>Sun</v>
      </c>
      <c r="D19" s="28" t="s">
        <v>134</v>
      </c>
      <c r="E19" s="33">
        <f>IF(tblRota[[#This Row],[Date]]="","",MOD(tblRota[[#This Row],[Date]]-Anchor,CycleDays)+1)</f>
        <v>14</v>
      </c>
      <c r="F19" s="38" t="str">
        <f>IF(tblRota[[#This Row],[Date]]="","",IF(tblRota[[#This Row],[Cycle day]]="","",INDEX(tblPatterns[Active],MOD(tblRota[[#This Row],[Date]]-Anchor+CrewOffset*0,CycleDays)+1)))</f>
        <v>O</v>
      </c>
      <c r="G19" s="38" t="str">
        <f>IF(tblRota[[#This Row],[Date]]="","",IF(tblRota[[#This Row],[Cycle day]]="","",INDEX(tblPatterns[Active],MOD(tblRota[[#This Row],[Date]]-Anchor+CrewOffset*1,CycleDays)+1)))</f>
        <v>N</v>
      </c>
      <c r="H19" s="38" t="str">
        <f>IF(tblRota[[#This Row],[Date]]="","",IF(tblRota[[#This Row],[Cycle day]]="","",INDEX(tblPatterns[Active],MOD(tblRota[[#This Row],[Date]]-Anchor+CrewOffset*2,CycleDays)+1)))</f>
        <v>O</v>
      </c>
      <c r="I19" s="38" t="str">
        <f>IF(tblRota[[#This Row],[Date]]="","",IF(tblRota[[#This Row],[Cycle day]]="","",INDEX(tblPatterns[Active],MOD(tblRota[[#This Row],[Date]]-Anchor+CrewOffset*3,CycleDays)+1)))</f>
        <v>D</v>
      </c>
      <c r="J19" s="38" t="str">
        <f>IF(tblRota[[#This Row],[Date]]="","",IF(tblRota[[#This Row],[Crew A]]="D","A",IF(tblRota[[#This Row],[Crew B]]="D","B",IF(tblRota[[#This Row],[Crew C]]="D","C",IF(tblRota[[#This Row],[Crew D]]="D","D","")))))</f>
        <v>D</v>
      </c>
      <c r="K19" s="38" t="str">
        <f>IF(tblRota[[#This Row],[Date]]="","",IF(tblRota[[#This Row],[Crew A]]="N","A",IF(tblRota[[#This Row],[Crew B]]="N","B",IF(tblRota[[#This Row],[Crew C]]="N","C",IF(tblRota[[#This Row],[Crew D]]="N","D","")))))</f>
        <v>B</v>
      </c>
      <c r="L19" s="30">
        <v>0</v>
      </c>
      <c r="M19" s="30">
        <v>0</v>
      </c>
      <c r="N19" s="33">
        <f>IF(tblRota[[#This Row],[Date]]="","",IFERROR(INDEX(tblCrews[People],MATCH(tblRota[[#This Row],[Day crew]],tblCrews[Crew],0)),0)-tblRota[[#This Row],[Day absent (people)]])</f>
        <v>12</v>
      </c>
      <c r="O19" s="33">
        <f>IF(tblRota[[#This Row],[Date]]="","",IFERROR(INDEX(tblCrews[People],MATCH(tblRota[[#This Row],[Night crew]],tblCrews[Crew],0)),0)-tblRota[[#This Row],[Night absent (people)]])</f>
        <v>12</v>
      </c>
      <c r="P19" s="33">
        <f>IF(tblRota[[#This Row],[Date]]="","",MIN(tblRota[[#This Row],[Day on shift (people)]],tblRota[[#This Row],[Night on shift (people)]]))</f>
        <v>12</v>
      </c>
      <c r="Q19" s="33">
        <f>IF(tblRota[[#This Row],[Date]]="","",ReqPerShift)</f>
        <v>11</v>
      </c>
      <c r="R19" s="39">
        <f>IF(tblRota[[#This Row],[Date]]="","",IF(tblRota[[#This Row],[Required (people)]]&gt;0,tblRota[[#This Row],[Fewest on shift (people)]]/tblRota[[#This Row],[Required (people)]],""))</f>
        <v>1.09090909090909</v>
      </c>
      <c r="S19" s="38" t="str">
        <f>IF(NOT(ISNUMBER(tblRota[[#This Row],[Lowest coverage]])),"",IF(tblRota[[#This Row],[Lowest coverage]]&gt;=TargetCover,"On target",IF(tblRota[[#This Row],[Lowest coverage]]&gt;=TargetCover*(1-0.05),"Near target","Below target")))</f>
        <v>On target</v>
      </c>
      <c r="T19" s="33">
        <f>IF(tblRota[[#This Row],[Date]]="","",(tblRota[[#This Row],[Day on shift (people)]]&lt;tblRota[[#This Row],[Required (people)]])+(tblRota[[#This Row],[Night on shift (people)]]&lt;tblRota[[#This Row],[Required (people)]]))</f>
        <v>0</v>
      </c>
      <c r="U19" s="38" t="str">
        <f>IF(tblRota[[#This Row],[Date]]="","",IF(WEEKDAY(tblRota[[#This Row],[Date]],2)&gt;5,"Yes","No"))</f>
        <v>Yes</v>
      </c>
      <c r="V19"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19" s="28" t="s">
        <v>135</v>
      </c>
    </row>
    <row r="20" spans="2:23">
      <c r="B20" s="29">
        <v>46314</v>
      </c>
      <c r="C20" s="38" t="str">
        <f>IF(tblRota[[#This Row],[Date]]="","",CHOOSE(WEEKDAY(tblRota[[#This Row],[Date]],2),"Mon","Tue","Wed","Thu","Fri","Sat","Sun"))</f>
        <v>Mon</v>
      </c>
      <c r="D20" s="28" t="s">
        <v>134</v>
      </c>
      <c r="E20" s="33">
        <f>IF(tblRota[[#This Row],[Date]]="","",MOD(tblRota[[#This Row],[Date]]-Anchor,CycleDays)+1)</f>
        <v>15</v>
      </c>
      <c r="F20" s="38" t="str">
        <f>IF(tblRota[[#This Row],[Date]]="","",IF(tblRota[[#This Row],[Cycle day]]="","",INDEX(tblPatterns[Active],MOD(tblRota[[#This Row],[Date]]-Anchor+CrewOffset*0,CycleDays)+1)))</f>
        <v>N</v>
      </c>
      <c r="G20" s="38" t="str">
        <f>IF(tblRota[[#This Row],[Date]]="","",IF(tblRota[[#This Row],[Cycle day]]="","",INDEX(tblPatterns[Active],MOD(tblRota[[#This Row],[Date]]-Anchor+CrewOffset*1,CycleDays)+1)))</f>
        <v>O</v>
      </c>
      <c r="H20" s="38" t="str">
        <f>IF(tblRota[[#This Row],[Date]]="","",IF(tblRota[[#This Row],[Cycle day]]="","",INDEX(tblPatterns[Active],MOD(tblRota[[#This Row],[Date]]-Anchor+CrewOffset*2,CycleDays)+1)))</f>
        <v>D</v>
      </c>
      <c r="I20" s="38" t="str">
        <f>IF(tblRota[[#This Row],[Date]]="","",IF(tblRota[[#This Row],[Cycle day]]="","",INDEX(tblPatterns[Active],MOD(tblRota[[#This Row],[Date]]-Anchor+CrewOffset*3,CycleDays)+1)))</f>
        <v>O</v>
      </c>
      <c r="J20" s="38" t="str">
        <f>IF(tblRota[[#This Row],[Date]]="","",IF(tblRota[[#This Row],[Crew A]]="D","A",IF(tblRota[[#This Row],[Crew B]]="D","B",IF(tblRota[[#This Row],[Crew C]]="D","C",IF(tblRota[[#This Row],[Crew D]]="D","D","")))))</f>
        <v>C</v>
      </c>
      <c r="K20" s="38" t="str">
        <f>IF(tblRota[[#This Row],[Date]]="","",IF(tblRota[[#This Row],[Crew A]]="N","A",IF(tblRota[[#This Row],[Crew B]]="N","B",IF(tblRota[[#This Row],[Crew C]]="N","C",IF(tblRota[[#This Row],[Crew D]]="N","D","")))))</f>
        <v>A</v>
      </c>
      <c r="L20" s="30">
        <v>1</v>
      </c>
      <c r="M20" s="30">
        <v>0</v>
      </c>
      <c r="N20" s="33">
        <f>IF(tblRota[[#This Row],[Date]]="","",IFERROR(INDEX(tblCrews[People],MATCH(tblRota[[#This Row],[Day crew]],tblCrews[Crew],0)),0)-tblRota[[#This Row],[Day absent (people)]])</f>
        <v>10</v>
      </c>
      <c r="O20" s="33">
        <f>IF(tblRota[[#This Row],[Date]]="","",IFERROR(INDEX(tblCrews[People],MATCH(tblRota[[#This Row],[Night crew]],tblCrews[Crew],0)),0)-tblRota[[#This Row],[Night absent (people)]])</f>
        <v>12</v>
      </c>
      <c r="P20" s="33">
        <f>IF(tblRota[[#This Row],[Date]]="","",MIN(tblRota[[#This Row],[Day on shift (people)]],tblRota[[#This Row],[Night on shift (people)]]))</f>
        <v>10</v>
      </c>
      <c r="Q20" s="33">
        <f>IF(tblRota[[#This Row],[Date]]="","",ReqPerShift)</f>
        <v>11</v>
      </c>
      <c r="R20" s="39">
        <f>IF(tblRota[[#This Row],[Date]]="","",IF(tblRota[[#This Row],[Required (people)]]&gt;0,tblRota[[#This Row],[Fewest on shift (people)]]/tblRota[[#This Row],[Required (people)]],""))</f>
        <v>0.909090909090909</v>
      </c>
      <c r="S20" s="38" t="str">
        <f>IF(NOT(ISNUMBER(tblRota[[#This Row],[Lowest coverage]])),"",IF(tblRota[[#This Row],[Lowest coverage]]&gt;=TargetCover,"On target",IF(tblRota[[#This Row],[Lowest coverage]]&gt;=TargetCover*(1-0.05),"Near target","Below target")))</f>
        <v>Below target</v>
      </c>
      <c r="T20" s="33">
        <f>IF(tblRota[[#This Row],[Date]]="","",(tblRota[[#This Row],[Day on shift (people)]]&lt;tblRota[[#This Row],[Required (people)]])+(tblRota[[#This Row],[Night on shift (people)]]&lt;tblRota[[#This Row],[Required (people)]]))</f>
        <v>1</v>
      </c>
      <c r="U20" s="38" t="str">
        <f>IF(tblRota[[#This Row],[Date]]="","",IF(WEEKDAY(tblRota[[#This Row],[Date]],2)&gt;5,"Yes","No"))</f>
        <v>No</v>
      </c>
      <c r="V20"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20" s="28" t="s">
        <v>135</v>
      </c>
    </row>
    <row r="21" spans="2:23">
      <c r="B21" s="29">
        <v>46315</v>
      </c>
      <c r="C21" s="38" t="str">
        <f>IF(tblRota[[#This Row],[Date]]="","",CHOOSE(WEEKDAY(tblRota[[#This Row],[Date]],2),"Mon","Tue","Wed","Thu","Fri","Sat","Sun"))</f>
        <v>Tue</v>
      </c>
      <c r="D21" s="28" t="s">
        <v>134</v>
      </c>
      <c r="E21" s="33">
        <f>IF(tblRota[[#This Row],[Date]]="","",MOD(tblRota[[#This Row],[Date]]-Anchor,CycleDays)+1)</f>
        <v>16</v>
      </c>
      <c r="F21" s="38" t="str">
        <f>IF(tblRota[[#This Row],[Date]]="","",IF(tblRota[[#This Row],[Cycle day]]="","",INDEX(tblPatterns[Active],MOD(tblRota[[#This Row],[Date]]-Anchor+CrewOffset*0,CycleDays)+1)))</f>
        <v>N</v>
      </c>
      <c r="G21" s="38" t="str">
        <f>IF(tblRota[[#This Row],[Date]]="","",IF(tblRota[[#This Row],[Cycle day]]="","",INDEX(tblPatterns[Active],MOD(tblRota[[#This Row],[Date]]-Anchor+CrewOffset*1,CycleDays)+1)))</f>
        <v>O</v>
      </c>
      <c r="H21" s="38" t="str">
        <f>IF(tblRota[[#This Row],[Date]]="","",IF(tblRota[[#This Row],[Cycle day]]="","",INDEX(tblPatterns[Active],MOD(tblRota[[#This Row],[Date]]-Anchor+CrewOffset*2,CycleDays)+1)))</f>
        <v>D</v>
      </c>
      <c r="I21" s="38" t="str">
        <f>IF(tblRota[[#This Row],[Date]]="","",IF(tblRota[[#This Row],[Cycle day]]="","",INDEX(tblPatterns[Active],MOD(tblRota[[#This Row],[Date]]-Anchor+CrewOffset*3,CycleDays)+1)))</f>
        <v>O</v>
      </c>
      <c r="J21" s="38" t="str">
        <f>IF(tblRota[[#This Row],[Date]]="","",IF(tblRota[[#This Row],[Crew A]]="D","A",IF(tblRota[[#This Row],[Crew B]]="D","B",IF(tblRota[[#This Row],[Crew C]]="D","C",IF(tblRota[[#This Row],[Crew D]]="D","D","")))))</f>
        <v>C</v>
      </c>
      <c r="K21" s="38" t="str">
        <f>IF(tblRota[[#This Row],[Date]]="","",IF(tblRota[[#This Row],[Crew A]]="N","A",IF(tblRota[[#This Row],[Crew B]]="N","B",IF(tblRota[[#This Row],[Crew C]]="N","C",IF(tblRota[[#This Row],[Crew D]]="N","D","")))))</f>
        <v>A</v>
      </c>
      <c r="L21" s="30">
        <v>0</v>
      </c>
      <c r="M21" s="30">
        <v>1</v>
      </c>
      <c r="N21" s="33">
        <f>IF(tblRota[[#This Row],[Date]]="","",IFERROR(INDEX(tblCrews[People],MATCH(tblRota[[#This Row],[Day crew]],tblCrews[Crew],0)),0)-tblRota[[#This Row],[Day absent (people)]])</f>
        <v>11</v>
      </c>
      <c r="O21" s="33">
        <f>IF(tblRota[[#This Row],[Date]]="","",IFERROR(INDEX(tblCrews[People],MATCH(tblRota[[#This Row],[Night crew]],tblCrews[Crew],0)),0)-tblRota[[#This Row],[Night absent (people)]])</f>
        <v>11</v>
      </c>
      <c r="P21" s="33">
        <f>IF(tblRota[[#This Row],[Date]]="","",MIN(tblRota[[#This Row],[Day on shift (people)]],tblRota[[#This Row],[Night on shift (people)]]))</f>
        <v>11</v>
      </c>
      <c r="Q21" s="33">
        <f>IF(tblRota[[#This Row],[Date]]="","",ReqPerShift)</f>
        <v>11</v>
      </c>
      <c r="R21" s="39">
        <f>IF(tblRota[[#This Row],[Date]]="","",IF(tblRota[[#This Row],[Required (people)]]&gt;0,tblRota[[#This Row],[Fewest on shift (people)]]/tblRota[[#This Row],[Required (people)]],""))</f>
        <v>1</v>
      </c>
      <c r="S21" s="38" t="str">
        <f>IF(NOT(ISNUMBER(tblRota[[#This Row],[Lowest coverage]])),"",IF(tblRota[[#This Row],[Lowest coverage]]&gt;=TargetCover,"On target",IF(tblRota[[#This Row],[Lowest coverage]]&gt;=TargetCover*(1-0.05),"Near target","Below target")))</f>
        <v>On target</v>
      </c>
      <c r="T21" s="33">
        <f>IF(tblRota[[#This Row],[Date]]="","",(tblRota[[#This Row],[Day on shift (people)]]&lt;tblRota[[#This Row],[Required (people)]])+(tblRota[[#This Row],[Night on shift (people)]]&lt;tblRota[[#This Row],[Required (people)]]))</f>
        <v>0</v>
      </c>
      <c r="U21" s="38" t="str">
        <f>IF(tblRota[[#This Row],[Date]]="","",IF(WEEKDAY(tblRota[[#This Row],[Date]],2)&gt;5,"Yes","No"))</f>
        <v>No</v>
      </c>
      <c r="V21"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21" s="28" t="s">
        <v>135</v>
      </c>
    </row>
    <row r="22" spans="2:23">
      <c r="B22" s="29">
        <v>46316</v>
      </c>
      <c r="C22" s="38" t="str">
        <f>IF(tblRota[[#This Row],[Date]]="","",CHOOSE(WEEKDAY(tblRota[[#This Row],[Date]],2),"Mon","Tue","Wed","Thu","Fri","Sat","Sun"))</f>
        <v>Wed</v>
      </c>
      <c r="D22" s="28" t="s">
        <v>134</v>
      </c>
      <c r="E22" s="33">
        <f>IF(tblRota[[#This Row],[Date]]="","",MOD(tblRota[[#This Row],[Date]]-Anchor,CycleDays)+1)</f>
        <v>17</v>
      </c>
      <c r="F22" s="38" t="str">
        <f>IF(tblRota[[#This Row],[Date]]="","",IF(tblRota[[#This Row],[Cycle day]]="","",INDEX(tblPatterns[Active],MOD(tblRota[[#This Row],[Date]]-Anchor+CrewOffset*0,CycleDays)+1)))</f>
        <v>O</v>
      </c>
      <c r="G22" s="38" t="str">
        <f>IF(tblRota[[#This Row],[Date]]="","",IF(tblRota[[#This Row],[Cycle day]]="","",INDEX(tblPatterns[Active],MOD(tblRota[[#This Row],[Date]]-Anchor+CrewOffset*1,CycleDays)+1)))</f>
        <v>N</v>
      </c>
      <c r="H22" s="38" t="str">
        <f>IF(tblRota[[#This Row],[Date]]="","",IF(tblRota[[#This Row],[Cycle day]]="","",INDEX(tblPatterns[Active],MOD(tblRota[[#This Row],[Date]]-Anchor+CrewOffset*2,CycleDays)+1)))</f>
        <v>O</v>
      </c>
      <c r="I22" s="38" t="str">
        <f>IF(tblRota[[#This Row],[Date]]="","",IF(tblRota[[#This Row],[Cycle day]]="","",INDEX(tblPatterns[Active],MOD(tblRota[[#This Row],[Date]]-Anchor+CrewOffset*3,CycleDays)+1)))</f>
        <v>D</v>
      </c>
      <c r="J22" s="38" t="str">
        <f>IF(tblRota[[#This Row],[Date]]="","",IF(tblRota[[#This Row],[Crew A]]="D","A",IF(tblRota[[#This Row],[Crew B]]="D","B",IF(tblRota[[#This Row],[Crew C]]="D","C",IF(tblRota[[#This Row],[Crew D]]="D","D","")))))</f>
        <v>D</v>
      </c>
      <c r="K22" s="38" t="str">
        <f>IF(tblRota[[#This Row],[Date]]="","",IF(tblRota[[#This Row],[Crew A]]="N","A",IF(tblRota[[#This Row],[Crew B]]="N","B",IF(tblRota[[#This Row],[Crew C]]="N","C",IF(tblRota[[#This Row],[Crew D]]="N","D","")))))</f>
        <v>B</v>
      </c>
      <c r="L22" s="30">
        <v>0</v>
      </c>
      <c r="M22" s="30">
        <v>0</v>
      </c>
      <c r="N22" s="33">
        <f>IF(tblRota[[#This Row],[Date]]="","",IFERROR(INDEX(tblCrews[People],MATCH(tblRota[[#This Row],[Day crew]],tblCrews[Crew],0)),0)-tblRota[[#This Row],[Day absent (people)]])</f>
        <v>12</v>
      </c>
      <c r="O22" s="33">
        <f>IF(tblRota[[#This Row],[Date]]="","",IFERROR(INDEX(tblCrews[People],MATCH(tblRota[[#This Row],[Night crew]],tblCrews[Crew],0)),0)-tblRota[[#This Row],[Night absent (people)]])</f>
        <v>12</v>
      </c>
      <c r="P22" s="33">
        <f>IF(tblRota[[#This Row],[Date]]="","",MIN(tblRota[[#This Row],[Day on shift (people)]],tblRota[[#This Row],[Night on shift (people)]]))</f>
        <v>12</v>
      </c>
      <c r="Q22" s="33">
        <f>IF(tblRota[[#This Row],[Date]]="","",ReqPerShift)</f>
        <v>11</v>
      </c>
      <c r="R22" s="39">
        <f>IF(tblRota[[#This Row],[Date]]="","",IF(tblRota[[#This Row],[Required (people)]]&gt;0,tblRota[[#This Row],[Fewest on shift (people)]]/tblRota[[#This Row],[Required (people)]],""))</f>
        <v>1.09090909090909</v>
      </c>
      <c r="S22" s="38" t="str">
        <f>IF(NOT(ISNUMBER(tblRota[[#This Row],[Lowest coverage]])),"",IF(tblRota[[#This Row],[Lowest coverage]]&gt;=TargetCover,"On target",IF(tblRota[[#This Row],[Lowest coverage]]&gt;=TargetCover*(1-0.05),"Near target","Below target")))</f>
        <v>On target</v>
      </c>
      <c r="T22" s="33">
        <f>IF(tblRota[[#This Row],[Date]]="","",(tblRota[[#This Row],[Day on shift (people)]]&lt;tblRota[[#This Row],[Required (people)]])+(tblRota[[#This Row],[Night on shift (people)]]&lt;tblRota[[#This Row],[Required (people)]]))</f>
        <v>0</v>
      </c>
      <c r="U22" s="38" t="str">
        <f>IF(tblRota[[#This Row],[Date]]="","",IF(WEEKDAY(tblRota[[#This Row],[Date]],2)&gt;5,"Yes","No"))</f>
        <v>No</v>
      </c>
      <c r="V22"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22" s="28" t="s">
        <v>135</v>
      </c>
    </row>
    <row r="23" spans="2:23">
      <c r="B23" s="29">
        <v>46317</v>
      </c>
      <c r="C23" s="38" t="str">
        <f>IF(tblRota[[#This Row],[Date]]="","",CHOOSE(WEEKDAY(tblRota[[#This Row],[Date]],2),"Mon","Tue","Wed","Thu","Fri","Sat","Sun"))</f>
        <v>Thu</v>
      </c>
      <c r="D23" s="28" t="s">
        <v>134</v>
      </c>
      <c r="E23" s="33">
        <f>IF(tblRota[[#This Row],[Date]]="","",MOD(tblRota[[#This Row],[Date]]-Anchor,CycleDays)+1)</f>
        <v>18</v>
      </c>
      <c r="F23" s="38" t="str">
        <f>IF(tblRota[[#This Row],[Date]]="","",IF(tblRota[[#This Row],[Cycle day]]="","",INDEX(tblPatterns[Active],MOD(tblRota[[#This Row],[Date]]-Anchor+CrewOffset*0,CycleDays)+1)))</f>
        <v>O</v>
      </c>
      <c r="G23" s="38" t="str">
        <f>IF(tblRota[[#This Row],[Date]]="","",IF(tblRota[[#This Row],[Cycle day]]="","",INDEX(tblPatterns[Active],MOD(tblRota[[#This Row],[Date]]-Anchor+CrewOffset*1,CycleDays)+1)))</f>
        <v>N</v>
      </c>
      <c r="H23" s="38" t="str">
        <f>IF(tblRota[[#This Row],[Date]]="","",IF(tblRota[[#This Row],[Cycle day]]="","",INDEX(tblPatterns[Active],MOD(tblRota[[#This Row],[Date]]-Anchor+CrewOffset*2,CycleDays)+1)))</f>
        <v>O</v>
      </c>
      <c r="I23" s="38" t="str">
        <f>IF(tblRota[[#This Row],[Date]]="","",IF(tblRota[[#This Row],[Cycle day]]="","",INDEX(tblPatterns[Active],MOD(tblRota[[#This Row],[Date]]-Anchor+CrewOffset*3,CycleDays)+1)))</f>
        <v>D</v>
      </c>
      <c r="J23" s="38" t="str">
        <f>IF(tblRota[[#This Row],[Date]]="","",IF(tblRota[[#This Row],[Crew A]]="D","A",IF(tblRota[[#This Row],[Crew B]]="D","B",IF(tblRota[[#This Row],[Crew C]]="D","C",IF(tblRota[[#This Row],[Crew D]]="D","D","")))))</f>
        <v>D</v>
      </c>
      <c r="K23" s="38" t="str">
        <f>IF(tblRota[[#This Row],[Date]]="","",IF(tblRota[[#This Row],[Crew A]]="N","A",IF(tblRota[[#This Row],[Crew B]]="N","B",IF(tblRota[[#This Row],[Crew C]]="N","C",IF(tblRota[[#This Row],[Crew D]]="N","D","")))))</f>
        <v>B</v>
      </c>
      <c r="L23" s="30">
        <v>1</v>
      </c>
      <c r="M23" s="30">
        <v>0</v>
      </c>
      <c r="N23" s="33">
        <f>IF(tblRota[[#This Row],[Date]]="","",IFERROR(INDEX(tblCrews[People],MATCH(tblRota[[#This Row],[Day crew]],tblCrews[Crew],0)),0)-tblRota[[#This Row],[Day absent (people)]])</f>
        <v>11</v>
      </c>
      <c r="O23" s="33">
        <f>IF(tblRota[[#This Row],[Date]]="","",IFERROR(INDEX(tblCrews[People],MATCH(tblRota[[#This Row],[Night crew]],tblCrews[Crew],0)),0)-tblRota[[#This Row],[Night absent (people)]])</f>
        <v>12</v>
      </c>
      <c r="P23" s="33">
        <f>IF(tblRota[[#This Row],[Date]]="","",MIN(tblRota[[#This Row],[Day on shift (people)]],tblRota[[#This Row],[Night on shift (people)]]))</f>
        <v>11</v>
      </c>
      <c r="Q23" s="33">
        <f>IF(tblRota[[#This Row],[Date]]="","",ReqPerShift)</f>
        <v>11</v>
      </c>
      <c r="R23" s="39">
        <f>IF(tblRota[[#This Row],[Date]]="","",IF(tblRota[[#This Row],[Required (people)]]&gt;0,tblRota[[#This Row],[Fewest on shift (people)]]/tblRota[[#This Row],[Required (people)]],""))</f>
        <v>1</v>
      </c>
      <c r="S23" s="38" t="str">
        <f>IF(NOT(ISNUMBER(tblRota[[#This Row],[Lowest coverage]])),"",IF(tblRota[[#This Row],[Lowest coverage]]&gt;=TargetCover,"On target",IF(tblRota[[#This Row],[Lowest coverage]]&gt;=TargetCover*(1-0.05),"Near target","Below target")))</f>
        <v>On target</v>
      </c>
      <c r="T23" s="33">
        <f>IF(tblRota[[#This Row],[Date]]="","",(tblRota[[#This Row],[Day on shift (people)]]&lt;tblRota[[#This Row],[Required (people)]])+(tblRota[[#This Row],[Night on shift (people)]]&lt;tblRota[[#This Row],[Required (people)]]))</f>
        <v>0</v>
      </c>
      <c r="U23" s="38" t="str">
        <f>IF(tblRota[[#This Row],[Date]]="","",IF(WEEKDAY(tblRota[[#This Row],[Date]],2)&gt;5,"Yes","No"))</f>
        <v>No</v>
      </c>
      <c r="V23"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23" s="28" t="s">
        <v>135</v>
      </c>
    </row>
    <row r="24" spans="2:23">
      <c r="B24" s="29">
        <v>46318</v>
      </c>
      <c r="C24" s="38" t="str">
        <f>IF(tblRota[[#This Row],[Date]]="","",CHOOSE(WEEKDAY(tblRota[[#This Row],[Date]],2),"Mon","Tue","Wed","Thu","Fri","Sat","Sun"))</f>
        <v>Fri</v>
      </c>
      <c r="D24" s="28" t="s">
        <v>134</v>
      </c>
      <c r="E24" s="33">
        <f>IF(tblRota[[#This Row],[Date]]="","",MOD(tblRota[[#This Row],[Date]]-Anchor,CycleDays)+1)</f>
        <v>19</v>
      </c>
      <c r="F24" s="38" t="str">
        <f>IF(tblRota[[#This Row],[Date]]="","",IF(tblRota[[#This Row],[Cycle day]]="","",INDEX(tblPatterns[Active],MOD(tblRota[[#This Row],[Date]]-Anchor+CrewOffset*0,CycleDays)+1)))</f>
        <v>N</v>
      </c>
      <c r="G24" s="38" t="str">
        <f>IF(tblRota[[#This Row],[Date]]="","",IF(tblRota[[#This Row],[Cycle day]]="","",INDEX(tblPatterns[Active],MOD(tblRota[[#This Row],[Date]]-Anchor+CrewOffset*1,CycleDays)+1)))</f>
        <v>O</v>
      </c>
      <c r="H24" s="38" t="str">
        <f>IF(tblRota[[#This Row],[Date]]="","",IF(tblRota[[#This Row],[Cycle day]]="","",INDEX(tblPatterns[Active],MOD(tblRota[[#This Row],[Date]]-Anchor+CrewOffset*2,CycleDays)+1)))</f>
        <v>D</v>
      </c>
      <c r="I24" s="38" t="str">
        <f>IF(tblRota[[#This Row],[Date]]="","",IF(tblRota[[#This Row],[Cycle day]]="","",INDEX(tblPatterns[Active],MOD(tblRota[[#This Row],[Date]]-Anchor+CrewOffset*3,CycleDays)+1)))</f>
        <v>O</v>
      </c>
      <c r="J24" s="38" t="str">
        <f>IF(tblRota[[#This Row],[Date]]="","",IF(tblRota[[#This Row],[Crew A]]="D","A",IF(tblRota[[#This Row],[Crew B]]="D","B",IF(tblRota[[#This Row],[Crew C]]="D","C",IF(tblRota[[#This Row],[Crew D]]="D","D","")))))</f>
        <v>C</v>
      </c>
      <c r="K24" s="38" t="str">
        <f>IF(tblRota[[#This Row],[Date]]="","",IF(tblRota[[#This Row],[Crew A]]="N","A",IF(tblRota[[#This Row],[Crew B]]="N","B",IF(tblRota[[#This Row],[Crew C]]="N","C",IF(tblRota[[#This Row],[Crew D]]="N","D","")))))</f>
        <v>A</v>
      </c>
      <c r="L24" s="30">
        <v>0</v>
      </c>
      <c r="M24" s="30">
        <v>2</v>
      </c>
      <c r="N24" s="33">
        <f>IF(tblRota[[#This Row],[Date]]="","",IFERROR(INDEX(tblCrews[People],MATCH(tblRota[[#This Row],[Day crew]],tblCrews[Crew],0)),0)-tblRota[[#This Row],[Day absent (people)]])</f>
        <v>11</v>
      </c>
      <c r="O24" s="33">
        <f>IF(tblRota[[#This Row],[Date]]="","",IFERROR(INDEX(tblCrews[People],MATCH(tblRota[[#This Row],[Night crew]],tblCrews[Crew],0)),0)-tblRota[[#This Row],[Night absent (people)]])</f>
        <v>10</v>
      </c>
      <c r="P24" s="33">
        <f>IF(tblRota[[#This Row],[Date]]="","",MIN(tblRota[[#This Row],[Day on shift (people)]],tblRota[[#This Row],[Night on shift (people)]]))</f>
        <v>10</v>
      </c>
      <c r="Q24" s="33">
        <f>IF(tblRota[[#This Row],[Date]]="","",ReqPerShift)</f>
        <v>11</v>
      </c>
      <c r="R24" s="39">
        <f>IF(tblRota[[#This Row],[Date]]="","",IF(tblRota[[#This Row],[Required (people)]]&gt;0,tblRota[[#This Row],[Fewest on shift (people)]]/tblRota[[#This Row],[Required (people)]],""))</f>
        <v>0.909090909090909</v>
      </c>
      <c r="S24" s="38" t="str">
        <f>IF(NOT(ISNUMBER(tblRota[[#This Row],[Lowest coverage]])),"",IF(tblRota[[#This Row],[Lowest coverage]]&gt;=TargetCover,"On target",IF(tblRota[[#This Row],[Lowest coverage]]&gt;=TargetCover*(1-0.05),"Near target","Below target")))</f>
        <v>Below target</v>
      </c>
      <c r="T24" s="33">
        <f>IF(tblRota[[#This Row],[Date]]="","",(tblRota[[#This Row],[Day on shift (people)]]&lt;tblRota[[#This Row],[Required (people)]])+(tblRota[[#This Row],[Night on shift (people)]]&lt;tblRota[[#This Row],[Required (people)]]))</f>
        <v>1</v>
      </c>
      <c r="U24" s="38" t="str">
        <f>IF(tblRota[[#This Row],[Date]]="","",IF(WEEKDAY(tblRota[[#This Row],[Date]],2)&gt;5,"Yes","No"))</f>
        <v>No</v>
      </c>
      <c r="V24"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24" s="28" t="s">
        <v>135</v>
      </c>
    </row>
    <row r="25" spans="2:23">
      <c r="B25" s="29">
        <v>46319</v>
      </c>
      <c r="C25" s="38" t="str">
        <f>IF(tblRota[[#This Row],[Date]]="","",CHOOSE(WEEKDAY(tblRota[[#This Row],[Date]],2),"Mon","Tue","Wed","Thu","Fri","Sat","Sun"))</f>
        <v>Sat</v>
      </c>
      <c r="D25" s="28" t="s">
        <v>134</v>
      </c>
      <c r="E25" s="33">
        <f>IF(tblRota[[#This Row],[Date]]="","",MOD(tblRota[[#This Row],[Date]]-Anchor,CycleDays)+1)</f>
        <v>20</v>
      </c>
      <c r="F25" s="38" t="str">
        <f>IF(tblRota[[#This Row],[Date]]="","",IF(tblRota[[#This Row],[Cycle day]]="","",INDEX(tblPatterns[Active],MOD(tblRota[[#This Row],[Date]]-Anchor+CrewOffset*0,CycleDays)+1)))</f>
        <v>N</v>
      </c>
      <c r="G25" s="38" t="str">
        <f>IF(tblRota[[#This Row],[Date]]="","",IF(tblRota[[#This Row],[Cycle day]]="","",INDEX(tblPatterns[Active],MOD(tblRota[[#This Row],[Date]]-Anchor+CrewOffset*1,CycleDays)+1)))</f>
        <v>O</v>
      </c>
      <c r="H25" s="38" t="str">
        <f>IF(tblRota[[#This Row],[Date]]="","",IF(tblRota[[#This Row],[Cycle day]]="","",INDEX(tblPatterns[Active],MOD(tblRota[[#This Row],[Date]]-Anchor+CrewOffset*2,CycleDays)+1)))</f>
        <v>D</v>
      </c>
      <c r="I25" s="38" t="str">
        <f>IF(tblRota[[#This Row],[Date]]="","",IF(tblRota[[#This Row],[Cycle day]]="","",INDEX(tblPatterns[Active],MOD(tblRota[[#This Row],[Date]]-Anchor+CrewOffset*3,CycleDays)+1)))</f>
        <v>O</v>
      </c>
      <c r="J25" s="38" t="str">
        <f>IF(tblRota[[#This Row],[Date]]="","",IF(tblRota[[#This Row],[Crew A]]="D","A",IF(tblRota[[#This Row],[Crew B]]="D","B",IF(tblRota[[#This Row],[Crew C]]="D","C",IF(tblRota[[#This Row],[Crew D]]="D","D","")))))</f>
        <v>C</v>
      </c>
      <c r="K25" s="38" t="str">
        <f>IF(tblRota[[#This Row],[Date]]="","",IF(tblRota[[#This Row],[Crew A]]="N","A",IF(tblRota[[#This Row],[Crew B]]="N","B",IF(tblRota[[#This Row],[Crew C]]="N","C",IF(tblRota[[#This Row],[Crew D]]="N","D","")))))</f>
        <v>A</v>
      </c>
      <c r="L25" s="30">
        <v>0</v>
      </c>
      <c r="M25" s="30">
        <v>0</v>
      </c>
      <c r="N25" s="33">
        <f>IF(tblRota[[#This Row],[Date]]="","",IFERROR(INDEX(tblCrews[People],MATCH(tblRota[[#This Row],[Day crew]],tblCrews[Crew],0)),0)-tblRota[[#This Row],[Day absent (people)]])</f>
        <v>11</v>
      </c>
      <c r="O25" s="33">
        <f>IF(tblRota[[#This Row],[Date]]="","",IFERROR(INDEX(tblCrews[People],MATCH(tblRota[[#This Row],[Night crew]],tblCrews[Crew],0)),0)-tblRota[[#This Row],[Night absent (people)]])</f>
        <v>12</v>
      </c>
      <c r="P25" s="33">
        <f>IF(tblRota[[#This Row],[Date]]="","",MIN(tblRota[[#This Row],[Day on shift (people)]],tblRota[[#This Row],[Night on shift (people)]]))</f>
        <v>11</v>
      </c>
      <c r="Q25" s="33">
        <f>IF(tblRota[[#This Row],[Date]]="","",ReqPerShift)</f>
        <v>11</v>
      </c>
      <c r="R25" s="39">
        <f>IF(tblRota[[#This Row],[Date]]="","",IF(tblRota[[#This Row],[Required (people)]]&gt;0,tblRota[[#This Row],[Fewest on shift (people)]]/tblRota[[#This Row],[Required (people)]],""))</f>
        <v>1</v>
      </c>
      <c r="S25" s="38" t="str">
        <f>IF(NOT(ISNUMBER(tblRota[[#This Row],[Lowest coverage]])),"",IF(tblRota[[#This Row],[Lowest coverage]]&gt;=TargetCover,"On target",IF(tblRota[[#This Row],[Lowest coverage]]&gt;=TargetCover*(1-0.05),"Near target","Below target")))</f>
        <v>On target</v>
      </c>
      <c r="T25" s="33">
        <f>IF(tblRota[[#This Row],[Date]]="","",(tblRota[[#This Row],[Day on shift (people)]]&lt;tblRota[[#This Row],[Required (people)]])+(tblRota[[#This Row],[Night on shift (people)]]&lt;tblRota[[#This Row],[Required (people)]]))</f>
        <v>0</v>
      </c>
      <c r="U25" s="38" t="str">
        <f>IF(tblRota[[#This Row],[Date]]="","",IF(WEEKDAY(tblRota[[#This Row],[Date]],2)&gt;5,"Yes","No"))</f>
        <v>Yes</v>
      </c>
      <c r="V25"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25" s="28" t="s">
        <v>135</v>
      </c>
    </row>
    <row r="26" spans="2:23">
      <c r="B26" s="29">
        <v>46320</v>
      </c>
      <c r="C26" s="38" t="str">
        <f>IF(tblRota[[#This Row],[Date]]="","",CHOOSE(WEEKDAY(tblRota[[#This Row],[Date]],2),"Mon","Tue","Wed","Thu","Fri","Sat","Sun"))</f>
        <v>Sun</v>
      </c>
      <c r="D26" s="28" t="s">
        <v>134</v>
      </c>
      <c r="E26" s="33">
        <f>IF(tblRota[[#This Row],[Date]]="","",MOD(tblRota[[#This Row],[Date]]-Anchor,CycleDays)+1)</f>
        <v>21</v>
      </c>
      <c r="F26" s="38" t="str">
        <f>IF(tblRota[[#This Row],[Date]]="","",IF(tblRota[[#This Row],[Cycle day]]="","",INDEX(tblPatterns[Active],MOD(tblRota[[#This Row],[Date]]-Anchor+CrewOffset*0,CycleDays)+1)))</f>
        <v>N</v>
      </c>
      <c r="G26" s="38" t="str">
        <f>IF(tblRota[[#This Row],[Date]]="","",IF(tblRota[[#This Row],[Cycle day]]="","",INDEX(tblPatterns[Active],MOD(tblRota[[#This Row],[Date]]-Anchor+CrewOffset*1,CycleDays)+1)))</f>
        <v>O</v>
      </c>
      <c r="H26" s="38" t="str">
        <f>IF(tblRota[[#This Row],[Date]]="","",IF(tblRota[[#This Row],[Cycle day]]="","",INDEX(tblPatterns[Active],MOD(tblRota[[#This Row],[Date]]-Anchor+CrewOffset*2,CycleDays)+1)))</f>
        <v>D</v>
      </c>
      <c r="I26" s="38" t="str">
        <f>IF(tblRota[[#This Row],[Date]]="","",IF(tblRota[[#This Row],[Cycle day]]="","",INDEX(tblPatterns[Active],MOD(tblRota[[#This Row],[Date]]-Anchor+CrewOffset*3,CycleDays)+1)))</f>
        <v>O</v>
      </c>
      <c r="J26" s="38" t="str">
        <f>IF(tblRota[[#This Row],[Date]]="","",IF(tblRota[[#This Row],[Crew A]]="D","A",IF(tblRota[[#This Row],[Crew B]]="D","B",IF(tblRota[[#This Row],[Crew C]]="D","C",IF(tblRota[[#This Row],[Crew D]]="D","D","")))))</f>
        <v>C</v>
      </c>
      <c r="K26" s="38" t="str">
        <f>IF(tblRota[[#This Row],[Date]]="","",IF(tblRota[[#This Row],[Crew A]]="N","A",IF(tblRota[[#This Row],[Crew B]]="N","B",IF(tblRota[[#This Row],[Crew C]]="N","C",IF(tblRota[[#This Row],[Crew D]]="N","D","")))))</f>
        <v>A</v>
      </c>
      <c r="L26" s="30">
        <v>0</v>
      </c>
      <c r="M26" s="30">
        <v>0</v>
      </c>
      <c r="N26" s="33">
        <f>IF(tblRota[[#This Row],[Date]]="","",IFERROR(INDEX(tblCrews[People],MATCH(tblRota[[#This Row],[Day crew]],tblCrews[Crew],0)),0)-tblRota[[#This Row],[Day absent (people)]])</f>
        <v>11</v>
      </c>
      <c r="O26" s="33">
        <f>IF(tblRota[[#This Row],[Date]]="","",IFERROR(INDEX(tblCrews[People],MATCH(tblRota[[#This Row],[Night crew]],tblCrews[Crew],0)),0)-tblRota[[#This Row],[Night absent (people)]])</f>
        <v>12</v>
      </c>
      <c r="P26" s="33">
        <f>IF(tblRota[[#This Row],[Date]]="","",MIN(tblRota[[#This Row],[Day on shift (people)]],tblRota[[#This Row],[Night on shift (people)]]))</f>
        <v>11</v>
      </c>
      <c r="Q26" s="33">
        <f>IF(tblRota[[#This Row],[Date]]="","",ReqPerShift)</f>
        <v>11</v>
      </c>
      <c r="R26" s="39">
        <f>IF(tblRota[[#This Row],[Date]]="","",IF(tblRota[[#This Row],[Required (people)]]&gt;0,tblRota[[#This Row],[Fewest on shift (people)]]/tblRota[[#This Row],[Required (people)]],""))</f>
        <v>1</v>
      </c>
      <c r="S26" s="38" t="str">
        <f>IF(NOT(ISNUMBER(tblRota[[#This Row],[Lowest coverage]])),"",IF(tblRota[[#This Row],[Lowest coverage]]&gt;=TargetCover,"On target",IF(tblRota[[#This Row],[Lowest coverage]]&gt;=TargetCover*(1-0.05),"Near target","Below target")))</f>
        <v>On target</v>
      </c>
      <c r="T26" s="33">
        <f>IF(tblRota[[#This Row],[Date]]="","",(tblRota[[#This Row],[Day on shift (people)]]&lt;tblRota[[#This Row],[Required (people)]])+(tblRota[[#This Row],[Night on shift (people)]]&lt;tblRota[[#This Row],[Required (people)]]))</f>
        <v>0</v>
      </c>
      <c r="U26" s="38" t="str">
        <f>IF(tblRota[[#This Row],[Date]]="","",IF(WEEKDAY(tblRota[[#This Row],[Date]],2)&gt;5,"Yes","No"))</f>
        <v>Yes</v>
      </c>
      <c r="V26"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26" s="28" t="s">
        <v>135</v>
      </c>
    </row>
    <row r="27" spans="2:23">
      <c r="B27" s="29">
        <v>46321</v>
      </c>
      <c r="C27" s="38" t="str">
        <f>IF(tblRota[[#This Row],[Date]]="","",CHOOSE(WEEKDAY(tblRota[[#This Row],[Date]],2),"Mon","Tue","Wed","Thu","Fri","Sat","Sun"))</f>
        <v>Mon</v>
      </c>
      <c r="D27" s="28" t="s">
        <v>134</v>
      </c>
      <c r="E27" s="33">
        <f>IF(tblRota[[#This Row],[Date]]="","",MOD(tblRota[[#This Row],[Date]]-Anchor,CycleDays)+1)</f>
        <v>22</v>
      </c>
      <c r="F27" s="38" t="str">
        <f>IF(tblRota[[#This Row],[Date]]="","",IF(tblRota[[#This Row],[Cycle day]]="","",INDEX(tblPatterns[Active],MOD(tblRota[[#This Row],[Date]]-Anchor+CrewOffset*0,CycleDays)+1)))</f>
        <v>O</v>
      </c>
      <c r="G27" s="38" t="str">
        <f>IF(tblRota[[#This Row],[Date]]="","",IF(tblRota[[#This Row],[Cycle day]]="","",INDEX(tblPatterns[Active],MOD(tblRota[[#This Row],[Date]]-Anchor+CrewOffset*1,CycleDays)+1)))</f>
        <v>D</v>
      </c>
      <c r="H27" s="38" t="str">
        <f>IF(tblRota[[#This Row],[Date]]="","",IF(tblRota[[#This Row],[Cycle day]]="","",INDEX(tblPatterns[Active],MOD(tblRota[[#This Row],[Date]]-Anchor+CrewOffset*2,CycleDays)+1)))</f>
        <v>O</v>
      </c>
      <c r="I27" s="38" t="str">
        <f>IF(tblRota[[#This Row],[Date]]="","",IF(tblRota[[#This Row],[Cycle day]]="","",INDEX(tblPatterns[Active],MOD(tblRota[[#This Row],[Date]]-Anchor+CrewOffset*3,CycleDays)+1)))</f>
        <v>N</v>
      </c>
      <c r="J27" s="38" t="str">
        <f>IF(tblRota[[#This Row],[Date]]="","",IF(tblRota[[#This Row],[Crew A]]="D","A",IF(tblRota[[#This Row],[Crew B]]="D","B",IF(tblRota[[#This Row],[Crew C]]="D","C",IF(tblRota[[#This Row],[Crew D]]="D","D","")))))</f>
        <v>B</v>
      </c>
      <c r="K27" s="38" t="str">
        <f>IF(tblRota[[#This Row],[Date]]="","",IF(tblRota[[#This Row],[Crew A]]="N","A",IF(tblRota[[#This Row],[Crew B]]="N","B",IF(tblRota[[#This Row],[Crew C]]="N","C",IF(tblRota[[#This Row],[Crew D]]="N","D","")))))</f>
        <v>D</v>
      </c>
      <c r="L27" s="30">
        <v>0</v>
      </c>
      <c r="M27" s="30">
        <v>0</v>
      </c>
      <c r="N27" s="33">
        <f>IF(tblRota[[#This Row],[Date]]="","",IFERROR(INDEX(tblCrews[People],MATCH(tblRota[[#This Row],[Day crew]],tblCrews[Crew],0)),0)-tblRota[[#This Row],[Day absent (people)]])</f>
        <v>12</v>
      </c>
      <c r="O27" s="33">
        <f>IF(tblRota[[#This Row],[Date]]="","",IFERROR(INDEX(tblCrews[People],MATCH(tblRota[[#This Row],[Night crew]],tblCrews[Crew],0)),0)-tblRota[[#This Row],[Night absent (people)]])</f>
        <v>12</v>
      </c>
      <c r="P27" s="33">
        <f>IF(tblRota[[#This Row],[Date]]="","",MIN(tblRota[[#This Row],[Day on shift (people)]],tblRota[[#This Row],[Night on shift (people)]]))</f>
        <v>12</v>
      </c>
      <c r="Q27" s="33">
        <f>IF(tblRota[[#This Row],[Date]]="","",ReqPerShift)</f>
        <v>11</v>
      </c>
      <c r="R27" s="39">
        <f>IF(tblRota[[#This Row],[Date]]="","",IF(tblRota[[#This Row],[Required (people)]]&gt;0,tblRota[[#This Row],[Fewest on shift (people)]]/tblRota[[#This Row],[Required (people)]],""))</f>
        <v>1.09090909090909</v>
      </c>
      <c r="S27" s="38" t="str">
        <f>IF(NOT(ISNUMBER(tblRota[[#This Row],[Lowest coverage]])),"",IF(tblRota[[#This Row],[Lowest coverage]]&gt;=TargetCover,"On target",IF(tblRota[[#This Row],[Lowest coverage]]&gt;=TargetCover*(1-0.05),"Near target","Below target")))</f>
        <v>On target</v>
      </c>
      <c r="T27" s="33">
        <f>IF(tblRota[[#This Row],[Date]]="","",(tblRota[[#This Row],[Day on shift (people)]]&lt;tblRota[[#This Row],[Required (people)]])+(tblRota[[#This Row],[Night on shift (people)]]&lt;tblRota[[#This Row],[Required (people)]]))</f>
        <v>0</v>
      </c>
      <c r="U27" s="38" t="str">
        <f>IF(tblRota[[#This Row],[Date]]="","",IF(WEEKDAY(tblRota[[#This Row],[Date]],2)&gt;5,"Yes","No"))</f>
        <v>No</v>
      </c>
      <c r="V27"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27" s="28" t="s">
        <v>135</v>
      </c>
    </row>
    <row r="28" spans="2:23">
      <c r="B28" s="29">
        <v>46322</v>
      </c>
      <c r="C28" s="38" t="str">
        <f>IF(tblRota[[#This Row],[Date]]="","",CHOOSE(WEEKDAY(tblRota[[#This Row],[Date]],2),"Mon","Tue","Wed","Thu","Fri","Sat","Sun"))</f>
        <v>Tue</v>
      </c>
      <c r="D28" s="28" t="s">
        <v>134</v>
      </c>
      <c r="E28" s="33">
        <f>IF(tblRota[[#This Row],[Date]]="","",MOD(tblRota[[#This Row],[Date]]-Anchor,CycleDays)+1)</f>
        <v>23</v>
      </c>
      <c r="F28" s="38" t="str">
        <f>IF(tblRota[[#This Row],[Date]]="","",IF(tblRota[[#This Row],[Cycle day]]="","",INDEX(tblPatterns[Active],MOD(tblRota[[#This Row],[Date]]-Anchor+CrewOffset*0,CycleDays)+1)))</f>
        <v>O</v>
      </c>
      <c r="G28" s="38" t="str">
        <f>IF(tblRota[[#This Row],[Date]]="","",IF(tblRota[[#This Row],[Cycle day]]="","",INDEX(tblPatterns[Active],MOD(tblRota[[#This Row],[Date]]-Anchor+CrewOffset*1,CycleDays)+1)))</f>
        <v>D</v>
      </c>
      <c r="H28" s="38" t="str">
        <f>IF(tblRota[[#This Row],[Date]]="","",IF(tblRota[[#This Row],[Cycle day]]="","",INDEX(tblPatterns[Active],MOD(tblRota[[#This Row],[Date]]-Anchor+CrewOffset*2,CycleDays)+1)))</f>
        <v>O</v>
      </c>
      <c r="I28" s="38" t="str">
        <f>IF(tblRota[[#This Row],[Date]]="","",IF(tblRota[[#This Row],[Cycle day]]="","",INDEX(tblPatterns[Active],MOD(tblRota[[#This Row],[Date]]-Anchor+CrewOffset*3,CycleDays)+1)))</f>
        <v>N</v>
      </c>
      <c r="J28" s="38" t="str">
        <f>IF(tblRota[[#This Row],[Date]]="","",IF(tblRota[[#This Row],[Crew A]]="D","A",IF(tblRota[[#This Row],[Crew B]]="D","B",IF(tblRota[[#This Row],[Crew C]]="D","C",IF(tblRota[[#This Row],[Crew D]]="D","D","")))))</f>
        <v>B</v>
      </c>
      <c r="K28" s="38" t="str">
        <f>IF(tblRota[[#This Row],[Date]]="","",IF(tblRota[[#This Row],[Crew A]]="N","A",IF(tblRota[[#This Row],[Crew B]]="N","B",IF(tblRota[[#This Row],[Crew C]]="N","C",IF(tblRota[[#This Row],[Crew D]]="N","D","")))))</f>
        <v>D</v>
      </c>
      <c r="L28" s="30">
        <v>0</v>
      </c>
      <c r="M28" s="30">
        <v>1</v>
      </c>
      <c r="N28" s="33">
        <f>IF(tblRota[[#This Row],[Date]]="","",IFERROR(INDEX(tblCrews[People],MATCH(tblRota[[#This Row],[Day crew]],tblCrews[Crew],0)),0)-tblRota[[#This Row],[Day absent (people)]])</f>
        <v>12</v>
      </c>
      <c r="O28" s="33">
        <f>IF(tblRota[[#This Row],[Date]]="","",IFERROR(INDEX(tblCrews[People],MATCH(tblRota[[#This Row],[Night crew]],tblCrews[Crew],0)),0)-tblRota[[#This Row],[Night absent (people)]])</f>
        <v>11</v>
      </c>
      <c r="P28" s="33">
        <f>IF(tblRota[[#This Row],[Date]]="","",MIN(tblRota[[#This Row],[Day on shift (people)]],tblRota[[#This Row],[Night on shift (people)]]))</f>
        <v>11</v>
      </c>
      <c r="Q28" s="33">
        <f>IF(tblRota[[#This Row],[Date]]="","",ReqPerShift)</f>
        <v>11</v>
      </c>
      <c r="R28" s="39">
        <f>IF(tblRota[[#This Row],[Date]]="","",IF(tblRota[[#This Row],[Required (people)]]&gt;0,tblRota[[#This Row],[Fewest on shift (people)]]/tblRota[[#This Row],[Required (people)]],""))</f>
        <v>1</v>
      </c>
      <c r="S28" s="38" t="str">
        <f>IF(NOT(ISNUMBER(tblRota[[#This Row],[Lowest coverage]])),"",IF(tblRota[[#This Row],[Lowest coverage]]&gt;=TargetCover,"On target",IF(tblRota[[#This Row],[Lowest coverage]]&gt;=TargetCover*(1-0.05),"Near target","Below target")))</f>
        <v>On target</v>
      </c>
      <c r="T28" s="33">
        <f>IF(tblRota[[#This Row],[Date]]="","",(tblRota[[#This Row],[Day on shift (people)]]&lt;tblRota[[#This Row],[Required (people)]])+(tblRota[[#This Row],[Night on shift (people)]]&lt;tblRota[[#This Row],[Required (people)]]))</f>
        <v>0</v>
      </c>
      <c r="U28" s="38" t="str">
        <f>IF(tblRota[[#This Row],[Date]]="","",IF(WEEKDAY(tblRota[[#This Row],[Date]],2)&gt;5,"Yes","No"))</f>
        <v>No</v>
      </c>
      <c r="V28"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28" s="28" t="s">
        <v>135</v>
      </c>
    </row>
    <row r="29" spans="2:23">
      <c r="B29" s="29">
        <v>46323</v>
      </c>
      <c r="C29" s="38" t="str">
        <f>IF(tblRota[[#This Row],[Date]]="","",CHOOSE(WEEKDAY(tblRota[[#This Row],[Date]],2),"Mon","Tue","Wed","Thu","Fri","Sat","Sun"))</f>
        <v>Wed</v>
      </c>
      <c r="D29" s="28" t="s">
        <v>134</v>
      </c>
      <c r="E29" s="33">
        <f>IF(tblRota[[#This Row],[Date]]="","",MOD(tblRota[[#This Row],[Date]]-Anchor,CycleDays)+1)</f>
        <v>24</v>
      </c>
      <c r="F29" s="38" t="str">
        <f>IF(tblRota[[#This Row],[Date]]="","",IF(tblRota[[#This Row],[Cycle day]]="","",INDEX(tblPatterns[Active],MOD(tblRota[[#This Row],[Date]]-Anchor+CrewOffset*0,CycleDays)+1)))</f>
        <v>N</v>
      </c>
      <c r="G29" s="38" t="str">
        <f>IF(tblRota[[#This Row],[Date]]="","",IF(tblRota[[#This Row],[Cycle day]]="","",INDEX(tblPatterns[Active],MOD(tblRota[[#This Row],[Date]]-Anchor+CrewOffset*1,CycleDays)+1)))</f>
        <v>O</v>
      </c>
      <c r="H29" s="38" t="str">
        <f>IF(tblRota[[#This Row],[Date]]="","",IF(tblRota[[#This Row],[Cycle day]]="","",INDEX(tblPatterns[Active],MOD(tblRota[[#This Row],[Date]]-Anchor+CrewOffset*2,CycleDays)+1)))</f>
        <v>D</v>
      </c>
      <c r="I29" s="38" t="str">
        <f>IF(tblRota[[#This Row],[Date]]="","",IF(tblRota[[#This Row],[Cycle day]]="","",INDEX(tblPatterns[Active],MOD(tblRota[[#This Row],[Date]]-Anchor+CrewOffset*3,CycleDays)+1)))</f>
        <v>O</v>
      </c>
      <c r="J29" s="38" t="str">
        <f>IF(tblRota[[#This Row],[Date]]="","",IF(tblRota[[#This Row],[Crew A]]="D","A",IF(tblRota[[#This Row],[Crew B]]="D","B",IF(tblRota[[#This Row],[Crew C]]="D","C",IF(tblRota[[#This Row],[Crew D]]="D","D","")))))</f>
        <v>C</v>
      </c>
      <c r="K29" s="38" t="str">
        <f>IF(tblRota[[#This Row],[Date]]="","",IF(tblRota[[#This Row],[Crew A]]="N","A",IF(tblRota[[#This Row],[Crew B]]="N","B",IF(tblRota[[#This Row],[Crew C]]="N","C",IF(tblRota[[#This Row],[Crew D]]="N","D","")))))</f>
        <v>A</v>
      </c>
      <c r="L29" s="30">
        <v>0</v>
      </c>
      <c r="M29" s="30">
        <v>1</v>
      </c>
      <c r="N29" s="33">
        <f>IF(tblRota[[#This Row],[Date]]="","",IFERROR(INDEX(tblCrews[People],MATCH(tblRota[[#This Row],[Day crew]],tblCrews[Crew],0)),0)-tblRota[[#This Row],[Day absent (people)]])</f>
        <v>11</v>
      </c>
      <c r="O29" s="33">
        <f>IF(tblRota[[#This Row],[Date]]="","",IFERROR(INDEX(tblCrews[People],MATCH(tblRota[[#This Row],[Night crew]],tblCrews[Crew],0)),0)-tblRota[[#This Row],[Night absent (people)]])</f>
        <v>11</v>
      </c>
      <c r="P29" s="33">
        <f>IF(tblRota[[#This Row],[Date]]="","",MIN(tblRota[[#This Row],[Day on shift (people)]],tblRota[[#This Row],[Night on shift (people)]]))</f>
        <v>11</v>
      </c>
      <c r="Q29" s="33">
        <f>IF(tblRota[[#This Row],[Date]]="","",ReqPerShift)</f>
        <v>11</v>
      </c>
      <c r="R29" s="39">
        <f>IF(tblRota[[#This Row],[Date]]="","",IF(tblRota[[#This Row],[Required (people)]]&gt;0,tblRota[[#This Row],[Fewest on shift (people)]]/tblRota[[#This Row],[Required (people)]],""))</f>
        <v>1</v>
      </c>
      <c r="S29" s="38" t="str">
        <f>IF(NOT(ISNUMBER(tblRota[[#This Row],[Lowest coverage]])),"",IF(tblRota[[#This Row],[Lowest coverage]]&gt;=TargetCover,"On target",IF(tblRota[[#This Row],[Lowest coverage]]&gt;=TargetCover*(1-0.05),"Near target","Below target")))</f>
        <v>On target</v>
      </c>
      <c r="T29" s="33">
        <f>IF(tblRota[[#This Row],[Date]]="","",(tblRota[[#This Row],[Day on shift (people)]]&lt;tblRota[[#This Row],[Required (people)]])+(tblRota[[#This Row],[Night on shift (people)]]&lt;tblRota[[#This Row],[Required (people)]]))</f>
        <v>0</v>
      </c>
      <c r="U29" s="38" t="str">
        <f>IF(tblRota[[#This Row],[Date]]="","",IF(WEEKDAY(tblRota[[#This Row],[Date]],2)&gt;5,"Yes","No"))</f>
        <v>No</v>
      </c>
      <c r="V29"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29" s="28" t="s">
        <v>135</v>
      </c>
    </row>
    <row r="30" spans="2:23">
      <c r="B30" s="29">
        <v>46324</v>
      </c>
      <c r="C30" s="38" t="str">
        <f>IF(tblRota[[#This Row],[Date]]="","",CHOOSE(WEEKDAY(tblRota[[#This Row],[Date]],2),"Mon","Tue","Wed","Thu","Fri","Sat","Sun"))</f>
        <v>Thu</v>
      </c>
      <c r="D30" s="28" t="s">
        <v>134</v>
      </c>
      <c r="E30" s="33">
        <f>IF(tblRota[[#This Row],[Date]]="","",MOD(tblRota[[#This Row],[Date]]-Anchor,CycleDays)+1)</f>
        <v>25</v>
      </c>
      <c r="F30" s="38" t="str">
        <f>IF(tblRota[[#This Row],[Date]]="","",IF(tblRota[[#This Row],[Cycle day]]="","",INDEX(tblPatterns[Active],MOD(tblRota[[#This Row],[Date]]-Anchor+CrewOffset*0,CycleDays)+1)))</f>
        <v>N</v>
      </c>
      <c r="G30" s="38" t="str">
        <f>IF(tblRota[[#This Row],[Date]]="","",IF(tblRota[[#This Row],[Cycle day]]="","",INDEX(tblPatterns[Active],MOD(tblRota[[#This Row],[Date]]-Anchor+CrewOffset*1,CycleDays)+1)))</f>
        <v>O</v>
      </c>
      <c r="H30" s="38" t="str">
        <f>IF(tblRota[[#This Row],[Date]]="","",IF(tblRota[[#This Row],[Cycle day]]="","",INDEX(tblPatterns[Active],MOD(tblRota[[#This Row],[Date]]-Anchor+CrewOffset*2,CycleDays)+1)))</f>
        <v>D</v>
      </c>
      <c r="I30" s="38" t="str">
        <f>IF(tblRota[[#This Row],[Date]]="","",IF(tblRota[[#This Row],[Cycle day]]="","",INDEX(tblPatterns[Active],MOD(tblRota[[#This Row],[Date]]-Anchor+CrewOffset*3,CycleDays)+1)))</f>
        <v>O</v>
      </c>
      <c r="J30" s="38" t="str">
        <f>IF(tblRota[[#This Row],[Date]]="","",IF(tblRota[[#This Row],[Crew A]]="D","A",IF(tblRota[[#This Row],[Crew B]]="D","B",IF(tblRota[[#This Row],[Crew C]]="D","C",IF(tblRota[[#This Row],[Crew D]]="D","D","")))))</f>
        <v>C</v>
      </c>
      <c r="K30" s="38" t="str">
        <f>IF(tblRota[[#This Row],[Date]]="","",IF(tblRota[[#This Row],[Crew A]]="N","A",IF(tblRota[[#This Row],[Crew B]]="N","B",IF(tblRota[[#This Row],[Crew C]]="N","C",IF(tblRota[[#This Row],[Crew D]]="N","D","")))))</f>
        <v>A</v>
      </c>
      <c r="L30" s="30">
        <v>0</v>
      </c>
      <c r="M30" s="30">
        <v>0</v>
      </c>
      <c r="N30" s="33">
        <f>IF(tblRota[[#This Row],[Date]]="","",IFERROR(INDEX(tblCrews[People],MATCH(tblRota[[#This Row],[Day crew]],tblCrews[Crew],0)),0)-tblRota[[#This Row],[Day absent (people)]])</f>
        <v>11</v>
      </c>
      <c r="O30" s="33">
        <f>IF(tblRota[[#This Row],[Date]]="","",IFERROR(INDEX(tblCrews[People],MATCH(tblRota[[#This Row],[Night crew]],tblCrews[Crew],0)),0)-tblRota[[#This Row],[Night absent (people)]])</f>
        <v>12</v>
      </c>
      <c r="P30" s="33">
        <f>IF(tblRota[[#This Row],[Date]]="","",MIN(tblRota[[#This Row],[Day on shift (people)]],tblRota[[#This Row],[Night on shift (people)]]))</f>
        <v>11</v>
      </c>
      <c r="Q30" s="33">
        <f>IF(tblRota[[#This Row],[Date]]="","",ReqPerShift)</f>
        <v>11</v>
      </c>
      <c r="R30" s="39">
        <f>IF(tblRota[[#This Row],[Date]]="","",IF(tblRota[[#This Row],[Required (people)]]&gt;0,tblRota[[#This Row],[Fewest on shift (people)]]/tblRota[[#This Row],[Required (people)]],""))</f>
        <v>1</v>
      </c>
      <c r="S30" s="38" t="str">
        <f>IF(NOT(ISNUMBER(tblRota[[#This Row],[Lowest coverage]])),"",IF(tblRota[[#This Row],[Lowest coverage]]&gt;=TargetCover,"On target",IF(tblRota[[#This Row],[Lowest coverage]]&gt;=TargetCover*(1-0.05),"Near target","Below target")))</f>
        <v>On target</v>
      </c>
      <c r="T30" s="33">
        <f>IF(tblRota[[#This Row],[Date]]="","",(tblRota[[#This Row],[Day on shift (people)]]&lt;tblRota[[#This Row],[Required (people)]])+(tblRota[[#This Row],[Night on shift (people)]]&lt;tblRota[[#This Row],[Required (people)]]))</f>
        <v>0</v>
      </c>
      <c r="U30" s="38" t="str">
        <f>IF(tblRota[[#This Row],[Date]]="","",IF(WEEKDAY(tblRota[[#This Row],[Date]],2)&gt;5,"Yes","No"))</f>
        <v>No</v>
      </c>
      <c r="V30"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30" s="28" t="s">
        <v>135</v>
      </c>
    </row>
    <row r="31" spans="2:23">
      <c r="B31" s="29">
        <v>46325</v>
      </c>
      <c r="C31" s="38" t="str">
        <f>IF(tblRota[[#This Row],[Date]]="","",CHOOSE(WEEKDAY(tblRota[[#This Row],[Date]],2),"Mon","Tue","Wed","Thu","Fri","Sat","Sun"))</f>
        <v>Fri</v>
      </c>
      <c r="D31" s="28" t="s">
        <v>134</v>
      </c>
      <c r="E31" s="33">
        <f>IF(tblRota[[#This Row],[Date]]="","",MOD(tblRota[[#This Row],[Date]]-Anchor,CycleDays)+1)</f>
        <v>26</v>
      </c>
      <c r="F31" s="38" t="str">
        <f>IF(tblRota[[#This Row],[Date]]="","",IF(tblRota[[#This Row],[Cycle day]]="","",INDEX(tblPatterns[Active],MOD(tblRota[[#This Row],[Date]]-Anchor+CrewOffset*0,CycleDays)+1)))</f>
        <v>O</v>
      </c>
      <c r="G31" s="38" t="str">
        <f>IF(tblRota[[#This Row],[Date]]="","",IF(tblRota[[#This Row],[Cycle day]]="","",INDEX(tblPatterns[Active],MOD(tblRota[[#This Row],[Date]]-Anchor+CrewOffset*1,CycleDays)+1)))</f>
        <v>D</v>
      </c>
      <c r="H31" s="38" t="str">
        <f>IF(tblRota[[#This Row],[Date]]="","",IF(tblRota[[#This Row],[Cycle day]]="","",INDEX(tblPatterns[Active],MOD(tblRota[[#This Row],[Date]]-Anchor+CrewOffset*2,CycleDays)+1)))</f>
        <v>O</v>
      </c>
      <c r="I31" s="38" t="str">
        <f>IF(tblRota[[#This Row],[Date]]="","",IF(tblRota[[#This Row],[Cycle day]]="","",INDEX(tblPatterns[Active],MOD(tblRota[[#This Row],[Date]]-Anchor+CrewOffset*3,CycleDays)+1)))</f>
        <v>N</v>
      </c>
      <c r="J31" s="38" t="str">
        <f>IF(tblRota[[#This Row],[Date]]="","",IF(tblRota[[#This Row],[Crew A]]="D","A",IF(tblRota[[#This Row],[Crew B]]="D","B",IF(tblRota[[#This Row],[Crew C]]="D","C",IF(tblRota[[#This Row],[Crew D]]="D","D","")))))</f>
        <v>B</v>
      </c>
      <c r="K31" s="38" t="str">
        <f>IF(tblRota[[#This Row],[Date]]="","",IF(tblRota[[#This Row],[Crew A]]="N","A",IF(tblRota[[#This Row],[Crew B]]="N","B",IF(tblRota[[#This Row],[Crew C]]="N","C",IF(tblRota[[#This Row],[Crew D]]="N","D","")))))</f>
        <v>D</v>
      </c>
      <c r="L31" s="30">
        <v>0</v>
      </c>
      <c r="M31" s="30">
        <v>0</v>
      </c>
      <c r="N31" s="33">
        <f>IF(tblRota[[#This Row],[Date]]="","",IFERROR(INDEX(tblCrews[People],MATCH(tblRota[[#This Row],[Day crew]],tblCrews[Crew],0)),0)-tblRota[[#This Row],[Day absent (people)]])</f>
        <v>12</v>
      </c>
      <c r="O31" s="33">
        <f>IF(tblRota[[#This Row],[Date]]="","",IFERROR(INDEX(tblCrews[People],MATCH(tblRota[[#This Row],[Night crew]],tblCrews[Crew],0)),0)-tblRota[[#This Row],[Night absent (people)]])</f>
        <v>12</v>
      </c>
      <c r="P31" s="33">
        <f>IF(tblRota[[#This Row],[Date]]="","",MIN(tblRota[[#This Row],[Day on shift (people)]],tblRota[[#This Row],[Night on shift (people)]]))</f>
        <v>12</v>
      </c>
      <c r="Q31" s="33">
        <f>IF(tblRota[[#This Row],[Date]]="","",ReqPerShift)</f>
        <v>11</v>
      </c>
      <c r="R31" s="39">
        <f>IF(tblRota[[#This Row],[Date]]="","",IF(tblRota[[#This Row],[Required (people)]]&gt;0,tblRota[[#This Row],[Fewest on shift (people)]]/tblRota[[#This Row],[Required (people)]],""))</f>
        <v>1.09090909090909</v>
      </c>
      <c r="S31" s="38" t="str">
        <f>IF(NOT(ISNUMBER(tblRota[[#This Row],[Lowest coverage]])),"",IF(tblRota[[#This Row],[Lowest coverage]]&gt;=TargetCover,"On target",IF(tblRota[[#This Row],[Lowest coverage]]&gt;=TargetCover*(1-0.05),"Near target","Below target")))</f>
        <v>On target</v>
      </c>
      <c r="T31" s="33">
        <f>IF(tblRota[[#This Row],[Date]]="","",(tblRota[[#This Row],[Day on shift (people)]]&lt;tblRota[[#This Row],[Required (people)]])+(tblRota[[#This Row],[Night on shift (people)]]&lt;tblRota[[#This Row],[Required (people)]]))</f>
        <v>0</v>
      </c>
      <c r="U31" s="38" t="str">
        <f>IF(tblRota[[#This Row],[Date]]="","",IF(WEEKDAY(tblRota[[#This Row],[Date]],2)&gt;5,"Yes","No"))</f>
        <v>No</v>
      </c>
      <c r="V31"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31" s="28" t="s">
        <v>135</v>
      </c>
    </row>
    <row r="32" spans="2:23">
      <c r="B32" s="29">
        <v>46326</v>
      </c>
      <c r="C32" s="38" t="str">
        <f>IF(tblRota[[#This Row],[Date]]="","",CHOOSE(WEEKDAY(tblRota[[#This Row],[Date]],2),"Mon","Tue","Wed","Thu","Fri","Sat","Sun"))</f>
        <v>Sat</v>
      </c>
      <c r="D32" s="28" t="s">
        <v>134</v>
      </c>
      <c r="E32" s="33">
        <f>IF(tblRota[[#This Row],[Date]]="","",MOD(tblRota[[#This Row],[Date]]-Anchor,CycleDays)+1)</f>
        <v>27</v>
      </c>
      <c r="F32" s="38" t="str">
        <f>IF(tblRota[[#This Row],[Date]]="","",IF(tblRota[[#This Row],[Cycle day]]="","",INDEX(tblPatterns[Active],MOD(tblRota[[#This Row],[Date]]-Anchor+CrewOffset*0,CycleDays)+1)))</f>
        <v>O</v>
      </c>
      <c r="G32" s="38" t="str">
        <f>IF(tblRota[[#This Row],[Date]]="","",IF(tblRota[[#This Row],[Cycle day]]="","",INDEX(tblPatterns[Active],MOD(tblRota[[#This Row],[Date]]-Anchor+CrewOffset*1,CycleDays)+1)))</f>
        <v>D</v>
      </c>
      <c r="H32" s="38" t="str">
        <f>IF(tblRota[[#This Row],[Date]]="","",IF(tblRota[[#This Row],[Cycle day]]="","",INDEX(tblPatterns[Active],MOD(tblRota[[#This Row],[Date]]-Anchor+CrewOffset*2,CycleDays)+1)))</f>
        <v>O</v>
      </c>
      <c r="I32" s="38" t="str">
        <f>IF(tblRota[[#This Row],[Date]]="","",IF(tblRota[[#This Row],[Cycle day]]="","",INDEX(tblPatterns[Active],MOD(tblRota[[#This Row],[Date]]-Anchor+CrewOffset*3,CycleDays)+1)))</f>
        <v>N</v>
      </c>
      <c r="J32" s="38" t="str">
        <f>IF(tblRota[[#This Row],[Date]]="","",IF(tblRota[[#This Row],[Crew A]]="D","A",IF(tblRota[[#This Row],[Crew B]]="D","B",IF(tblRota[[#This Row],[Crew C]]="D","C",IF(tblRota[[#This Row],[Crew D]]="D","D","")))))</f>
        <v>B</v>
      </c>
      <c r="K32" s="38" t="str">
        <f>IF(tblRota[[#This Row],[Date]]="","",IF(tblRota[[#This Row],[Crew A]]="N","A",IF(tblRota[[#This Row],[Crew B]]="N","B",IF(tblRota[[#This Row],[Crew C]]="N","C",IF(tblRota[[#This Row],[Crew D]]="N","D","")))))</f>
        <v>D</v>
      </c>
      <c r="L32" s="30">
        <v>0</v>
      </c>
      <c r="M32" s="30">
        <v>0</v>
      </c>
      <c r="N32" s="33">
        <f>IF(tblRota[[#This Row],[Date]]="","",IFERROR(INDEX(tblCrews[People],MATCH(tblRota[[#This Row],[Day crew]],tblCrews[Crew],0)),0)-tblRota[[#This Row],[Day absent (people)]])</f>
        <v>12</v>
      </c>
      <c r="O32" s="33">
        <f>IF(tblRota[[#This Row],[Date]]="","",IFERROR(INDEX(tblCrews[People],MATCH(tblRota[[#This Row],[Night crew]],tblCrews[Crew],0)),0)-tblRota[[#This Row],[Night absent (people)]])</f>
        <v>12</v>
      </c>
      <c r="P32" s="33">
        <f>IF(tblRota[[#This Row],[Date]]="","",MIN(tblRota[[#This Row],[Day on shift (people)]],tblRota[[#This Row],[Night on shift (people)]]))</f>
        <v>12</v>
      </c>
      <c r="Q32" s="33">
        <f>IF(tblRota[[#This Row],[Date]]="","",ReqPerShift)</f>
        <v>11</v>
      </c>
      <c r="R32" s="39">
        <f>IF(tblRota[[#This Row],[Date]]="","",IF(tblRota[[#This Row],[Required (people)]]&gt;0,tblRota[[#This Row],[Fewest on shift (people)]]/tblRota[[#This Row],[Required (people)]],""))</f>
        <v>1.09090909090909</v>
      </c>
      <c r="S32" s="38" t="str">
        <f>IF(NOT(ISNUMBER(tblRota[[#This Row],[Lowest coverage]])),"",IF(tblRota[[#This Row],[Lowest coverage]]&gt;=TargetCover,"On target",IF(tblRota[[#This Row],[Lowest coverage]]&gt;=TargetCover*(1-0.05),"Near target","Below target")))</f>
        <v>On target</v>
      </c>
      <c r="T32" s="33">
        <f>IF(tblRota[[#This Row],[Date]]="","",(tblRota[[#This Row],[Day on shift (people)]]&lt;tblRota[[#This Row],[Required (people)]])+(tblRota[[#This Row],[Night on shift (people)]]&lt;tblRota[[#This Row],[Required (people)]]))</f>
        <v>0</v>
      </c>
      <c r="U32" s="38" t="str">
        <f>IF(tblRota[[#This Row],[Date]]="","",IF(WEEKDAY(tblRota[[#This Row],[Date]],2)&gt;5,"Yes","No"))</f>
        <v>Yes</v>
      </c>
      <c r="V32"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32" s="28" t="s">
        <v>135</v>
      </c>
    </row>
    <row r="33" spans="2:23">
      <c r="B33" s="29">
        <v>46327</v>
      </c>
      <c r="C33" s="38" t="str">
        <f>IF(tblRota[[#This Row],[Date]]="","",CHOOSE(WEEKDAY(tblRota[[#This Row],[Date]],2),"Mon","Tue","Wed","Thu","Fri","Sat","Sun"))</f>
        <v>Sun</v>
      </c>
      <c r="D33" s="28" t="s">
        <v>134</v>
      </c>
      <c r="E33" s="33">
        <f>IF(tblRota[[#This Row],[Date]]="","",MOD(tblRota[[#This Row],[Date]]-Anchor,CycleDays)+1)</f>
        <v>28</v>
      </c>
      <c r="F33" s="38" t="str">
        <f>IF(tblRota[[#This Row],[Date]]="","",IF(tblRota[[#This Row],[Cycle day]]="","",INDEX(tblPatterns[Active],MOD(tblRota[[#This Row],[Date]]-Anchor+CrewOffset*0,CycleDays)+1)))</f>
        <v>O</v>
      </c>
      <c r="G33" s="38" t="str">
        <f>IF(tblRota[[#This Row],[Date]]="","",IF(tblRota[[#This Row],[Cycle day]]="","",INDEX(tblPatterns[Active],MOD(tblRota[[#This Row],[Date]]-Anchor+CrewOffset*1,CycleDays)+1)))</f>
        <v>D</v>
      </c>
      <c r="H33" s="38" t="str">
        <f>IF(tblRota[[#This Row],[Date]]="","",IF(tblRota[[#This Row],[Cycle day]]="","",INDEX(tblPatterns[Active],MOD(tblRota[[#This Row],[Date]]-Anchor+CrewOffset*2,CycleDays)+1)))</f>
        <v>O</v>
      </c>
      <c r="I33" s="38" t="str">
        <f>IF(tblRota[[#This Row],[Date]]="","",IF(tblRota[[#This Row],[Cycle day]]="","",INDEX(tblPatterns[Active],MOD(tblRota[[#This Row],[Date]]-Anchor+CrewOffset*3,CycleDays)+1)))</f>
        <v>N</v>
      </c>
      <c r="J33" s="38" t="str">
        <f>IF(tblRota[[#This Row],[Date]]="","",IF(tblRota[[#This Row],[Crew A]]="D","A",IF(tblRota[[#This Row],[Crew B]]="D","B",IF(tblRota[[#This Row],[Crew C]]="D","C",IF(tblRota[[#This Row],[Crew D]]="D","D","")))))</f>
        <v>B</v>
      </c>
      <c r="K33" s="38" t="str">
        <f>IF(tblRota[[#This Row],[Date]]="","",IF(tblRota[[#This Row],[Crew A]]="N","A",IF(tblRota[[#This Row],[Crew B]]="N","B",IF(tblRota[[#This Row],[Crew C]]="N","C",IF(tblRota[[#This Row],[Crew D]]="N","D","")))))</f>
        <v>D</v>
      </c>
      <c r="L33" s="30">
        <v>0</v>
      </c>
      <c r="M33" s="30">
        <v>0</v>
      </c>
      <c r="N33" s="33">
        <f>IF(tblRota[[#This Row],[Date]]="","",IFERROR(INDEX(tblCrews[People],MATCH(tblRota[[#This Row],[Day crew]],tblCrews[Crew],0)),0)-tblRota[[#This Row],[Day absent (people)]])</f>
        <v>12</v>
      </c>
      <c r="O33" s="33">
        <f>IF(tblRota[[#This Row],[Date]]="","",IFERROR(INDEX(tblCrews[People],MATCH(tblRota[[#This Row],[Night crew]],tblCrews[Crew],0)),0)-tblRota[[#This Row],[Night absent (people)]])</f>
        <v>12</v>
      </c>
      <c r="P33" s="33">
        <f>IF(tblRota[[#This Row],[Date]]="","",MIN(tblRota[[#This Row],[Day on shift (people)]],tblRota[[#This Row],[Night on shift (people)]]))</f>
        <v>12</v>
      </c>
      <c r="Q33" s="33">
        <f>IF(tblRota[[#This Row],[Date]]="","",ReqPerShift)</f>
        <v>11</v>
      </c>
      <c r="R33" s="39">
        <f>IF(tblRota[[#This Row],[Date]]="","",IF(tblRota[[#This Row],[Required (people)]]&gt;0,tblRota[[#This Row],[Fewest on shift (people)]]/tblRota[[#This Row],[Required (people)]],""))</f>
        <v>1.09090909090909</v>
      </c>
      <c r="S33" s="38" t="str">
        <f>IF(NOT(ISNUMBER(tblRota[[#This Row],[Lowest coverage]])),"",IF(tblRota[[#This Row],[Lowest coverage]]&gt;=TargetCover,"On target",IF(tblRota[[#This Row],[Lowest coverage]]&gt;=TargetCover*(1-0.05),"Near target","Below target")))</f>
        <v>On target</v>
      </c>
      <c r="T33" s="33">
        <f>IF(tblRota[[#This Row],[Date]]="","",(tblRota[[#This Row],[Day on shift (people)]]&lt;tblRota[[#This Row],[Required (people)]])+(tblRota[[#This Row],[Night on shift (people)]]&lt;tblRota[[#This Row],[Required (people)]]))</f>
        <v>0</v>
      </c>
      <c r="U33" s="38" t="str">
        <f>IF(tblRota[[#This Row],[Date]]="","",IF(WEEKDAY(tblRota[[#This Row],[Date]],2)&gt;5,"Yes","No"))</f>
        <v>Yes</v>
      </c>
      <c r="V33"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33" s="28" t="s">
        <v>135</v>
      </c>
    </row>
    <row r="34" spans="2:23">
      <c r="B34" s="29">
        <v>46328</v>
      </c>
      <c r="C34" s="38" t="str">
        <f>IF(tblRota[[#This Row],[Date]]="","",CHOOSE(WEEKDAY(tblRota[[#This Row],[Date]],2),"Mon","Tue","Wed","Thu","Fri","Sat","Sun"))</f>
        <v>Mon</v>
      </c>
      <c r="D34" s="28" t="s">
        <v>134</v>
      </c>
      <c r="E34" s="33">
        <f>IF(tblRota[[#This Row],[Date]]="","",MOD(tblRota[[#This Row],[Date]]-Anchor,CycleDays)+1)</f>
        <v>1</v>
      </c>
      <c r="F34" s="38" t="str">
        <f>IF(tblRota[[#This Row],[Date]]="","",IF(tblRota[[#This Row],[Cycle day]]="","",INDEX(tblPatterns[Active],MOD(tblRota[[#This Row],[Date]]-Anchor+CrewOffset*0,CycleDays)+1)))</f>
        <v>D</v>
      </c>
      <c r="G34" s="38" t="str">
        <f>IF(tblRota[[#This Row],[Date]]="","",IF(tblRota[[#This Row],[Cycle day]]="","",INDEX(tblPatterns[Active],MOD(tblRota[[#This Row],[Date]]-Anchor+CrewOffset*1,CycleDays)+1)))</f>
        <v>O</v>
      </c>
      <c r="H34" s="38" t="str">
        <f>IF(tblRota[[#This Row],[Date]]="","",IF(tblRota[[#This Row],[Cycle day]]="","",INDEX(tblPatterns[Active],MOD(tblRota[[#This Row],[Date]]-Anchor+CrewOffset*2,CycleDays)+1)))</f>
        <v>N</v>
      </c>
      <c r="I34" s="38" t="str">
        <f>IF(tblRota[[#This Row],[Date]]="","",IF(tblRota[[#This Row],[Cycle day]]="","",INDEX(tblPatterns[Active],MOD(tblRota[[#This Row],[Date]]-Anchor+CrewOffset*3,CycleDays)+1)))</f>
        <v>O</v>
      </c>
      <c r="J34" s="38" t="str">
        <f>IF(tblRota[[#This Row],[Date]]="","",IF(tblRota[[#This Row],[Crew A]]="D","A",IF(tblRota[[#This Row],[Crew B]]="D","B",IF(tblRota[[#This Row],[Crew C]]="D","C",IF(tblRota[[#This Row],[Crew D]]="D","D","")))))</f>
        <v>A</v>
      </c>
      <c r="K34" s="38" t="str">
        <f>IF(tblRota[[#This Row],[Date]]="","",IF(tblRota[[#This Row],[Crew A]]="N","A",IF(tblRota[[#This Row],[Crew B]]="N","B",IF(tblRota[[#This Row],[Crew C]]="N","C",IF(tblRota[[#This Row],[Crew D]]="N","D","")))))</f>
        <v>C</v>
      </c>
      <c r="L34" s="30">
        <v>0</v>
      </c>
      <c r="M34" s="30">
        <v>0</v>
      </c>
      <c r="N34" s="33">
        <f>IF(tblRota[[#This Row],[Date]]="","",IFERROR(INDEX(tblCrews[People],MATCH(tblRota[[#This Row],[Day crew]],tblCrews[Crew],0)),0)-tblRota[[#This Row],[Day absent (people)]])</f>
        <v>12</v>
      </c>
      <c r="O34" s="33">
        <f>IF(tblRota[[#This Row],[Date]]="","",IFERROR(INDEX(tblCrews[People],MATCH(tblRota[[#This Row],[Night crew]],tblCrews[Crew],0)),0)-tblRota[[#This Row],[Night absent (people)]])</f>
        <v>11</v>
      </c>
      <c r="P34" s="33">
        <f>IF(tblRota[[#This Row],[Date]]="","",MIN(tblRota[[#This Row],[Day on shift (people)]],tblRota[[#This Row],[Night on shift (people)]]))</f>
        <v>11</v>
      </c>
      <c r="Q34" s="33">
        <f>IF(tblRota[[#This Row],[Date]]="","",ReqPerShift)</f>
        <v>11</v>
      </c>
      <c r="R34" s="39">
        <f>IF(tblRota[[#This Row],[Date]]="","",IF(tblRota[[#This Row],[Required (people)]]&gt;0,tblRota[[#This Row],[Fewest on shift (people)]]/tblRota[[#This Row],[Required (people)]],""))</f>
        <v>1</v>
      </c>
      <c r="S34" s="38" t="str">
        <f>IF(NOT(ISNUMBER(tblRota[[#This Row],[Lowest coverage]])),"",IF(tblRota[[#This Row],[Lowest coverage]]&gt;=TargetCover,"On target",IF(tblRota[[#This Row],[Lowest coverage]]&gt;=TargetCover*(1-0.05),"Near target","Below target")))</f>
        <v>On target</v>
      </c>
      <c r="T34" s="33">
        <f>IF(tblRota[[#This Row],[Date]]="","",(tblRota[[#This Row],[Day on shift (people)]]&lt;tblRota[[#This Row],[Required (people)]])+(tblRota[[#This Row],[Night on shift (people)]]&lt;tblRota[[#This Row],[Required (people)]]))</f>
        <v>0</v>
      </c>
      <c r="U34" s="38" t="str">
        <f>IF(tblRota[[#This Row],[Date]]="","",IF(WEEKDAY(tblRota[[#This Row],[Date]],2)&gt;5,"Yes","No"))</f>
        <v>No</v>
      </c>
      <c r="V34"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34" s="28" t="s">
        <v>135</v>
      </c>
    </row>
    <row r="35" spans="2:23">
      <c r="B35" s="29">
        <v>46329</v>
      </c>
      <c r="C35" s="38" t="str">
        <f>IF(tblRota[[#This Row],[Date]]="","",CHOOSE(WEEKDAY(tblRota[[#This Row],[Date]],2),"Mon","Tue","Wed","Thu","Fri","Sat","Sun"))</f>
        <v>Tue</v>
      </c>
      <c r="D35" s="28" t="s">
        <v>134</v>
      </c>
      <c r="E35" s="33">
        <f>IF(tblRota[[#This Row],[Date]]="","",MOD(tblRota[[#This Row],[Date]]-Anchor,CycleDays)+1)</f>
        <v>2</v>
      </c>
      <c r="F35" s="38" t="str">
        <f>IF(tblRota[[#This Row],[Date]]="","",IF(tblRota[[#This Row],[Cycle day]]="","",INDEX(tblPatterns[Active],MOD(tblRota[[#This Row],[Date]]-Anchor+CrewOffset*0,CycleDays)+1)))</f>
        <v>D</v>
      </c>
      <c r="G35" s="38" t="str">
        <f>IF(tblRota[[#This Row],[Date]]="","",IF(tblRota[[#This Row],[Cycle day]]="","",INDEX(tblPatterns[Active],MOD(tblRota[[#This Row],[Date]]-Anchor+CrewOffset*1,CycleDays)+1)))</f>
        <v>O</v>
      </c>
      <c r="H35" s="38" t="str">
        <f>IF(tblRota[[#This Row],[Date]]="","",IF(tblRota[[#This Row],[Cycle day]]="","",INDEX(tblPatterns[Active],MOD(tblRota[[#This Row],[Date]]-Anchor+CrewOffset*2,CycleDays)+1)))</f>
        <v>N</v>
      </c>
      <c r="I35" s="38" t="str">
        <f>IF(tblRota[[#This Row],[Date]]="","",IF(tblRota[[#This Row],[Cycle day]]="","",INDEX(tblPatterns[Active],MOD(tblRota[[#This Row],[Date]]-Anchor+CrewOffset*3,CycleDays)+1)))</f>
        <v>O</v>
      </c>
      <c r="J35" s="38" t="str">
        <f>IF(tblRota[[#This Row],[Date]]="","",IF(tblRota[[#This Row],[Crew A]]="D","A",IF(tblRota[[#This Row],[Crew B]]="D","B",IF(tblRota[[#This Row],[Crew C]]="D","C",IF(tblRota[[#This Row],[Crew D]]="D","D","")))))</f>
        <v>A</v>
      </c>
      <c r="K35" s="38" t="str">
        <f>IF(tblRota[[#This Row],[Date]]="","",IF(tblRota[[#This Row],[Crew A]]="N","A",IF(tblRota[[#This Row],[Crew B]]="N","B",IF(tblRota[[#This Row],[Crew C]]="N","C",IF(tblRota[[#This Row],[Crew D]]="N","D","")))))</f>
        <v>C</v>
      </c>
      <c r="L35" s="30">
        <v>0</v>
      </c>
      <c r="M35" s="30">
        <v>0</v>
      </c>
      <c r="N35" s="33">
        <f>IF(tblRota[[#This Row],[Date]]="","",IFERROR(INDEX(tblCrews[People],MATCH(tblRota[[#This Row],[Day crew]],tblCrews[Crew],0)),0)-tblRota[[#This Row],[Day absent (people)]])</f>
        <v>12</v>
      </c>
      <c r="O35" s="33">
        <f>IF(tblRota[[#This Row],[Date]]="","",IFERROR(INDEX(tblCrews[People],MATCH(tblRota[[#This Row],[Night crew]],tblCrews[Crew],0)),0)-tblRota[[#This Row],[Night absent (people)]])</f>
        <v>11</v>
      </c>
      <c r="P35" s="33">
        <f>IF(tblRota[[#This Row],[Date]]="","",MIN(tblRota[[#This Row],[Day on shift (people)]],tblRota[[#This Row],[Night on shift (people)]]))</f>
        <v>11</v>
      </c>
      <c r="Q35" s="33">
        <f>IF(tblRota[[#This Row],[Date]]="","",ReqPerShift)</f>
        <v>11</v>
      </c>
      <c r="R35" s="39">
        <f>IF(tblRota[[#This Row],[Date]]="","",IF(tblRota[[#This Row],[Required (people)]]&gt;0,tblRota[[#This Row],[Fewest on shift (people)]]/tblRota[[#This Row],[Required (people)]],""))</f>
        <v>1</v>
      </c>
      <c r="S35" s="38" t="str">
        <f>IF(NOT(ISNUMBER(tblRota[[#This Row],[Lowest coverage]])),"",IF(tblRota[[#This Row],[Lowest coverage]]&gt;=TargetCover,"On target",IF(tblRota[[#This Row],[Lowest coverage]]&gt;=TargetCover*(1-0.05),"Near target","Below target")))</f>
        <v>On target</v>
      </c>
      <c r="T35" s="33">
        <f>IF(tblRota[[#This Row],[Date]]="","",(tblRota[[#This Row],[Day on shift (people)]]&lt;tblRota[[#This Row],[Required (people)]])+(tblRota[[#This Row],[Night on shift (people)]]&lt;tblRota[[#This Row],[Required (people)]]))</f>
        <v>0</v>
      </c>
      <c r="U35" s="38" t="str">
        <f>IF(tblRota[[#This Row],[Date]]="","",IF(WEEKDAY(tblRota[[#This Row],[Date]],2)&gt;5,"Yes","No"))</f>
        <v>No</v>
      </c>
      <c r="V35"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35" s="28" t="s">
        <v>135</v>
      </c>
    </row>
    <row r="36" spans="2:23">
      <c r="B36" s="29">
        <v>46330</v>
      </c>
      <c r="C36" s="38" t="str">
        <f>IF(tblRota[[#This Row],[Date]]="","",CHOOSE(WEEKDAY(tblRota[[#This Row],[Date]],2),"Mon","Tue","Wed","Thu","Fri","Sat","Sun"))</f>
        <v>Wed</v>
      </c>
      <c r="D36" s="28" t="s">
        <v>134</v>
      </c>
      <c r="E36" s="33">
        <f>IF(tblRota[[#This Row],[Date]]="","",MOD(tblRota[[#This Row],[Date]]-Anchor,CycleDays)+1)</f>
        <v>3</v>
      </c>
      <c r="F36" s="38" t="str">
        <f>IF(tblRota[[#This Row],[Date]]="","",IF(tblRota[[#This Row],[Cycle day]]="","",INDEX(tblPatterns[Active],MOD(tblRota[[#This Row],[Date]]-Anchor+CrewOffset*0,CycleDays)+1)))</f>
        <v>O</v>
      </c>
      <c r="G36" s="38" t="str">
        <f>IF(tblRota[[#This Row],[Date]]="","",IF(tblRota[[#This Row],[Cycle day]]="","",INDEX(tblPatterns[Active],MOD(tblRota[[#This Row],[Date]]-Anchor+CrewOffset*1,CycleDays)+1)))</f>
        <v>D</v>
      </c>
      <c r="H36" s="38" t="str">
        <f>IF(tblRota[[#This Row],[Date]]="","",IF(tblRota[[#This Row],[Cycle day]]="","",INDEX(tblPatterns[Active],MOD(tblRota[[#This Row],[Date]]-Anchor+CrewOffset*2,CycleDays)+1)))</f>
        <v>O</v>
      </c>
      <c r="I36" s="38" t="str">
        <f>IF(tblRota[[#This Row],[Date]]="","",IF(tblRota[[#This Row],[Cycle day]]="","",INDEX(tblPatterns[Active],MOD(tblRota[[#This Row],[Date]]-Anchor+CrewOffset*3,CycleDays)+1)))</f>
        <v>N</v>
      </c>
      <c r="J36" s="38" t="str">
        <f>IF(tblRota[[#This Row],[Date]]="","",IF(tblRota[[#This Row],[Crew A]]="D","A",IF(tblRota[[#This Row],[Crew B]]="D","B",IF(tblRota[[#This Row],[Crew C]]="D","C",IF(tblRota[[#This Row],[Crew D]]="D","D","")))))</f>
        <v>B</v>
      </c>
      <c r="K36" s="38" t="str">
        <f>IF(tblRota[[#This Row],[Date]]="","",IF(tblRota[[#This Row],[Crew A]]="N","A",IF(tblRota[[#This Row],[Crew B]]="N","B",IF(tblRota[[#This Row],[Crew C]]="N","C",IF(tblRota[[#This Row],[Crew D]]="N","D","")))))</f>
        <v>D</v>
      </c>
      <c r="L36" s="30">
        <v>0</v>
      </c>
      <c r="M36" s="30">
        <v>2</v>
      </c>
      <c r="N36" s="33">
        <f>IF(tblRota[[#This Row],[Date]]="","",IFERROR(INDEX(tblCrews[People],MATCH(tblRota[[#This Row],[Day crew]],tblCrews[Crew],0)),0)-tblRota[[#This Row],[Day absent (people)]])</f>
        <v>12</v>
      </c>
      <c r="O36" s="33">
        <f>IF(tblRota[[#This Row],[Date]]="","",IFERROR(INDEX(tblCrews[People],MATCH(tblRota[[#This Row],[Night crew]],tblCrews[Crew],0)),0)-tblRota[[#This Row],[Night absent (people)]])</f>
        <v>10</v>
      </c>
      <c r="P36" s="33">
        <f>IF(tblRota[[#This Row],[Date]]="","",MIN(tblRota[[#This Row],[Day on shift (people)]],tblRota[[#This Row],[Night on shift (people)]]))</f>
        <v>10</v>
      </c>
      <c r="Q36" s="33">
        <f>IF(tblRota[[#This Row],[Date]]="","",ReqPerShift)</f>
        <v>11</v>
      </c>
      <c r="R36" s="39">
        <f>IF(tblRota[[#This Row],[Date]]="","",IF(tblRota[[#This Row],[Required (people)]]&gt;0,tblRota[[#This Row],[Fewest on shift (people)]]/tblRota[[#This Row],[Required (people)]],""))</f>
        <v>0.909090909090909</v>
      </c>
      <c r="S36" s="38" t="str">
        <f>IF(NOT(ISNUMBER(tblRota[[#This Row],[Lowest coverage]])),"",IF(tblRota[[#This Row],[Lowest coverage]]&gt;=TargetCover,"On target",IF(tblRota[[#This Row],[Lowest coverage]]&gt;=TargetCover*(1-0.05),"Near target","Below target")))</f>
        <v>Below target</v>
      </c>
      <c r="T36" s="33">
        <f>IF(tblRota[[#This Row],[Date]]="","",(tblRota[[#This Row],[Day on shift (people)]]&lt;tblRota[[#This Row],[Required (people)]])+(tblRota[[#This Row],[Night on shift (people)]]&lt;tblRota[[#This Row],[Required (people)]]))</f>
        <v>1</v>
      </c>
      <c r="U36" s="38" t="str">
        <f>IF(tblRota[[#This Row],[Date]]="","",IF(WEEKDAY(tblRota[[#This Row],[Date]],2)&gt;5,"Yes","No"))</f>
        <v>No</v>
      </c>
      <c r="V36"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36" s="28" t="s">
        <v>135</v>
      </c>
    </row>
    <row r="37" spans="2:23">
      <c r="B37" s="29">
        <v>46331</v>
      </c>
      <c r="C37" s="38" t="str">
        <f>IF(tblRota[[#This Row],[Date]]="","",CHOOSE(WEEKDAY(tblRota[[#This Row],[Date]],2),"Mon","Tue","Wed","Thu","Fri","Sat","Sun"))</f>
        <v>Thu</v>
      </c>
      <c r="D37" s="28" t="s">
        <v>134</v>
      </c>
      <c r="E37" s="33">
        <f>IF(tblRota[[#This Row],[Date]]="","",MOD(tblRota[[#This Row],[Date]]-Anchor,CycleDays)+1)</f>
        <v>4</v>
      </c>
      <c r="F37" s="38" t="str">
        <f>IF(tblRota[[#This Row],[Date]]="","",IF(tblRota[[#This Row],[Cycle day]]="","",INDEX(tblPatterns[Active],MOD(tblRota[[#This Row],[Date]]-Anchor+CrewOffset*0,CycleDays)+1)))</f>
        <v>O</v>
      </c>
      <c r="G37" s="38" t="str">
        <f>IF(tblRota[[#This Row],[Date]]="","",IF(tblRota[[#This Row],[Cycle day]]="","",INDEX(tblPatterns[Active],MOD(tblRota[[#This Row],[Date]]-Anchor+CrewOffset*1,CycleDays)+1)))</f>
        <v>D</v>
      </c>
      <c r="H37" s="38" t="str">
        <f>IF(tblRota[[#This Row],[Date]]="","",IF(tblRota[[#This Row],[Cycle day]]="","",INDEX(tblPatterns[Active],MOD(tblRota[[#This Row],[Date]]-Anchor+CrewOffset*2,CycleDays)+1)))</f>
        <v>O</v>
      </c>
      <c r="I37" s="38" t="str">
        <f>IF(tblRota[[#This Row],[Date]]="","",IF(tblRota[[#This Row],[Cycle day]]="","",INDEX(tblPatterns[Active],MOD(tblRota[[#This Row],[Date]]-Anchor+CrewOffset*3,CycleDays)+1)))</f>
        <v>N</v>
      </c>
      <c r="J37" s="38" t="str">
        <f>IF(tblRota[[#This Row],[Date]]="","",IF(tblRota[[#This Row],[Crew A]]="D","A",IF(tblRota[[#This Row],[Crew B]]="D","B",IF(tblRota[[#This Row],[Crew C]]="D","C",IF(tblRota[[#This Row],[Crew D]]="D","D","")))))</f>
        <v>B</v>
      </c>
      <c r="K37" s="38" t="str">
        <f>IF(tblRota[[#This Row],[Date]]="","",IF(tblRota[[#This Row],[Crew A]]="N","A",IF(tblRota[[#This Row],[Crew B]]="N","B",IF(tblRota[[#This Row],[Crew C]]="N","C",IF(tblRota[[#This Row],[Crew D]]="N","D","")))))</f>
        <v>D</v>
      </c>
      <c r="L37" s="30">
        <v>0</v>
      </c>
      <c r="M37" s="30">
        <v>0</v>
      </c>
      <c r="N37" s="33">
        <f>IF(tblRota[[#This Row],[Date]]="","",IFERROR(INDEX(tblCrews[People],MATCH(tblRota[[#This Row],[Day crew]],tblCrews[Crew],0)),0)-tblRota[[#This Row],[Day absent (people)]])</f>
        <v>12</v>
      </c>
      <c r="O37" s="33">
        <f>IF(tblRota[[#This Row],[Date]]="","",IFERROR(INDEX(tblCrews[People],MATCH(tblRota[[#This Row],[Night crew]],tblCrews[Crew],0)),0)-tblRota[[#This Row],[Night absent (people)]])</f>
        <v>12</v>
      </c>
      <c r="P37" s="33">
        <f>IF(tblRota[[#This Row],[Date]]="","",MIN(tblRota[[#This Row],[Day on shift (people)]],tblRota[[#This Row],[Night on shift (people)]]))</f>
        <v>12</v>
      </c>
      <c r="Q37" s="33">
        <f>IF(tblRota[[#This Row],[Date]]="","",ReqPerShift)</f>
        <v>11</v>
      </c>
      <c r="R37" s="39">
        <f>IF(tblRota[[#This Row],[Date]]="","",IF(tblRota[[#This Row],[Required (people)]]&gt;0,tblRota[[#This Row],[Fewest on shift (people)]]/tblRota[[#This Row],[Required (people)]],""))</f>
        <v>1.09090909090909</v>
      </c>
      <c r="S37" s="38" t="str">
        <f>IF(NOT(ISNUMBER(tblRota[[#This Row],[Lowest coverage]])),"",IF(tblRota[[#This Row],[Lowest coverage]]&gt;=TargetCover,"On target",IF(tblRota[[#This Row],[Lowest coverage]]&gt;=TargetCover*(1-0.05),"Near target","Below target")))</f>
        <v>On target</v>
      </c>
      <c r="T37" s="33">
        <f>IF(tblRota[[#This Row],[Date]]="","",(tblRota[[#This Row],[Day on shift (people)]]&lt;tblRota[[#This Row],[Required (people)]])+(tblRota[[#This Row],[Night on shift (people)]]&lt;tblRota[[#This Row],[Required (people)]]))</f>
        <v>0</v>
      </c>
      <c r="U37" s="38" t="str">
        <f>IF(tblRota[[#This Row],[Date]]="","",IF(WEEKDAY(tblRota[[#This Row],[Date]],2)&gt;5,"Yes","No"))</f>
        <v>No</v>
      </c>
      <c r="V37"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37" s="28" t="s">
        <v>135</v>
      </c>
    </row>
    <row r="38" spans="2:23">
      <c r="B38" s="29">
        <v>46332</v>
      </c>
      <c r="C38" s="38" t="str">
        <f>IF(tblRota[[#This Row],[Date]]="","",CHOOSE(WEEKDAY(tblRota[[#This Row],[Date]],2),"Mon","Tue","Wed","Thu","Fri","Sat","Sun"))</f>
        <v>Fri</v>
      </c>
      <c r="D38" s="28" t="s">
        <v>134</v>
      </c>
      <c r="E38" s="33">
        <f>IF(tblRota[[#This Row],[Date]]="","",MOD(tblRota[[#This Row],[Date]]-Anchor,CycleDays)+1)</f>
        <v>5</v>
      </c>
      <c r="F38" s="38" t="str">
        <f>IF(tblRota[[#This Row],[Date]]="","",IF(tblRota[[#This Row],[Cycle day]]="","",INDEX(tblPatterns[Active],MOD(tblRota[[#This Row],[Date]]-Anchor+CrewOffset*0,CycleDays)+1)))</f>
        <v>D</v>
      </c>
      <c r="G38" s="38" t="str">
        <f>IF(tblRota[[#This Row],[Date]]="","",IF(tblRota[[#This Row],[Cycle day]]="","",INDEX(tblPatterns[Active],MOD(tblRota[[#This Row],[Date]]-Anchor+CrewOffset*1,CycleDays)+1)))</f>
        <v>O</v>
      </c>
      <c r="H38" s="38" t="str">
        <f>IF(tblRota[[#This Row],[Date]]="","",IF(tblRota[[#This Row],[Cycle day]]="","",INDEX(tblPatterns[Active],MOD(tblRota[[#This Row],[Date]]-Anchor+CrewOffset*2,CycleDays)+1)))</f>
        <v>N</v>
      </c>
      <c r="I38" s="38" t="str">
        <f>IF(tblRota[[#This Row],[Date]]="","",IF(tblRota[[#This Row],[Cycle day]]="","",INDEX(tblPatterns[Active],MOD(tblRota[[#This Row],[Date]]-Anchor+CrewOffset*3,CycleDays)+1)))</f>
        <v>O</v>
      </c>
      <c r="J38" s="38" t="str">
        <f>IF(tblRota[[#This Row],[Date]]="","",IF(tblRota[[#This Row],[Crew A]]="D","A",IF(tblRota[[#This Row],[Crew B]]="D","B",IF(tblRota[[#This Row],[Crew C]]="D","C",IF(tblRota[[#This Row],[Crew D]]="D","D","")))))</f>
        <v>A</v>
      </c>
      <c r="K38" s="38" t="str">
        <f>IF(tblRota[[#This Row],[Date]]="","",IF(tblRota[[#This Row],[Crew A]]="N","A",IF(tblRota[[#This Row],[Crew B]]="N","B",IF(tblRota[[#This Row],[Crew C]]="N","C",IF(tblRota[[#This Row],[Crew D]]="N","D","")))))</f>
        <v>C</v>
      </c>
      <c r="L38" s="30">
        <v>1</v>
      </c>
      <c r="M38" s="30">
        <v>0</v>
      </c>
      <c r="N38" s="33">
        <f>IF(tblRota[[#This Row],[Date]]="","",IFERROR(INDEX(tblCrews[People],MATCH(tblRota[[#This Row],[Day crew]],tblCrews[Crew],0)),0)-tblRota[[#This Row],[Day absent (people)]])</f>
        <v>11</v>
      </c>
      <c r="O38" s="33">
        <f>IF(tblRota[[#This Row],[Date]]="","",IFERROR(INDEX(tblCrews[People],MATCH(tblRota[[#This Row],[Night crew]],tblCrews[Crew],0)),0)-tblRota[[#This Row],[Night absent (people)]])</f>
        <v>11</v>
      </c>
      <c r="P38" s="33">
        <f>IF(tblRota[[#This Row],[Date]]="","",MIN(tblRota[[#This Row],[Day on shift (people)]],tblRota[[#This Row],[Night on shift (people)]]))</f>
        <v>11</v>
      </c>
      <c r="Q38" s="33">
        <f>IF(tblRota[[#This Row],[Date]]="","",ReqPerShift)</f>
        <v>11</v>
      </c>
      <c r="R38" s="39">
        <f>IF(tblRota[[#This Row],[Date]]="","",IF(tblRota[[#This Row],[Required (people)]]&gt;0,tblRota[[#This Row],[Fewest on shift (people)]]/tblRota[[#This Row],[Required (people)]],""))</f>
        <v>1</v>
      </c>
      <c r="S38" s="38" t="str">
        <f>IF(NOT(ISNUMBER(tblRota[[#This Row],[Lowest coverage]])),"",IF(tblRota[[#This Row],[Lowest coverage]]&gt;=TargetCover,"On target",IF(tblRota[[#This Row],[Lowest coverage]]&gt;=TargetCover*(1-0.05),"Near target","Below target")))</f>
        <v>On target</v>
      </c>
      <c r="T38" s="33">
        <f>IF(tblRota[[#This Row],[Date]]="","",(tblRota[[#This Row],[Day on shift (people)]]&lt;tblRota[[#This Row],[Required (people)]])+(tblRota[[#This Row],[Night on shift (people)]]&lt;tblRota[[#This Row],[Required (people)]]))</f>
        <v>0</v>
      </c>
      <c r="U38" s="38" t="str">
        <f>IF(tblRota[[#This Row],[Date]]="","",IF(WEEKDAY(tblRota[[#This Row],[Date]],2)&gt;5,"Yes","No"))</f>
        <v>No</v>
      </c>
      <c r="V38"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38" s="28" t="s">
        <v>135</v>
      </c>
    </row>
    <row r="39" spans="2:23">
      <c r="B39" s="29">
        <v>46333</v>
      </c>
      <c r="C39" s="38" t="str">
        <f>IF(tblRota[[#This Row],[Date]]="","",CHOOSE(WEEKDAY(tblRota[[#This Row],[Date]],2),"Mon","Tue","Wed","Thu","Fri","Sat","Sun"))</f>
        <v>Sat</v>
      </c>
      <c r="D39" s="28" t="s">
        <v>134</v>
      </c>
      <c r="E39" s="33">
        <f>IF(tblRota[[#This Row],[Date]]="","",MOD(tblRota[[#This Row],[Date]]-Anchor,CycleDays)+1)</f>
        <v>6</v>
      </c>
      <c r="F39" s="38" t="str">
        <f>IF(tblRota[[#This Row],[Date]]="","",IF(tblRota[[#This Row],[Cycle day]]="","",INDEX(tblPatterns[Active],MOD(tblRota[[#This Row],[Date]]-Anchor+CrewOffset*0,CycleDays)+1)))</f>
        <v>D</v>
      </c>
      <c r="G39" s="38" t="str">
        <f>IF(tblRota[[#This Row],[Date]]="","",IF(tblRota[[#This Row],[Cycle day]]="","",INDEX(tblPatterns[Active],MOD(tblRota[[#This Row],[Date]]-Anchor+CrewOffset*1,CycleDays)+1)))</f>
        <v>O</v>
      </c>
      <c r="H39" s="38" t="str">
        <f>IF(tblRota[[#This Row],[Date]]="","",IF(tblRota[[#This Row],[Cycle day]]="","",INDEX(tblPatterns[Active],MOD(tblRota[[#This Row],[Date]]-Anchor+CrewOffset*2,CycleDays)+1)))</f>
        <v>N</v>
      </c>
      <c r="I39" s="38" t="str">
        <f>IF(tblRota[[#This Row],[Date]]="","",IF(tblRota[[#This Row],[Cycle day]]="","",INDEX(tblPatterns[Active],MOD(tblRota[[#This Row],[Date]]-Anchor+CrewOffset*3,CycleDays)+1)))</f>
        <v>O</v>
      </c>
      <c r="J39" s="38" t="str">
        <f>IF(tblRota[[#This Row],[Date]]="","",IF(tblRota[[#This Row],[Crew A]]="D","A",IF(tblRota[[#This Row],[Crew B]]="D","B",IF(tblRota[[#This Row],[Crew C]]="D","C",IF(tblRota[[#This Row],[Crew D]]="D","D","")))))</f>
        <v>A</v>
      </c>
      <c r="K39" s="38" t="str">
        <f>IF(tblRota[[#This Row],[Date]]="","",IF(tblRota[[#This Row],[Crew A]]="N","A",IF(tblRota[[#This Row],[Crew B]]="N","B",IF(tblRota[[#This Row],[Crew C]]="N","C",IF(tblRota[[#This Row],[Crew D]]="N","D","")))))</f>
        <v>C</v>
      </c>
      <c r="L39" s="30">
        <v>0</v>
      </c>
      <c r="M39" s="30">
        <v>1</v>
      </c>
      <c r="N39" s="33">
        <f>IF(tblRota[[#This Row],[Date]]="","",IFERROR(INDEX(tblCrews[People],MATCH(tblRota[[#This Row],[Day crew]],tblCrews[Crew],0)),0)-tblRota[[#This Row],[Day absent (people)]])</f>
        <v>12</v>
      </c>
      <c r="O39" s="33">
        <f>IF(tblRota[[#This Row],[Date]]="","",IFERROR(INDEX(tblCrews[People],MATCH(tblRota[[#This Row],[Night crew]],tblCrews[Crew],0)),0)-tblRota[[#This Row],[Night absent (people)]])</f>
        <v>10</v>
      </c>
      <c r="P39" s="33">
        <f>IF(tblRota[[#This Row],[Date]]="","",MIN(tblRota[[#This Row],[Day on shift (people)]],tblRota[[#This Row],[Night on shift (people)]]))</f>
        <v>10</v>
      </c>
      <c r="Q39" s="33">
        <f>IF(tblRota[[#This Row],[Date]]="","",ReqPerShift)</f>
        <v>11</v>
      </c>
      <c r="R39" s="39">
        <f>IF(tblRota[[#This Row],[Date]]="","",IF(tblRota[[#This Row],[Required (people)]]&gt;0,tblRota[[#This Row],[Fewest on shift (people)]]/tblRota[[#This Row],[Required (people)]],""))</f>
        <v>0.909090909090909</v>
      </c>
      <c r="S39" s="38" t="str">
        <f>IF(NOT(ISNUMBER(tblRota[[#This Row],[Lowest coverage]])),"",IF(tblRota[[#This Row],[Lowest coverage]]&gt;=TargetCover,"On target",IF(tblRota[[#This Row],[Lowest coverage]]&gt;=TargetCover*(1-0.05),"Near target","Below target")))</f>
        <v>Below target</v>
      </c>
      <c r="T39" s="33">
        <f>IF(tblRota[[#This Row],[Date]]="","",(tblRota[[#This Row],[Day on shift (people)]]&lt;tblRota[[#This Row],[Required (people)]])+(tblRota[[#This Row],[Night on shift (people)]]&lt;tblRota[[#This Row],[Required (people)]]))</f>
        <v>1</v>
      </c>
      <c r="U39" s="38" t="str">
        <f>IF(tblRota[[#This Row],[Date]]="","",IF(WEEKDAY(tblRota[[#This Row],[Date]],2)&gt;5,"Yes","No"))</f>
        <v>Yes</v>
      </c>
      <c r="V39"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39" s="28" t="s">
        <v>135</v>
      </c>
    </row>
    <row r="40" spans="2:23">
      <c r="B40" s="29">
        <v>46334</v>
      </c>
      <c r="C40" s="38" t="str">
        <f>IF(tblRota[[#This Row],[Date]]="","",CHOOSE(WEEKDAY(tblRota[[#This Row],[Date]],2),"Mon","Tue","Wed","Thu","Fri","Sat","Sun"))</f>
        <v>Sun</v>
      </c>
      <c r="D40" s="28" t="s">
        <v>134</v>
      </c>
      <c r="E40" s="33">
        <f>IF(tblRota[[#This Row],[Date]]="","",MOD(tblRota[[#This Row],[Date]]-Anchor,CycleDays)+1)</f>
        <v>7</v>
      </c>
      <c r="F40" s="38" t="str">
        <f>IF(tblRota[[#This Row],[Date]]="","",IF(tblRota[[#This Row],[Cycle day]]="","",INDEX(tblPatterns[Active],MOD(tblRota[[#This Row],[Date]]-Anchor+CrewOffset*0,CycleDays)+1)))</f>
        <v>D</v>
      </c>
      <c r="G40" s="38" t="str">
        <f>IF(tblRota[[#This Row],[Date]]="","",IF(tblRota[[#This Row],[Cycle day]]="","",INDEX(tblPatterns[Active],MOD(tblRota[[#This Row],[Date]]-Anchor+CrewOffset*1,CycleDays)+1)))</f>
        <v>O</v>
      </c>
      <c r="H40" s="38" t="str">
        <f>IF(tblRota[[#This Row],[Date]]="","",IF(tblRota[[#This Row],[Cycle day]]="","",INDEX(tblPatterns[Active],MOD(tblRota[[#This Row],[Date]]-Anchor+CrewOffset*2,CycleDays)+1)))</f>
        <v>N</v>
      </c>
      <c r="I40" s="38" t="str">
        <f>IF(tblRota[[#This Row],[Date]]="","",IF(tblRota[[#This Row],[Cycle day]]="","",INDEX(tblPatterns[Active],MOD(tblRota[[#This Row],[Date]]-Anchor+CrewOffset*3,CycleDays)+1)))</f>
        <v>O</v>
      </c>
      <c r="J40" s="38" t="str">
        <f>IF(tblRota[[#This Row],[Date]]="","",IF(tblRota[[#This Row],[Crew A]]="D","A",IF(tblRota[[#This Row],[Crew B]]="D","B",IF(tblRota[[#This Row],[Crew C]]="D","C",IF(tblRota[[#This Row],[Crew D]]="D","D","")))))</f>
        <v>A</v>
      </c>
      <c r="K40" s="38" t="str">
        <f>IF(tblRota[[#This Row],[Date]]="","",IF(tblRota[[#This Row],[Crew A]]="N","A",IF(tblRota[[#This Row],[Crew B]]="N","B",IF(tblRota[[#This Row],[Crew C]]="N","C",IF(tblRota[[#This Row],[Crew D]]="N","D","")))))</f>
        <v>C</v>
      </c>
      <c r="L40" s="30">
        <v>0</v>
      </c>
      <c r="M40" s="30">
        <v>0</v>
      </c>
      <c r="N40" s="33">
        <f>IF(tblRota[[#This Row],[Date]]="","",IFERROR(INDEX(tblCrews[People],MATCH(tblRota[[#This Row],[Day crew]],tblCrews[Crew],0)),0)-tblRota[[#This Row],[Day absent (people)]])</f>
        <v>12</v>
      </c>
      <c r="O40" s="33">
        <f>IF(tblRota[[#This Row],[Date]]="","",IFERROR(INDEX(tblCrews[People],MATCH(tblRota[[#This Row],[Night crew]],tblCrews[Crew],0)),0)-tblRota[[#This Row],[Night absent (people)]])</f>
        <v>11</v>
      </c>
      <c r="P40" s="33">
        <f>IF(tblRota[[#This Row],[Date]]="","",MIN(tblRota[[#This Row],[Day on shift (people)]],tblRota[[#This Row],[Night on shift (people)]]))</f>
        <v>11</v>
      </c>
      <c r="Q40" s="33">
        <f>IF(tblRota[[#This Row],[Date]]="","",ReqPerShift)</f>
        <v>11</v>
      </c>
      <c r="R40" s="39">
        <f>IF(tblRota[[#This Row],[Date]]="","",IF(tblRota[[#This Row],[Required (people)]]&gt;0,tblRota[[#This Row],[Fewest on shift (people)]]/tblRota[[#This Row],[Required (people)]],""))</f>
        <v>1</v>
      </c>
      <c r="S40" s="38" t="str">
        <f>IF(NOT(ISNUMBER(tblRota[[#This Row],[Lowest coverage]])),"",IF(tblRota[[#This Row],[Lowest coverage]]&gt;=TargetCover,"On target",IF(tblRota[[#This Row],[Lowest coverage]]&gt;=TargetCover*(1-0.05),"Near target","Below target")))</f>
        <v>On target</v>
      </c>
      <c r="T40" s="33">
        <f>IF(tblRota[[#This Row],[Date]]="","",(tblRota[[#This Row],[Day on shift (people)]]&lt;tblRota[[#This Row],[Required (people)]])+(tblRota[[#This Row],[Night on shift (people)]]&lt;tblRota[[#This Row],[Required (people)]]))</f>
        <v>0</v>
      </c>
      <c r="U40" s="38" t="str">
        <f>IF(tblRota[[#This Row],[Date]]="","",IF(WEEKDAY(tblRota[[#This Row],[Date]],2)&gt;5,"Yes","No"))</f>
        <v>Yes</v>
      </c>
      <c r="V40"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40" s="28" t="s">
        <v>135</v>
      </c>
    </row>
    <row r="41" spans="2:23">
      <c r="B41" s="29">
        <v>46335</v>
      </c>
      <c r="C41" s="38" t="str">
        <f>IF(tblRota[[#This Row],[Date]]="","",CHOOSE(WEEKDAY(tblRota[[#This Row],[Date]],2),"Mon","Tue","Wed","Thu","Fri","Sat","Sun"))</f>
        <v>Mon</v>
      </c>
      <c r="D41" s="28" t="s">
        <v>134</v>
      </c>
      <c r="E41" s="33">
        <f>IF(tblRota[[#This Row],[Date]]="","",MOD(tblRota[[#This Row],[Date]]-Anchor,CycleDays)+1)</f>
        <v>8</v>
      </c>
      <c r="F41" s="38" t="str">
        <f>IF(tblRota[[#This Row],[Date]]="","",IF(tblRota[[#This Row],[Cycle day]]="","",INDEX(tblPatterns[Active],MOD(tblRota[[#This Row],[Date]]-Anchor+CrewOffset*0,CycleDays)+1)))</f>
        <v>O</v>
      </c>
      <c r="G41" s="38" t="str">
        <f>IF(tblRota[[#This Row],[Date]]="","",IF(tblRota[[#This Row],[Cycle day]]="","",INDEX(tblPatterns[Active],MOD(tblRota[[#This Row],[Date]]-Anchor+CrewOffset*1,CycleDays)+1)))</f>
        <v>N</v>
      </c>
      <c r="H41" s="38" t="str">
        <f>IF(tblRota[[#This Row],[Date]]="","",IF(tblRota[[#This Row],[Cycle day]]="","",INDEX(tblPatterns[Active],MOD(tblRota[[#This Row],[Date]]-Anchor+CrewOffset*2,CycleDays)+1)))</f>
        <v>O</v>
      </c>
      <c r="I41" s="38" t="str">
        <f>IF(tblRota[[#This Row],[Date]]="","",IF(tblRota[[#This Row],[Cycle day]]="","",INDEX(tblPatterns[Active],MOD(tblRota[[#This Row],[Date]]-Anchor+CrewOffset*3,CycleDays)+1)))</f>
        <v>D</v>
      </c>
      <c r="J41" s="38" t="str">
        <f>IF(tblRota[[#This Row],[Date]]="","",IF(tblRota[[#This Row],[Crew A]]="D","A",IF(tblRota[[#This Row],[Crew B]]="D","B",IF(tblRota[[#This Row],[Crew C]]="D","C",IF(tblRota[[#This Row],[Crew D]]="D","D","")))))</f>
        <v>D</v>
      </c>
      <c r="K41" s="38" t="str">
        <f>IF(tblRota[[#This Row],[Date]]="","",IF(tblRota[[#This Row],[Crew A]]="N","A",IF(tblRota[[#This Row],[Crew B]]="N","B",IF(tblRota[[#This Row],[Crew C]]="N","C",IF(tblRota[[#This Row],[Crew D]]="N","D","")))))</f>
        <v>B</v>
      </c>
      <c r="L41" s="30">
        <v>0</v>
      </c>
      <c r="M41" s="30">
        <v>0</v>
      </c>
      <c r="N41" s="33">
        <f>IF(tblRota[[#This Row],[Date]]="","",IFERROR(INDEX(tblCrews[People],MATCH(tblRota[[#This Row],[Day crew]],tblCrews[Crew],0)),0)-tblRota[[#This Row],[Day absent (people)]])</f>
        <v>12</v>
      </c>
      <c r="O41" s="33">
        <f>IF(tblRota[[#This Row],[Date]]="","",IFERROR(INDEX(tblCrews[People],MATCH(tblRota[[#This Row],[Night crew]],tblCrews[Crew],0)),0)-tblRota[[#This Row],[Night absent (people)]])</f>
        <v>12</v>
      </c>
      <c r="P41" s="33">
        <f>IF(tblRota[[#This Row],[Date]]="","",MIN(tblRota[[#This Row],[Day on shift (people)]],tblRota[[#This Row],[Night on shift (people)]]))</f>
        <v>12</v>
      </c>
      <c r="Q41" s="33">
        <f>IF(tblRota[[#This Row],[Date]]="","",ReqPerShift)</f>
        <v>11</v>
      </c>
      <c r="R41" s="39">
        <f>IF(tblRota[[#This Row],[Date]]="","",IF(tblRota[[#This Row],[Required (people)]]&gt;0,tblRota[[#This Row],[Fewest on shift (people)]]/tblRota[[#This Row],[Required (people)]],""))</f>
        <v>1.09090909090909</v>
      </c>
      <c r="S41" s="38" t="str">
        <f>IF(NOT(ISNUMBER(tblRota[[#This Row],[Lowest coverage]])),"",IF(tblRota[[#This Row],[Lowest coverage]]&gt;=TargetCover,"On target",IF(tblRota[[#This Row],[Lowest coverage]]&gt;=TargetCover*(1-0.05),"Near target","Below target")))</f>
        <v>On target</v>
      </c>
      <c r="T41" s="33">
        <f>IF(tblRota[[#This Row],[Date]]="","",(tblRota[[#This Row],[Day on shift (people)]]&lt;tblRota[[#This Row],[Required (people)]])+(tblRota[[#This Row],[Night on shift (people)]]&lt;tblRota[[#This Row],[Required (people)]]))</f>
        <v>0</v>
      </c>
      <c r="U41" s="38" t="str">
        <f>IF(tblRota[[#This Row],[Date]]="","",IF(WEEKDAY(tblRota[[#This Row],[Date]],2)&gt;5,"Yes","No"))</f>
        <v>No</v>
      </c>
      <c r="V41"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41" s="28" t="s">
        <v>135</v>
      </c>
    </row>
    <row r="42" spans="2:23">
      <c r="B42" s="29">
        <v>46336</v>
      </c>
      <c r="C42" s="38" t="str">
        <f>IF(tblRota[[#This Row],[Date]]="","",CHOOSE(WEEKDAY(tblRota[[#This Row],[Date]],2),"Mon","Tue","Wed","Thu","Fri","Sat","Sun"))</f>
        <v>Tue</v>
      </c>
      <c r="D42" s="28" t="s">
        <v>134</v>
      </c>
      <c r="E42" s="33">
        <f>IF(tblRota[[#This Row],[Date]]="","",MOD(tblRota[[#This Row],[Date]]-Anchor,CycleDays)+1)</f>
        <v>9</v>
      </c>
      <c r="F42" s="38" t="str">
        <f>IF(tblRota[[#This Row],[Date]]="","",IF(tblRota[[#This Row],[Cycle day]]="","",INDEX(tblPatterns[Active],MOD(tblRota[[#This Row],[Date]]-Anchor+CrewOffset*0,CycleDays)+1)))</f>
        <v>O</v>
      </c>
      <c r="G42" s="38" t="str">
        <f>IF(tblRota[[#This Row],[Date]]="","",IF(tblRota[[#This Row],[Cycle day]]="","",INDEX(tblPatterns[Active],MOD(tblRota[[#This Row],[Date]]-Anchor+CrewOffset*1,CycleDays)+1)))</f>
        <v>N</v>
      </c>
      <c r="H42" s="38" t="str">
        <f>IF(tblRota[[#This Row],[Date]]="","",IF(tblRota[[#This Row],[Cycle day]]="","",INDEX(tblPatterns[Active],MOD(tblRota[[#This Row],[Date]]-Anchor+CrewOffset*2,CycleDays)+1)))</f>
        <v>O</v>
      </c>
      <c r="I42" s="38" t="str">
        <f>IF(tblRota[[#This Row],[Date]]="","",IF(tblRota[[#This Row],[Cycle day]]="","",INDEX(tblPatterns[Active],MOD(tblRota[[#This Row],[Date]]-Anchor+CrewOffset*3,CycleDays)+1)))</f>
        <v>D</v>
      </c>
      <c r="J42" s="38" t="str">
        <f>IF(tblRota[[#This Row],[Date]]="","",IF(tblRota[[#This Row],[Crew A]]="D","A",IF(tblRota[[#This Row],[Crew B]]="D","B",IF(tblRota[[#This Row],[Crew C]]="D","C",IF(tblRota[[#This Row],[Crew D]]="D","D","")))))</f>
        <v>D</v>
      </c>
      <c r="K42" s="38" t="str">
        <f>IF(tblRota[[#This Row],[Date]]="","",IF(tblRota[[#This Row],[Crew A]]="N","A",IF(tblRota[[#This Row],[Crew B]]="N","B",IF(tblRota[[#This Row],[Crew C]]="N","C",IF(tblRota[[#This Row],[Crew D]]="N","D","")))))</f>
        <v>B</v>
      </c>
      <c r="L42" s="30">
        <v>1</v>
      </c>
      <c r="M42" s="30">
        <v>0</v>
      </c>
      <c r="N42" s="33">
        <f>IF(tblRota[[#This Row],[Date]]="","",IFERROR(INDEX(tblCrews[People],MATCH(tblRota[[#This Row],[Day crew]],tblCrews[Crew],0)),0)-tblRota[[#This Row],[Day absent (people)]])</f>
        <v>11</v>
      </c>
      <c r="O42" s="33">
        <f>IF(tblRota[[#This Row],[Date]]="","",IFERROR(INDEX(tblCrews[People],MATCH(tblRota[[#This Row],[Night crew]],tblCrews[Crew],0)),0)-tblRota[[#This Row],[Night absent (people)]])</f>
        <v>12</v>
      </c>
      <c r="P42" s="33">
        <f>IF(tblRota[[#This Row],[Date]]="","",MIN(tblRota[[#This Row],[Day on shift (people)]],tblRota[[#This Row],[Night on shift (people)]]))</f>
        <v>11</v>
      </c>
      <c r="Q42" s="33">
        <f>IF(tblRota[[#This Row],[Date]]="","",ReqPerShift)</f>
        <v>11</v>
      </c>
      <c r="R42" s="39">
        <f>IF(tblRota[[#This Row],[Date]]="","",IF(tblRota[[#This Row],[Required (people)]]&gt;0,tblRota[[#This Row],[Fewest on shift (people)]]/tblRota[[#This Row],[Required (people)]],""))</f>
        <v>1</v>
      </c>
      <c r="S42" s="38" t="str">
        <f>IF(NOT(ISNUMBER(tblRota[[#This Row],[Lowest coverage]])),"",IF(tblRota[[#This Row],[Lowest coverage]]&gt;=TargetCover,"On target",IF(tblRota[[#This Row],[Lowest coverage]]&gt;=TargetCover*(1-0.05),"Near target","Below target")))</f>
        <v>On target</v>
      </c>
      <c r="T42" s="33">
        <f>IF(tblRota[[#This Row],[Date]]="","",(tblRota[[#This Row],[Day on shift (people)]]&lt;tblRota[[#This Row],[Required (people)]])+(tblRota[[#This Row],[Night on shift (people)]]&lt;tblRota[[#This Row],[Required (people)]]))</f>
        <v>0</v>
      </c>
      <c r="U42" s="38" t="str">
        <f>IF(tblRota[[#This Row],[Date]]="","",IF(WEEKDAY(tblRota[[#This Row],[Date]],2)&gt;5,"Yes","No"))</f>
        <v>No</v>
      </c>
      <c r="V42"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42" s="28" t="s">
        <v>135</v>
      </c>
    </row>
    <row r="43" spans="2:23">
      <c r="B43" s="29">
        <v>46337</v>
      </c>
      <c r="C43" s="38" t="str">
        <f>IF(tblRota[[#This Row],[Date]]="","",CHOOSE(WEEKDAY(tblRota[[#This Row],[Date]],2),"Mon","Tue","Wed","Thu","Fri","Sat","Sun"))</f>
        <v>Wed</v>
      </c>
      <c r="D43" s="28" t="s">
        <v>134</v>
      </c>
      <c r="E43" s="33">
        <f>IF(tblRota[[#This Row],[Date]]="","",MOD(tblRota[[#This Row],[Date]]-Anchor,CycleDays)+1)</f>
        <v>10</v>
      </c>
      <c r="F43" s="38" t="str">
        <f>IF(tblRota[[#This Row],[Date]]="","",IF(tblRota[[#This Row],[Cycle day]]="","",INDEX(tblPatterns[Active],MOD(tblRota[[#This Row],[Date]]-Anchor+CrewOffset*0,CycleDays)+1)))</f>
        <v>D</v>
      </c>
      <c r="G43" s="38" t="str">
        <f>IF(tblRota[[#This Row],[Date]]="","",IF(tblRota[[#This Row],[Cycle day]]="","",INDEX(tblPatterns[Active],MOD(tblRota[[#This Row],[Date]]-Anchor+CrewOffset*1,CycleDays)+1)))</f>
        <v>O</v>
      </c>
      <c r="H43" s="38" t="str">
        <f>IF(tblRota[[#This Row],[Date]]="","",IF(tblRota[[#This Row],[Cycle day]]="","",INDEX(tblPatterns[Active],MOD(tblRota[[#This Row],[Date]]-Anchor+CrewOffset*2,CycleDays)+1)))</f>
        <v>N</v>
      </c>
      <c r="I43" s="38" t="str">
        <f>IF(tblRota[[#This Row],[Date]]="","",IF(tblRota[[#This Row],[Cycle day]]="","",INDEX(tblPatterns[Active],MOD(tblRota[[#This Row],[Date]]-Anchor+CrewOffset*3,CycleDays)+1)))</f>
        <v>O</v>
      </c>
      <c r="J43" s="38" t="str">
        <f>IF(tblRota[[#This Row],[Date]]="","",IF(tblRota[[#This Row],[Crew A]]="D","A",IF(tblRota[[#This Row],[Crew B]]="D","B",IF(tblRota[[#This Row],[Crew C]]="D","C",IF(tblRota[[#This Row],[Crew D]]="D","D","")))))</f>
        <v>A</v>
      </c>
      <c r="K43" s="38" t="str">
        <f>IF(tblRota[[#This Row],[Date]]="","",IF(tblRota[[#This Row],[Crew A]]="N","A",IF(tblRota[[#This Row],[Crew B]]="N","B",IF(tblRota[[#This Row],[Crew C]]="N","C",IF(tblRota[[#This Row],[Crew D]]="N","D","")))))</f>
        <v>C</v>
      </c>
      <c r="L43" s="30">
        <v>0</v>
      </c>
      <c r="M43" s="30">
        <v>2</v>
      </c>
      <c r="N43" s="33">
        <f>IF(tblRota[[#This Row],[Date]]="","",IFERROR(INDEX(tblCrews[People],MATCH(tblRota[[#This Row],[Day crew]],tblCrews[Crew],0)),0)-tblRota[[#This Row],[Day absent (people)]])</f>
        <v>12</v>
      </c>
      <c r="O43" s="33">
        <f>IF(tblRota[[#This Row],[Date]]="","",IFERROR(INDEX(tblCrews[People],MATCH(tblRota[[#This Row],[Night crew]],tblCrews[Crew],0)),0)-tblRota[[#This Row],[Night absent (people)]])</f>
        <v>9</v>
      </c>
      <c r="P43" s="33">
        <f>IF(tblRota[[#This Row],[Date]]="","",MIN(tblRota[[#This Row],[Day on shift (people)]],tblRota[[#This Row],[Night on shift (people)]]))</f>
        <v>9</v>
      </c>
      <c r="Q43" s="33">
        <f>IF(tblRota[[#This Row],[Date]]="","",ReqPerShift)</f>
        <v>11</v>
      </c>
      <c r="R43" s="39">
        <f>IF(tblRota[[#This Row],[Date]]="","",IF(tblRota[[#This Row],[Required (people)]]&gt;0,tblRota[[#This Row],[Fewest on shift (people)]]/tblRota[[#This Row],[Required (people)]],""))</f>
        <v>0.818181818181818</v>
      </c>
      <c r="S43" s="38" t="str">
        <f>IF(NOT(ISNUMBER(tblRota[[#This Row],[Lowest coverage]])),"",IF(tblRota[[#This Row],[Lowest coverage]]&gt;=TargetCover,"On target",IF(tblRota[[#This Row],[Lowest coverage]]&gt;=TargetCover*(1-0.05),"Near target","Below target")))</f>
        <v>Below target</v>
      </c>
      <c r="T43" s="33">
        <f>IF(tblRota[[#This Row],[Date]]="","",(tblRota[[#This Row],[Day on shift (people)]]&lt;tblRota[[#This Row],[Required (people)]])+(tblRota[[#This Row],[Night on shift (people)]]&lt;tblRota[[#This Row],[Required (people)]]))</f>
        <v>1</v>
      </c>
      <c r="U43" s="38" t="str">
        <f>IF(tblRota[[#This Row],[Date]]="","",IF(WEEKDAY(tblRota[[#This Row],[Date]],2)&gt;5,"Yes","No"))</f>
        <v>No</v>
      </c>
      <c r="V43"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43" s="28" t="s">
        <v>135</v>
      </c>
    </row>
    <row r="44" spans="2:23">
      <c r="B44" s="29">
        <v>46338</v>
      </c>
      <c r="C44" s="38" t="str">
        <f>IF(tblRota[[#This Row],[Date]]="","",CHOOSE(WEEKDAY(tblRota[[#This Row],[Date]],2),"Mon","Tue","Wed","Thu","Fri","Sat","Sun"))</f>
        <v>Thu</v>
      </c>
      <c r="D44" s="28" t="s">
        <v>134</v>
      </c>
      <c r="E44" s="33">
        <f>IF(tblRota[[#This Row],[Date]]="","",MOD(tblRota[[#This Row],[Date]]-Anchor,CycleDays)+1)</f>
        <v>11</v>
      </c>
      <c r="F44" s="38" t="str">
        <f>IF(tblRota[[#This Row],[Date]]="","",IF(tblRota[[#This Row],[Cycle day]]="","",INDEX(tblPatterns[Active],MOD(tblRota[[#This Row],[Date]]-Anchor+CrewOffset*0,CycleDays)+1)))</f>
        <v>D</v>
      </c>
      <c r="G44" s="38" t="str">
        <f>IF(tblRota[[#This Row],[Date]]="","",IF(tblRota[[#This Row],[Cycle day]]="","",INDEX(tblPatterns[Active],MOD(tblRota[[#This Row],[Date]]-Anchor+CrewOffset*1,CycleDays)+1)))</f>
        <v>O</v>
      </c>
      <c r="H44" s="38" t="str">
        <f>IF(tblRota[[#This Row],[Date]]="","",IF(tblRota[[#This Row],[Cycle day]]="","",INDEX(tblPatterns[Active],MOD(tblRota[[#This Row],[Date]]-Anchor+CrewOffset*2,CycleDays)+1)))</f>
        <v>N</v>
      </c>
      <c r="I44" s="38" t="str">
        <f>IF(tblRota[[#This Row],[Date]]="","",IF(tblRota[[#This Row],[Cycle day]]="","",INDEX(tblPatterns[Active],MOD(tblRota[[#This Row],[Date]]-Anchor+CrewOffset*3,CycleDays)+1)))</f>
        <v>O</v>
      </c>
      <c r="J44" s="38" t="str">
        <f>IF(tblRota[[#This Row],[Date]]="","",IF(tblRota[[#This Row],[Crew A]]="D","A",IF(tblRota[[#This Row],[Crew B]]="D","B",IF(tblRota[[#This Row],[Crew C]]="D","C",IF(tblRota[[#This Row],[Crew D]]="D","D","")))))</f>
        <v>A</v>
      </c>
      <c r="K44" s="38" t="str">
        <f>IF(tblRota[[#This Row],[Date]]="","",IF(tblRota[[#This Row],[Crew A]]="N","A",IF(tblRota[[#This Row],[Crew B]]="N","B",IF(tblRota[[#This Row],[Crew C]]="N","C",IF(tblRota[[#This Row],[Crew D]]="N","D","")))))</f>
        <v>C</v>
      </c>
      <c r="L44" s="30">
        <v>0</v>
      </c>
      <c r="M44" s="30">
        <v>0</v>
      </c>
      <c r="N44" s="33">
        <f>IF(tblRota[[#This Row],[Date]]="","",IFERROR(INDEX(tblCrews[People],MATCH(tblRota[[#This Row],[Day crew]],tblCrews[Crew],0)),0)-tblRota[[#This Row],[Day absent (people)]])</f>
        <v>12</v>
      </c>
      <c r="O44" s="33">
        <f>IF(tblRota[[#This Row],[Date]]="","",IFERROR(INDEX(tblCrews[People],MATCH(tblRota[[#This Row],[Night crew]],tblCrews[Crew],0)),0)-tblRota[[#This Row],[Night absent (people)]])</f>
        <v>11</v>
      </c>
      <c r="P44" s="33">
        <f>IF(tblRota[[#This Row],[Date]]="","",MIN(tblRota[[#This Row],[Day on shift (people)]],tblRota[[#This Row],[Night on shift (people)]]))</f>
        <v>11</v>
      </c>
      <c r="Q44" s="33">
        <f>IF(tblRota[[#This Row],[Date]]="","",ReqPerShift)</f>
        <v>11</v>
      </c>
      <c r="R44" s="39">
        <f>IF(tblRota[[#This Row],[Date]]="","",IF(tblRota[[#This Row],[Required (people)]]&gt;0,tblRota[[#This Row],[Fewest on shift (people)]]/tblRota[[#This Row],[Required (people)]],""))</f>
        <v>1</v>
      </c>
      <c r="S44" s="38" t="str">
        <f>IF(NOT(ISNUMBER(tblRota[[#This Row],[Lowest coverage]])),"",IF(tblRota[[#This Row],[Lowest coverage]]&gt;=TargetCover,"On target",IF(tblRota[[#This Row],[Lowest coverage]]&gt;=TargetCover*(1-0.05),"Near target","Below target")))</f>
        <v>On target</v>
      </c>
      <c r="T44" s="33">
        <f>IF(tblRota[[#This Row],[Date]]="","",(tblRota[[#This Row],[Day on shift (people)]]&lt;tblRota[[#This Row],[Required (people)]])+(tblRota[[#This Row],[Night on shift (people)]]&lt;tblRota[[#This Row],[Required (people)]]))</f>
        <v>0</v>
      </c>
      <c r="U44" s="38" t="str">
        <f>IF(tblRota[[#This Row],[Date]]="","",IF(WEEKDAY(tblRota[[#This Row],[Date]],2)&gt;5,"Yes","No"))</f>
        <v>No</v>
      </c>
      <c r="V44"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44" s="28" t="s">
        <v>135</v>
      </c>
    </row>
    <row r="45" spans="2:23">
      <c r="B45" s="29">
        <v>46339</v>
      </c>
      <c r="C45" s="38" t="str">
        <f>IF(tblRota[[#This Row],[Date]]="","",CHOOSE(WEEKDAY(tblRota[[#This Row],[Date]],2),"Mon","Tue","Wed","Thu","Fri","Sat","Sun"))</f>
        <v>Fri</v>
      </c>
      <c r="D45" s="28" t="s">
        <v>134</v>
      </c>
      <c r="E45" s="33">
        <f>IF(tblRota[[#This Row],[Date]]="","",MOD(tblRota[[#This Row],[Date]]-Anchor,CycleDays)+1)</f>
        <v>12</v>
      </c>
      <c r="F45" s="38" t="str">
        <f>IF(tblRota[[#This Row],[Date]]="","",IF(tblRota[[#This Row],[Cycle day]]="","",INDEX(tblPatterns[Active],MOD(tblRota[[#This Row],[Date]]-Anchor+CrewOffset*0,CycleDays)+1)))</f>
        <v>O</v>
      </c>
      <c r="G45" s="38" t="str">
        <f>IF(tblRota[[#This Row],[Date]]="","",IF(tblRota[[#This Row],[Cycle day]]="","",INDEX(tblPatterns[Active],MOD(tblRota[[#This Row],[Date]]-Anchor+CrewOffset*1,CycleDays)+1)))</f>
        <v>N</v>
      </c>
      <c r="H45" s="38" t="str">
        <f>IF(tblRota[[#This Row],[Date]]="","",IF(tblRota[[#This Row],[Cycle day]]="","",INDEX(tblPatterns[Active],MOD(tblRota[[#This Row],[Date]]-Anchor+CrewOffset*2,CycleDays)+1)))</f>
        <v>O</v>
      </c>
      <c r="I45" s="38" t="str">
        <f>IF(tblRota[[#This Row],[Date]]="","",IF(tblRota[[#This Row],[Cycle day]]="","",INDEX(tblPatterns[Active],MOD(tblRota[[#This Row],[Date]]-Anchor+CrewOffset*3,CycleDays)+1)))</f>
        <v>D</v>
      </c>
      <c r="J45" s="38" t="str">
        <f>IF(tblRota[[#This Row],[Date]]="","",IF(tblRota[[#This Row],[Crew A]]="D","A",IF(tblRota[[#This Row],[Crew B]]="D","B",IF(tblRota[[#This Row],[Crew C]]="D","C",IF(tblRota[[#This Row],[Crew D]]="D","D","")))))</f>
        <v>D</v>
      </c>
      <c r="K45" s="38" t="str">
        <f>IF(tblRota[[#This Row],[Date]]="","",IF(tblRota[[#This Row],[Crew A]]="N","A",IF(tblRota[[#This Row],[Crew B]]="N","B",IF(tblRota[[#This Row],[Crew C]]="N","C",IF(tblRota[[#This Row],[Crew D]]="N","D","")))))</f>
        <v>B</v>
      </c>
      <c r="L45" s="30">
        <v>0</v>
      </c>
      <c r="M45" s="30">
        <v>0</v>
      </c>
      <c r="N45" s="33">
        <f>IF(tblRota[[#This Row],[Date]]="","",IFERROR(INDEX(tblCrews[People],MATCH(tblRota[[#This Row],[Day crew]],tblCrews[Crew],0)),0)-tblRota[[#This Row],[Day absent (people)]])</f>
        <v>12</v>
      </c>
      <c r="O45" s="33">
        <f>IF(tblRota[[#This Row],[Date]]="","",IFERROR(INDEX(tblCrews[People],MATCH(tblRota[[#This Row],[Night crew]],tblCrews[Crew],0)),0)-tblRota[[#This Row],[Night absent (people)]])</f>
        <v>12</v>
      </c>
      <c r="P45" s="33">
        <f>IF(tblRota[[#This Row],[Date]]="","",MIN(tblRota[[#This Row],[Day on shift (people)]],tblRota[[#This Row],[Night on shift (people)]]))</f>
        <v>12</v>
      </c>
      <c r="Q45" s="33">
        <f>IF(tblRota[[#This Row],[Date]]="","",ReqPerShift)</f>
        <v>11</v>
      </c>
      <c r="R45" s="39">
        <f>IF(tblRota[[#This Row],[Date]]="","",IF(tblRota[[#This Row],[Required (people)]]&gt;0,tblRota[[#This Row],[Fewest on shift (people)]]/tblRota[[#This Row],[Required (people)]],""))</f>
        <v>1.09090909090909</v>
      </c>
      <c r="S45" s="38" t="str">
        <f>IF(NOT(ISNUMBER(tblRota[[#This Row],[Lowest coverage]])),"",IF(tblRota[[#This Row],[Lowest coverage]]&gt;=TargetCover,"On target",IF(tblRota[[#This Row],[Lowest coverage]]&gt;=TargetCover*(1-0.05),"Near target","Below target")))</f>
        <v>On target</v>
      </c>
      <c r="T45" s="33">
        <f>IF(tblRota[[#This Row],[Date]]="","",(tblRota[[#This Row],[Day on shift (people)]]&lt;tblRota[[#This Row],[Required (people)]])+(tblRota[[#This Row],[Night on shift (people)]]&lt;tblRota[[#This Row],[Required (people)]]))</f>
        <v>0</v>
      </c>
      <c r="U45" s="38" t="str">
        <f>IF(tblRota[[#This Row],[Date]]="","",IF(WEEKDAY(tblRota[[#This Row],[Date]],2)&gt;5,"Yes","No"))</f>
        <v>No</v>
      </c>
      <c r="V45"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45" s="28" t="s">
        <v>135</v>
      </c>
    </row>
    <row r="46" spans="2:23">
      <c r="B46" s="29">
        <v>46340</v>
      </c>
      <c r="C46" s="38" t="str">
        <f>IF(tblRota[[#This Row],[Date]]="","",CHOOSE(WEEKDAY(tblRota[[#This Row],[Date]],2),"Mon","Tue","Wed","Thu","Fri","Sat","Sun"))</f>
        <v>Sat</v>
      </c>
      <c r="D46" s="28" t="s">
        <v>134</v>
      </c>
      <c r="E46" s="33">
        <f>IF(tblRota[[#This Row],[Date]]="","",MOD(tblRota[[#This Row],[Date]]-Anchor,CycleDays)+1)</f>
        <v>13</v>
      </c>
      <c r="F46" s="38" t="str">
        <f>IF(tblRota[[#This Row],[Date]]="","",IF(tblRota[[#This Row],[Cycle day]]="","",INDEX(tblPatterns[Active],MOD(tblRota[[#This Row],[Date]]-Anchor+CrewOffset*0,CycleDays)+1)))</f>
        <v>O</v>
      </c>
      <c r="G46" s="38" t="str">
        <f>IF(tblRota[[#This Row],[Date]]="","",IF(tblRota[[#This Row],[Cycle day]]="","",INDEX(tblPatterns[Active],MOD(tblRota[[#This Row],[Date]]-Anchor+CrewOffset*1,CycleDays)+1)))</f>
        <v>N</v>
      </c>
      <c r="H46" s="38" t="str">
        <f>IF(tblRota[[#This Row],[Date]]="","",IF(tblRota[[#This Row],[Cycle day]]="","",INDEX(tblPatterns[Active],MOD(tblRota[[#This Row],[Date]]-Anchor+CrewOffset*2,CycleDays)+1)))</f>
        <v>O</v>
      </c>
      <c r="I46" s="38" t="str">
        <f>IF(tblRota[[#This Row],[Date]]="","",IF(tblRota[[#This Row],[Cycle day]]="","",INDEX(tblPatterns[Active],MOD(tblRota[[#This Row],[Date]]-Anchor+CrewOffset*3,CycleDays)+1)))</f>
        <v>D</v>
      </c>
      <c r="J46" s="38" t="str">
        <f>IF(tblRota[[#This Row],[Date]]="","",IF(tblRota[[#This Row],[Crew A]]="D","A",IF(tblRota[[#This Row],[Crew B]]="D","B",IF(tblRota[[#This Row],[Crew C]]="D","C",IF(tblRota[[#This Row],[Crew D]]="D","D","")))))</f>
        <v>D</v>
      </c>
      <c r="K46" s="38" t="str">
        <f>IF(tblRota[[#This Row],[Date]]="","",IF(tblRota[[#This Row],[Crew A]]="N","A",IF(tblRota[[#This Row],[Crew B]]="N","B",IF(tblRota[[#This Row],[Crew C]]="N","C",IF(tblRota[[#This Row],[Crew D]]="N","D","")))))</f>
        <v>B</v>
      </c>
      <c r="L46" s="30">
        <v>0</v>
      </c>
      <c r="M46" s="30">
        <v>0</v>
      </c>
      <c r="N46" s="33">
        <f>IF(tblRota[[#This Row],[Date]]="","",IFERROR(INDEX(tblCrews[People],MATCH(tblRota[[#This Row],[Day crew]],tblCrews[Crew],0)),0)-tblRota[[#This Row],[Day absent (people)]])</f>
        <v>12</v>
      </c>
      <c r="O46" s="33">
        <f>IF(tblRota[[#This Row],[Date]]="","",IFERROR(INDEX(tblCrews[People],MATCH(tblRota[[#This Row],[Night crew]],tblCrews[Crew],0)),0)-tblRota[[#This Row],[Night absent (people)]])</f>
        <v>12</v>
      </c>
      <c r="P46" s="33">
        <f>IF(tblRota[[#This Row],[Date]]="","",MIN(tblRota[[#This Row],[Day on shift (people)]],tblRota[[#This Row],[Night on shift (people)]]))</f>
        <v>12</v>
      </c>
      <c r="Q46" s="33">
        <f>IF(tblRota[[#This Row],[Date]]="","",ReqPerShift)</f>
        <v>11</v>
      </c>
      <c r="R46" s="39">
        <f>IF(tblRota[[#This Row],[Date]]="","",IF(tblRota[[#This Row],[Required (people)]]&gt;0,tblRota[[#This Row],[Fewest on shift (people)]]/tblRota[[#This Row],[Required (people)]],""))</f>
        <v>1.09090909090909</v>
      </c>
      <c r="S46" s="38" t="str">
        <f>IF(NOT(ISNUMBER(tblRota[[#This Row],[Lowest coverage]])),"",IF(tblRota[[#This Row],[Lowest coverage]]&gt;=TargetCover,"On target",IF(tblRota[[#This Row],[Lowest coverage]]&gt;=TargetCover*(1-0.05),"Near target","Below target")))</f>
        <v>On target</v>
      </c>
      <c r="T46" s="33">
        <f>IF(tblRota[[#This Row],[Date]]="","",(tblRota[[#This Row],[Day on shift (people)]]&lt;tblRota[[#This Row],[Required (people)]])+(tblRota[[#This Row],[Night on shift (people)]]&lt;tblRota[[#This Row],[Required (people)]]))</f>
        <v>0</v>
      </c>
      <c r="U46" s="38" t="str">
        <f>IF(tblRota[[#This Row],[Date]]="","",IF(WEEKDAY(tblRota[[#This Row],[Date]],2)&gt;5,"Yes","No"))</f>
        <v>Yes</v>
      </c>
      <c r="V46"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46" s="28" t="s">
        <v>135</v>
      </c>
    </row>
    <row r="47" spans="2:23">
      <c r="B47" s="29">
        <v>46341</v>
      </c>
      <c r="C47" s="38" t="str">
        <f>IF(tblRota[[#This Row],[Date]]="","",CHOOSE(WEEKDAY(tblRota[[#This Row],[Date]],2),"Mon","Tue","Wed","Thu","Fri","Sat","Sun"))</f>
        <v>Sun</v>
      </c>
      <c r="D47" s="28" t="s">
        <v>134</v>
      </c>
      <c r="E47" s="33">
        <f>IF(tblRota[[#This Row],[Date]]="","",MOD(tblRota[[#This Row],[Date]]-Anchor,CycleDays)+1)</f>
        <v>14</v>
      </c>
      <c r="F47" s="38" t="str">
        <f>IF(tblRota[[#This Row],[Date]]="","",IF(tblRota[[#This Row],[Cycle day]]="","",INDEX(tblPatterns[Active],MOD(tblRota[[#This Row],[Date]]-Anchor+CrewOffset*0,CycleDays)+1)))</f>
        <v>O</v>
      </c>
      <c r="G47" s="38" t="str">
        <f>IF(tblRota[[#This Row],[Date]]="","",IF(tblRota[[#This Row],[Cycle day]]="","",INDEX(tblPatterns[Active],MOD(tblRota[[#This Row],[Date]]-Anchor+CrewOffset*1,CycleDays)+1)))</f>
        <v>N</v>
      </c>
      <c r="H47" s="38" t="str">
        <f>IF(tblRota[[#This Row],[Date]]="","",IF(tblRota[[#This Row],[Cycle day]]="","",INDEX(tblPatterns[Active],MOD(tblRota[[#This Row],[Date]]-Anchor+CrewOffset*2,CycleDays)+1)))</f>
        <v>O</v>
      </c>
      <c r="I47" s="38" t="str">
        <f>IF(tblRota[[#This Row],[Date]]="","",IF(tblRota[[#This Row],[Cycle day]]="","",INDEX(tblPatterns[Active],MOD(tblRota[[#This Row],[Date]]-Anchor+CrewOffset*3,CycleDays)+1)))</f>
        <v>D</v>
      </c>
      <c r="J47" s="38" t="str">
        <f>IF(tblRota[[#This Row],[Date]]="","",IF(tblRota[[#This Row],[Crew A]]="D","A",IF(tblRota[[#This Row],[Crew B]]="D","B",IF(tblRota[[#This Row],[Crew C]]="D","C",IF(tblRota[[#This Row],[Crew D]]="D","D","")))))</f>
        <v>D</v>
      </c>
      <c r="K47" s="38" t="str">
        <f>IF(tblRota[[#This Row],[Date]]="","",IF(tblRota[[#This Row],[Crew A]]="N","A",IF(tblRota[[#This Row],[Crew B]]="N","B",IF(tblRota[[#This Row],[Crew C]]="N","C",IF(tblRota[[#This Row],[Crew D]]="N","D","")))))</f>
        <v>B</v>
      </c>
      <c r="L47" s="30">
        <v>0</v>
      </c>
      <c r="M47" s="30">
        <v>2</v>
      </c>
      <c r="N47" s="33">
        <f>IF(tblRota[[#This Row],[Date]]="","",IFERROR(INDEX(tblCrews[People],MATCH(tblRota[[#This Row],[Day crew]],tblCrews[Crew],0)),0)-tblRota[[#This Row],[Day absent (people)]])</f>
        <v>12</v>
      </c>
      <c r="O47" s="33">
        <f>IF(tblRota[[#This Row],[Date]]="","",IFERROR(INDEX(tblCrews[People],MATCH(tblRota[[#This Row],[Night crew]],tblCrews[Crew],0)),0)-tblRota[[#This Row],[Night absent (people)]])</f>
        <v>10</v>
      </c>
      <c r="P47" s="33">
        <f>IF(tblRota[[#This Row],[Date]]="","",MIN(tblRota[[#This Row],[Day on shift (people)]],tblRota[[#This Row],[Night on shift (people)]]))</f>
        <v>10</v>
      </c>
      <c r="Q47" s="33">
        <f>IF(tblRota[[#This Row],[Date]]="","",ReqPerShift)</f>
        <v>11</v>
      </c>
      <c r="R47" s="39">
        <f>IF(tblRota[[#This Row],[Date]]="","",IF(tblRota[[#This Row],[Required (people)]]&gt;0,tblRota[[#This Row],[Fewest on shift (people)]]/tblRota[[#This Row],[Required (people)]],""))</f>
        <v>0.909090909090909</v>
      </c>
      <c r="S47" s="38" t="str">
        <f>IF(NOT(ISNUMBER(tblRota[[#This Row],[Lowest coverage]])),"",IF(tblRota[[#This Row],[Lowest coverage]]&gt;=TargetCover,"On target",IF(tblRota[[#This Row],[Lowest coverage]]&gt;=TargetCover*(1-0.05),"Near target","Below target")))</f>
        <v>Below target</v>
      </c>
      <c r="T47" s="33">
        <f>IF(tblRota[[#This Row],[Date]]="","",(tblRota[[#This Row],[Day on shift (people)]]&lt;tblRota[[#This Row],[Required (people)]])+(tblRota[[#This Row],[Night on shift (people)]]&lt;tblRota[[#This Row],[Required (people)]]))</f>
        <v>1</v>
      </c>
      <c r="U47" s="38" t="str">
        <f>IF(tblRota[[#This Row],[Date]]="","",IF(WEEKDAY(tblRota[[#This Row],[Date]],2)&gt;5,"Yes","No"))</f>
        <v>Yes</v>
      </c>
      <c r="V47"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47" s="28" t="s">
        <v>135</v>
      </c>
    </row>
    <row r="48" spans="2:23">
      <c r="B48" s="29">
        <v>46342</v>
      </c>
      <c r="C48" s="38" t="str">
        <f>IF(tblRota[[#This Row],[Date]]="","",CHOOSE(WEEKDAY(tblRota[[#This Row],[Date]],2),"Mon","Tue","Wed","Thu","Fri","Sat","Sun"))</f>
        <v>Mon</v>
      </c>
      <c r="D48" s="28" t="s">
        <v>134</v>
      </c>
      <c r="E48" s="33">
        <f>IF(tblRota[[#This Row],[Date]]="","",MOD(tblRota[[#This Row],[Date]]-Anchor,CycleDays)+1)</f>
        <v>15</v>
      </c>
      <c r="F48" s="38" t="str">
        <f>IF(tblRota[[#This Row],[Date]]="","",IF(tblRota[[#This Row],[Cycle day]]="","",INDEX(tblPatterns[Active],MOD(tblRota[[#This Row],[Date]]-Anchor+CrewOffset*0,CycleDays)+1)))</f>
        <v>N</v>
      </c>
      <c r="G48" s="38" t="str">
        <f>IF(tblRota[[#This Row],[Date]]="","",IF(tblRota[[#This Row],[Cycle day]]="","",INDEX(tblPatterns[Active],MOD(tblRota[[#This Row],[Date]]-Anchor+CrewOffset*1,CycleDays)+1)))</f>
        <v>O</v>
      </c>
      <c r="H48" s="38" t="str">
        <f>IF(tblRota[[#This Row],[Date]]="","",IF(tblRota[[#This Row],[Cycle day]]="","",INDEX(tblPatterns[Active],MOD(tblRota[[#This Row],[Date]]-Anchor+CrewOffset*2,CycleDays)+1)))</f>
        <v>D</v>
      </c>
      <c r="I48" s="38" t="str">
        <f>IF(tblRota[[#This Row],[Date]]="","",IF(tblRota[[#This Row],[Cycle day]]="","",INDEX(tblPatterns[Active],MOD(tblRota[[#This Row],[Date]]-Anchor+CrewOffset*3,CycleDays)+1)))</f>
        <v>O</v>
      </c>
      <c r="J48" s="38" t="str">
        <f>IF(tblRota[[#This Row],[Date]]="","",IF(tblRota[[#This Row],[Crew A]]="D","A",IF(tblRota[[#This Row],[Crew B]]="D","B",IF(tblRota[[#This Row],[Crew C]]="D","C",IF(tblRota[[#This Row],[Crew D]]="D","D","")))))</f>
        <v>C</v>
      </c>
      <c r="K48" s="38" t="str">
        <f>IF(tblRota[[#This Row],[Date]]="","",IF(tblRota[[#This Row],[Crew A]]="N","A",IF(tblRota[[#This Row],[Crew B]]="N","B",IF(tblRota[[#This Row],[Crew C]]="N","C",IF(tblRota[[#This Row],[Crew D]]="N","D","")))))</f>
        <v>A</v>
      </c>
      <c r="L48" s="30">
        <v>0</v>
      </c>
      <c r="M48" s="30">
        <v>0</v>
      </c>
      <c r="N48" s="33">
        <f>IF(tblRota[[#This Row],[Date]]="","",IFERROR(INDEX(tblCrews[People],MATCH(tblRota[[#This Row],[Day crew]],tblCrews[Crew],0)),0)-tblRota[[#This Row],[Day absent (people)]])</f>
        <v>11</v>
      </c>
      <c r="O48" s="33">
        <f>IF(tblRota[[#This Row],[Date]]="","",IFERROR(INDEX(tblCrews[People],MATCH(tblRota[[#This Row],[Night crew]],tblCrews[Crew],0)),0)-tblRota[[#This Row],[Night absent (people)]])</f>
        <v>12</v>
      </c>
      <c r="P48" s="33">
        <f>IF(tblRota[[#This Row],[Date]]="","",MIN(tblRota[[#This Row],[Day on shift (people)]],tblRota[[#This Row],[Night on shift (people)]]))</f>
        <v>11</v>
      </c>
      <c r="Q48" s="33">
        <f>IF(tblRota[[#This Row],[Date]]="","",ReqPerShift)</f>
        <v>11</v>
      </c>
      <c r="R48" s="39">
        <f>IF(tblRota[[#This Row],[Date]]="","",IF(tblRota[[#This Row],[Required (people)]]&gt;0,tblRota[[#This Row],[Fewest on shift (people)]]/tblRota[[#This Row],[Required (people)]],""))</f>
        <v>1</v>
      </c>
      <c r="S48" s="38" t="str">
        <f>IF(NOT(ISNUMBER(tblRota[[#This Row],[Lowest coverage]])),"",IF(tblRota[[#This Row],[Lowest coverage]]&gt;=TargetCover,"On target",IF(tblRota[[#This Row],[Lowest coverage]]&gt;=TargetCover*(1-0.05),"Near target","Below target")))</f>
        <v>On target</v>
      </c>
      <c r="T48" s="33">
        <f>IF(tblRota[[#This Row],[Date]]="","",(tblRota[[#This Row],[Day on shift (people)]]&lt;tblRota[[#This Row],[Required (people)]])+(tblRota[[#This Row],[Night on shift (people)]]&lt;tblRota[[#This Row],[Required (people)]]))</f>
        <v>0</v>
      </c>
      <c r="U48" s="38" t="str">
        <f>IF(tblRota[[#This Row],[Date]]="","",IF(WEEKDAY(tblRota[[#This Row],[Date]],2)&gt;5,"Yes","No"))</f>
        <v>No</v>
      </c>
      <c r="V48"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48" s="28" t="s">
        <v>135</v>
      </c>
    </row>
    <row r="49" spans="2:23">
      <c r="B49" s="29">
        <v>46343</v>
      </c>
      <c r="C49" s="38" t="str">
        <f>IF(tblRota[[#This Row],[Date]]="","",CHOOSE(WEEKDAY(tblRota[[#This Row],[Date]],2),"Mon","Tue","Wed","Thu","Fri","Sat","Sun"))</f>
        <v>Tue</v>
      </c>
      <c r="D49" s="28" t="s">
        <v>134</v>
      </c>
      <c r="E49" s="33">
        <f>IF(tblRota[[#This Row],[Date]]="","",MOD(tblRota[[#This Row],[Date]]-Anchor,CycleDays)+1)</f>
        <v>16</v>
      </c>
      <c r="F49" s="38" t="str">
        <f>IF(tblRota[[#This Row],[Date]]="","",IF(tblRota[[#This Row],[Cycle day]]="","",INDEX(tblPatterns[Active],MOD(tblRota[[#This Row],[Date]]-Anchor+CrewOffset*0,CycleDays)+1)))</f>
        <v>N</v>
      </c>
      <c r="G49" s="38" t="str">
        <f>IF(tblRota[[#This Row],[Date]]="","",IF(tblRota[[#This Row],[Cycle day]]="","",INDEX(tblPatterns[Active],MOD(tblRota[[#This Row],[Date]]-Anchor+CrewOffset*1,CycleDays)+1)))</f>
        <v>O</v>
      </c>
      <c r="H49" s="38" t="str">
        <f>IF(tblRota[[#This Row],[Date]]="","",IF(tblRota[[#This Row],[Cycle day]]="","",INDEX(tblPatterns[Active],MOD(tblRota[[#This Row],[Date]]-Anchor+CrewOffset*2,CycleDays)+1)))</f>
        <v>D</v>
      </c>
      <c r="I49" s="38" t="str">
        <f>IF(tblRota[[#This Row],[Date]]="","",IF(tblRota[[#This Row],[Cycle day]]="","",INDEX(tblPatterns[Active],MOD(tblRota[[#This Row],[Date]]-Anchor+CrewOffset*3,CycleDays)+1)))</f>
        <v>O</v>
      </c>
      <c r="J49" s="38" t="str">
        <f>IF(tblRota[[#This Row],[Date]]="","",IF(tblRota[[#This Row],[Crew A]]="D","A",IF(tblRota[[#This Row],[Crew B]]="D","B",IF(tblRota[[#This Row],[Crew C]]="D","C",IF(tblRota[[#This Row],[Crew D]]="D","D","")))))</f>
        <v>C</v>
      </c>
      <c r="K49" s="38" t="str">
        <f>IF(tblRota[[#This Row],[Date]]="","",IF(tblRota[[#This Row],[Crew A]]="N","A",IF(tblRota[[#This Row],[Crew B]]="N","B",IF(tblRota[[#This Row],[Crew C]]="N","C",IF(tblRota[[#This Row],[Crew D]]="N","D","")))))</f>
        <v>A</v>
      </c>
      <c r="L49" s="30">
        <v>0</v>
      </c>
      <c r="M49" s="30">
        <v>0</v>
      </c>
      <c r="N49" s="33">
        <f>IF(tblRota[[#This Row],[Date]]="","",IFERROR(INDEX(tblCrews[People],MATCH(tblRota[[#This Row],[Day crew]],tblCrews[Crew],0)),0)-tblRota[[#This Row],[Day absent (people)]])</f>
        <v>11</v>
      </c>
      <c r="O49" s="33">
        <f>IF(tblRota[[#This Row],[Date]]="","",IFERROR(INDEX(tblCrews[People],MATCH(tblRota[[#This Row],[Night crew]],tblCrews[Crew],0)),0)-tblRota[[#This Row],[Night absent (people)]])</f>
        <v>12</v>
      </c>
      <c r="P49" s="33">
        <f>IF(tblRota[[#This Row],[Date]]="","",MIN(tblRota[[#This Row],[Day on shift (people)]],tblRota[[#This Row],[Night on shift (people)]]))</f>
        <v>11</v>
      </c>
      <c r="Q49" s="33">
        <f>IF(tblRota[[#This Row],[Date]]="","",ReqPerShift)</f>
        <v>11</v>
      </c>
      <c r="R49" s="39">
        <f>IF(tblRota[[#This Row],[Date]]="","",IF(tblRota[[#This Row],[Required (people)]]&gt;0,tblRota[[#This Row],[Fewest on shift (people)]]/tblRota[[#This Row],[Required (people)]],""))</f>
        <v>1</v>
      </c>
      <c r="S49" s="38" t="str">
        <f>IF(NOT(ISNUMBER(tblRota[[#This Row],[Lowest coverage]])),"",IF(tblRota[[#This Row],[Lowest coverage]]&gt;=TargetCover,"On target",IF(tblRota[[#This Row],[Lowest coverage]]&gt;=TargetCover*(1-0.05),"Near target","Below target")))</f>
        <v>On target</v>
      </c>
      <c r="T49" s="33">
        <f>IF(tblRota[[#This Row],[Date]]="","",(tblRota[[#This Row],[Day on shift (people)]]&lt;tblRota[[#This Row],[Required (people)]])+(tblRota[[#This Row],[Night on shift (people)]]&lt;tblRota[[#This Row],[Required (people)]]))</f>
        <v>0</v>
      </c>
      <c r="U49" s="38" t="str">
        <f>IF(tblRota[[#This Row],[Date]]="","",IF(WEEKDAY(tblRota[[#This Row],[Date]],2)&gt;5,"Yes","No"))</f>
        <v>No</v>
      </c>
      <c r="V49"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49" s="28" t="s">
        <v>135</v>
      </c>
    </row>
    <row r="50" spans="2:23">
      <c r="B50" s="29">
        <v>46344</v>
      </c>
      <c r="C50" s="38" t="str">
        <f>IF(tblRota[[#This Row],[Date]]="","",CHOOSE(WEEKDAY(tblRota[[#This Row],[Date]],2),"Mon","Tue","Wed","Thu","Fri","Sat","Sun"))</f>
        <v>Wed</v>
      </c>
      <c r="D50" s="28" t="s">
        <v>134</v>
      </c>
      <c r="E50" s="33">
        <f>IF(tblRota[[#This Row],[Date]]="","",MOD(tblRota[[#This Row],[Date]]-Anchor,CycleDays)+1)</f>
        <v>17</v>
      </c>
      <c r="F50" s="38" t="str">
        <f>IF(tblRota[[#This Row],[Date]]="","",IF(tblRota[[#This Row],[Cycle day]]="","",INDEX(tblPatterns[Active],MOD(tblRota[[#This Row],[Date]]-Anchor+CrewOffset*0,CycleDays)+1)))</f>
        <v>O</v>
      </c>
      <c r="G50" s="38" t="str">
        <f>IF(tblRota[[#This Row],[Date]]="","",IF(tblRota[[#This Row],[Cycle day]]="","",INDEX(tblPatterns[Active],MOD(tblRota[[#This Row],[Date]]-Anchor+CrewOffset*1,CycleDays)+1)))</f>
        <v>N</v>
      </c>
      <c r="H50" s="38" t="str">
        <f>IF(tblRota[[#This Row],[Date]]="","",IF(tblRota[[#This Row],[Cycle day]]="","",INDEX(tblPatterns[Active],MOD(tblRota[[#This Row],[Date]]-Anchor+CrewOffset*2,CycleDays)+1)))</f>
        <v>O</v>
      </c>
      <c r="I50" s="38" t="str">
        <f>IF(tblRota[[#This Row],[Date]]="","",IF(tblRota[[#This Row],[Cycle day]]="","",INDEX(tblPatterns[Active],MOD(tblRota[[#This Row],[Date]]-Anchor+CrewOffset*3,CycleDays)+1)))</f>
        <v>D</v>
      </c>
      <c r="J50" s="38" t="str">
        <f>IF(tblRota[[#This Row],[Date]]="","",IF(tblRota[[#This Row],[Crew A]]="D","A",IF(tblRota[[#This Row],[Crew B]]="D","B",IF(tblRota[[#This Row],[Crew C]]="D","C",IF(tblRota[[#This Row],[Crew D]]="D","D","")))))</f>
        <v>D</v>
      </c>
      <c r="K50" s="38" t="str">
        <f>IF(tblRota[[#This Row],[Date]]="","",IF(tblRota[[#This Row],[Crew A]]="N","A",IF(tblRota[[#This Row],[Crew B]]="N","B",IF(tblRota[[#This Row],[Crew C]]="N","C",IF(tblRota[[#This Row],[Crew D]]="N","D","")))))</f>
        <v>B</v>
      </c>
      <c r="L50" s="30">
        <v>0</v>
      </c>
      <c r="M50" s="30">
        <v>0</v>
      </c>
      <c r="N50" s="33">
        <f>IF(tblRota[[#This Row],[Date]]="","",IFERROR(INDEX(tblCrews[People],MATCH(tblRota[[#This Row],[Day crew]],tblCrews[Crew],0)),0)-tblRota[[#This Row],[Day absent (people)]])</f>
        <v>12</v>
      </c>
      <c r="O50" s="33">
        <f>IF(tblRota[[#This Row],[Date]]="","",IFERROR(INDEX(tblCrews[People],MATCH(tblRota[[#This Row],[Night crew]],tblCrews[Crew],0)),0)-tblRota[[#This Row],[Night absent (people)]])</f>
        <v>12</v>
      </c>
      <c r="P50" s="33">
        <f>IF(tblRota[[#This Row],[Date]]="","",MIN(tblRota[[#This Row],[Day on shift (people)]],tblRota[[#This Row],[Night on shift (people)]]))</f>
        <v>12</v>
      </c>
      <c r="Q50" s="33">
        <f>IF(tblRota[[#This Row],[Date]]="","",ReqPerShift)</f>
        <v>11</v>
      </c>
      <c r="R50" s="39">
        <f>IF(tblRota[[#This Row],[Date]]="","",IF(tblRota[[#This Row],[Required (people)]]&gt;0,tblRota[[#This Row],[Fewest on shift (people)]]/tblRota[[#This Row],[Required (people)]],""))</f>
        <v>1.09090909090909</v>
      </c>
      <c r="S50" s="38" t="str">
        <f>IF(NOT(ISNUMBER(tblRota[[#This Row],[Lowest coverage]])),"",IF(tblRota[[#This Row],[Lowest coverage]]&gt;=TargetCover,"On target",IF(tblRota[[#This Row],[Lowest coverage]]&gt;=TargetCover*(1-0.05),"Near target","Below target")))</f>
        <v>On target</v>
      </c>
      <c r="T50" s="33">
        <f>IF(tblRota[[#This Row],[Date]]="","",(tblRota[[#This Row],[Day on shift (people)]]&lt;tblRota[[#This Row],[Required (people)]])+(tblRota[[#This Row],[Night on shift (people)]]&lt;tblRota[[#This Row],[Required (people)]]))</f>
        <v>0</v>
      </c>
      <c r="U50" s="38" t="str">
        <f>IF(tblRota[[#This Row],[Date]]="","",IF(WEEKDAY(tblRota[[#This Row],[Date]],2)&gt;5,"Yes","No"))</f>
        <v>No</v>
      </c>
      <c r="V50"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50" s="28" t="s">
        <v>135</v>
      </c>
    </row>
    <row r="51" spans="2:23">
      <c r="B51" s="29">
        <v>46345</v>
      </c>
      <c r="C51" s="38" t="str">
        <f>IF(tblRota[[#This Row],[Date]]="","",CHOOSE(WEEKDAY(tblRota[[#This Row],[Date]],2),"Mon","Tue","Wed","Thu","Fri","Sat","Sun"))</f>
        <v>Thu</v>
      </c>
      <c r="D51" s="28" t="s">
        <v>134</v>
      </c>
      <c r="E51" s="33">
        <f>IF(tblRota[[#This Row],[Date]]="","",MOD(tblRota[[#This Row],[Date]]-Anchor,CycleDays)+1)</f>
        <v>18</v>
      </c>
      <c r="F51" s="38" t="str">
        <f>IF(tblRota[[#This Row],[Date]]="","",IF(tblRota[[#This Row],[Cycle day]]="","",INDEX(tblPatterns[Active],MOD(tblRota[[#This Row],[Date]]-Anchor+CrewOffset*0,CycleDays)+1)))</f>
        <v>O</v>
      </c>
      <c r="G51" s="38" t="str">
        <f>IF(tblRota[[#This Row],[Date]]="","",IF(tblRota[[#This Row],[Cycle day]]="","",INDEX(tblPatterns[Active],MOD(tblRota[[#This Row],[Date]]-Anchor+CrewOffset*1,CycleDays)+1)))</f>
        <v>N</v>
      </c>
      <c r="H51" s="38" t="str">
        <f>IF(tblRota[[#This Row],[Date]]="","",IF(tblRota[[#This Row],[Cycle day]]="","",INDEX(tblPatterns[Active],MOD(tblRota[[#This Row],[Date]]-Anchor+CrewOffset*2,CycleDays)+1)))</f>
        <v>O</v>
      </c>
      <c r="I51" s="38" t="str">
        <f>IF(tblRota[[#This Row],[Date]]="","",IF(tblRota[[#This Row],[Cycle day]]="","",INDEX(tblPatterns[Active],MOD(tblRota[[#This Row],[Date]]-Anchor+CrewOffset*3,CycleDays)+1)))</f>
        <v>D</v>
      </c>
      <c r="J51" s="38" t="str">
        <f>IF(tblRota[[#This Row],[Date]]="","",IF(tblRota[[#This Row],[Crew A]]="D","A",IF(tblRota[[#This Row],[Crew B]]="D","B",IF(tblRota[[#This Row],[Crew C]]="D","C",IF(tblRota[[#This Row],[Crew D]]="D","D","")))))</f>
        <v>D</v>
      </c>
      <c r="K51" s="38" t="str">
        <f>IF(tblRota[[#This Row],[Date]]="","",IF(tblRota[[#This Row],[Crew A]]="N","A",IF(tblRota[[#This Row],[Crew B]]="N","B",IF(tblRota[[#This Row],[Crew C]]="N","C",IF(tblRota[[#This Row],[Crew D]]="N","D","")))))</f>
        <v>B</v>
      </c>
      <c r="L51" s="30">
        <v>0</v>
      </c>
      <c r="M51" s="30">
        <v>0</v>
      </c>
      <c r="N51" s="33">
        <f>IF(tblRota[[#This Row],[Date]]="","",IFERROR(INDEX(tblCrews[People],MATCH(tblRota[[#This Row],[Day crew]],tblCrews[Crew],0)),0)-tblRota[[#This Row],[Day absent (people)]])</f>
        <v>12</v>
      </c>
      <c r="O51" s="33">
        <f>IF(tblRota[[#This Row],[Date]]="","",IFERROR(INDEX(tblCrews[People],MATCH(tblRota[[#This Row],[Night crew]],tblCrews[Crew],0)),0)-tblRota[[#This Row],[Night absent (people)]])</f>
        <v>12</v>
      </c>
      <c r="P51" s="33">
        <f>IF(tblRota[[#This Row],[Date]]="","",MIN(tblRota[[#This Row],[Day on shift (people)]],tblRota[[#This Row],[Night on shift (people)]]))</f>
        <v>12</v>
      </c>
      <c r="Q51" s="33">
        <f>IF(tblRota[[#This Row],[Date]]="","",ReqPerShift)</f>
        <v>11</v>
      </c>
      <c r="R51" s="39">
        <f>IF(tblRota[[#This Row],[Date]]="","",IF(tblRota[[#This Row],[Required (people)]]&gt;0,tblRota[[#This Row],[Fewest on shift (people)]]/tblRota[[#This Row],[Required (people)]],""))</f>
        <v>1.09090909090909</v>
      </c>
      <c r="S51" s="38" t="str">
        <f>IF(NOT(ISNUMBER(tblRota[[#This Row],[Lowest coverage]])),"",IF(tblRota[[#This Row],[Lowest coverage]]&gt;=TargetCover,"On target",IF(tblRota[[#This Row],[Lowest coverage]]&gt;=TargetCover*(1-0.05),"Near target","Below target")))</f>
        <v>On target</v>
      </c>
      <c r="T51" s="33">
        <f>IF(tblRota[[#This Row],[Date]]="","",(tblRota[[#This Row],[Day on shift (people)]]&lt;tblRota[[#This Row],[Required (people)]])+(tblRota[[#This Row],[Night on shift (people)]]&lt;tblRota[[#This Row],[Required (people)]]))</f>
        <v>0</v>
      </c>
      <c r="U51" s="38" t="str">
        <f>IF(tblRota[[#This Row],[Date]]="","",IF(WEEKDAY(tblRota[[#This Row],[Date]],2)&gt;5,"Yes","No"))</f>
        <v>No</v>
      </c>
      <c r="V51"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51" s="28" t="s">
        <v>135</v>
      </c>
    </row>
    <row r="52" spans="2:23">
      <c r="B52" s="29">
        <v>46346</v>
      </c>
      <c r="C52" s="38" t="str">
        <f>IF(tblRota[[#This Row],[Date]]="","",CHOOSE(WEEKDAY(tblRota[[#This Row],[Date]],2),"Mon","Tue","Wed","Thu","Fri","Sat","Sun"))</f>
        <v>Fri</v>
      </c>
      <c r="D52" s="28" t="s">
        <v>134</v>
      </c>
      <c r="E52" s="33">
        <f>IF(tblRota[[#This Row],[Date]]="","",MOD(tblRota[[#This Row],[Date]]-Anchor,CycleDays)+1)</f>
        <v>19</v>
      </c>
      <c r="F52" s="38" t="str">
        <f>IF(tblRota[[#This Row],[Date]]="","",IF(tblRota[[#This Row],[Cycle day]]="","",INDEX(tblPatterns[Active],MOD(tblRota[[#This Row],[Date]]-Anchor+CrewOffset*0,CycleDays)+1)))</f>
        <v>N</v>
      </c>
      <c r="G52" s="38" t="str">
        <f>IF(tblRota[[#This Row],[Date]]="","",IF(tblRota[[#This Row],[Cycle day]]="","",INDEX(tblPatterns[Active],MOD(tblRota[[#This Row],[Date]]-Anchor+CrewOffset*1,CycleDays)+1)))</f>
        <v>O</v>
      </c>
      <c r="H52" s="38" t="str">
        <f>IF(tblRota[[#This Row],[Date]]="","",IF(tblRota[[#This Row],[Cycle day]]="","",INDEX(tblPatterns[Active],MOD(tblRota[[#This Row],[Date]]-Anchor+CrewOffset*2,CycleDays)+1)))</f>
        <v>D</v>
      </c>
      <c r="I52" s="38" t="str">
        <f>IF(tblRota[[#This Row],[Date]]="","",IF(tblRota[[#This Row],[Cycle day]]="","",INDEX(tblPatterns[Active],MOD(tblRota[[#This Row],[Date]]-Anchor+CrewOffset*3,CycleDays)+1)))</f>
        <v>O</v>
      </c>
      <c r="J52" s="38" t="str">
        <f>IF(tblRota[[#This Row],[Date]]="","",IF(tblRota[[#This Row],[Crew A]]="D","A",IF(tblRota[[#This Row],[Crew B]]="D","B",IF(tblRota[[#This Row],[Crew C]]="D","C",IF(tblRota[[#This Row],[Crew D]]="D","D","")))))</f>
        <v>C</v>
      </c>
      <c r="K52" s="38" t="str">
        <f>IF(tblRota[[#This Row],[Date]]="","",IF(tblRota[[#This Row],[Crew A]]="N","A",IF(tblRota[[#This Row],[Crew B]]="N","B",IF(tblRota[[#This Row],[Crew C]]="N","C",IF(tblRota[[#This Row],[Crew D]]="N","D","")))))</f>
        <v>A</v>
      </c>
      <c r="L52" s="30">
        <v>0</v>
      </c>
      <c r="M52" s="30">
        <v>2</v>
      </c>
      <c r="N52" s="33">
        <f>IF(tblRota[[#This Row],[Date]]="","",IFERROR(INDEX(tblCrews[People],MATCH(tblRota[[#This Row],[Day crew]],tblCrews[Crew],0)),0)-tblRota[[#This Row],[Day absent (people)]])</f>
        <v>11</v>
      </c>
      <c r="O52" s="33">
        <f>IF(tblRota[[#This Row],[Date]]="","",IFERROR(INDEX(tblCrews[People],MATCH(tblRota[[#This Row],[Night crew]],tblCrews[Crew],0)),0)-tblRota[[#This Row],[Night absent (people)]])</f>
        <v>10</v>
      </c>
      <c r="P52" s="33">
        <f>IF(tblRota[[#This Row],[Date]]="","",MIN(tblRota[[#This Row],[Day on shift (people)]],tblRota[[#This Row],[Night on shift (people)]]))</f>
        <v>10</v>
      </c>
      <c r="Q52" s="33">
        <f>IF(tblRota[[#This Row],[Date]]="","",ReqPerShift)</f>
        <v>11</v>
      </c>
      <c r="R52" s="39">
        <f>IF(tblRota[[#This Row],[Date]]="","",IF(tblRota[[#This Row],[Required (people)]]&gt;0,tblRota[[#This Row],[Fewest on shift (people)]]/tblRota[[#This Row],[Required (people)]],""))</f>
        <v>0.909090909090909</v>
      </c>
      <c r="S52" s="38" t="str">
        <f>IF(NOT(ISNUMBER(tblRota[[#This Row],[Lowest coverage]])),"",IF(tblRota[[#This Row],[Lowest coverage]]&gt;=TargetCover,"On target",IF(tblRota[[#This Row],[Lowest coverage]]&gt;=TargetCover*(1-0.05),"Near target","Below target")))</f>
        <v>Below target</v>
      </c>
      <c r="T52" s="33">
        <f>IF(tblRota[[#This Row],[Date]]="","",(tblRota[[#This Row],[Day on shift (people)]]&lt;tblRota[[#This Row],[Required (people)]])+(tblRota[[#This Row],[Night on shift (people)]]&lt;tblRota[[#This Row],[Required (people)]]))</f>
        <v>1</v>
      </c>
      <c r="U52" s="38" t="str">
        <f>IF(tblRota[[#This Row],[Date]]="","",IF(WEEKDAY(tblRota[[#This Row],[Date]],2)&gt;5,"Yes","No"))</f>
        <v>No</v>
      </c>
      <c r="V52"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52" s="28" t="s">
        <v>135</v>
      </c>
    </row>
    <row r="53" spans="2:23">
      <c r="B53" s="29">
        <v>46347</v>
      </c>
      <c r="C53" s="38" t="str">
        <f>IF(tblRota[[#This Row],[Date]]="","",CHOOSE(WEEKDAY(tblRota[[#This Row],[Date]],2),"Mon","Tue","Wed","Thu","Fri","Sat","Sun"))</f>
        <v>Sat</v>
      </c>
      <c r="D53" s="28" t="s">
        <v>134</v>
      </c>
      <c r="E53" s="33">
        <f>IF(tblRota[[#This Row],[Date]]="","",MOD(tblRota[[#This Row],[Date]]-Anchor,CycleDays)+1)</f>
        <v>20</v>
      </c>
      <c r="F53" s="38" t="str">
        <f>IF(tblRota[[#This Row],[Date]]="","",IF(tblRota[[#This Row],[Cycle day]]="","",INDEX(tblPatterns[Active],MOD(tblRota[[#This Row],[Date]]-Anchor+CrewOffset*0,CycleDays)+1)))</f>
        <v>N</v>
      </c>
      <c r="G53" s="38" t="str">
        <f>IF(tblRota[[#This Row],[Date]]="","",IF(tblRota[[#This Row],[Cycle day]]="","",INDEX(tblPatterns[Active],MOD(tblRota[[#This Row],[Date]]-Anchor+CrewOffset*1,CycleDays)+1)))</f>
        <v>O</v>
      </c>
      <c r="H53" s="38" t="str">
        <f>IF(tblRota[[#This Row],[Date]]="","",IF(tblRota[[#This Row],[Cycle day]]="","",INDEX(tblPatterns[Active],MOD(tblRota[[#This Row],[Date]]-Anchor+CrewOffset*2,CycleDays)+1)))</f>
        <v>D</v>
      </c>
      <c r="I53" s="38" t="str">
        <f>IF(tblRota[[#This Row],[Date]]="","",IF(tblRota[[#This Row],[Cycle day]]="","",INDEX(tblPatterns[Active],MOD(tblRota[[#This Row],[Date]]-Anchor+CrewOffset*3,CycleDays)+1)))</f>
        <v>O</v>
      </c>
      <c r="J53" s="38" t="str">
        <f>IF(tblRota[[#This Row],[Date]]="","",IF(tblRota[[#This Row],[Crew A]]="D","A",IF(tblRota[[#This Row],[Crew B]]="D","B",IF(tblRota[[#This Row],[Crew C]]="D","C",IF(tblRota[[#This Row],[Crew D]]="D","D","")))))</f>
        <v>C</v>
      </c>
      <c r="K53" s="38" t="str">
        <f>IF(tblRota[[#This Row],[Date]]="","",IF(tblRota[[#This Row],[Crew A]]="N","A",IF(tblRota[[#This Row],[Crew B]]="N","B",IF(tblRota[[#This Row],[Crew C]]="N","C",IF(tblRota[[#This Row],[Crew D]]="N","D","")))))</f>
        <v>A</v>
      </c>
      <c r="L53" s="30">
        <v>0</v>
      </c>
      <c r="M53" s="30">
        <v>0</v>
      </c>
      <c r="N53" s="33">
        <f>IF(tblRota[[#This Row],[Date]]="","",IFERROR(INDEX(tblCrews[People],MATCH(tblRota[[#This Row],[Day crew]],tblCrews[Crew],0)),0)-tblRota[[#This Row],[Day absent (people)]])</f>
        <v>11</v>
      </c>
      <c r="O53" s="33">
        <f>IF(tblRota[[#This Row],[Date]]="","",IFERROR(INDEX(tblCrews[People],MATCH(tblRota[[#This Row],[Night crew]],tblCrews[Crew],0)),0)-tblRota[[#This Row],[Night absent (people)]])</f>
        <v>12</v>
      </c>
      <c r="P53" s="33">
        <f>IF(tblRota[[#This Row],[Date]]="","",MIN(tblRota[[#This Row],[Day on shift (people)]],tblRota[[#This Row],[Night on shift (people)]]))</f>
        <v>11</v>
      </c>
      <c r="Q53" s="33">
        <f>IF(tblRota[[#This Row],[Date]]="","",ReqPerShift)</f>
        <v>11</v>
      </c>
      <c r="R53" s="39">
        <f>IF(tblRota[[#This Row],[Date]]="","",IF(tblRota[[#This Row],[Required (people)]]&gt;0,tblRota[[#This Row],[Fewest on shift (people)]]/tblRota[[#This Row],[Required (people)]],""))</f>
        <v>1</v>
      </c>
      <c r="S53" s="38" t="str">
        <f>IF(NOT(ISNUMBER(tblRota[[#This Row],[Lowest coverage]])),"",IF(tblRota[[#This Row],[Lowest coverage]]&gt;=TargetCover,"On target",IF(tblRota[[#This Row],[Lowest coverage]]&gt;=TargetCover*(1-0.05),"Near target","Below target")))</f>
        <v>On target</v>
      </c>
      <c r="T53" s="33">
        <f>IF(tblRota[[#This Row],[Date]]="","",(tblRota[[#This Row],[Day on shift (people)]]&lt;tblRota[[#This Row],[Required (people)]])+(tblRota[[#This Row],[Night on shift (people)]]&lt;tblRota[[#This Row],[Required (people)]]))</f>
        <v>0</v>
      </c>
      <c r="U53" s="38" t="str">
        <f>IF(tblRota[[#This Row],[Date]]="","",IF(WEEKDAY(tblRota[[#This Row],[Date]],2)&gt;5,"Yes","No"))</f>
        <v>Yes</v>
      </c>
      <c r="V53"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53" s="28" t="s">
        <v>135</v>
      </c>
    </row>
    <row r="54" spans="2:23">
      <c r="B54" s="29">
        <v>46348</v>
      </c>
      <c r="C54" s="38" t="str">
        <f>IF(tblRota[[#This Row],[Date]]="","",CHOOSE(WEEKDAY(tblRota[[#This Row],[Date]],2),"Mon","Tue","Wed","Thu","Fri","Sat","Sun"))</f>
        <v>Sun</v>
      </c>
      <c r="D54" s="28" t="s">
        <v>134</v>
      </c>
      <c r="E54" s="33">
        <f>IF(tblRota[[#This Row],[Date]]="","",MOD(tblRota[[#This Row],[Date]]-Anchor,CycleDays)+1)</f>
        <v>21</v>
      </c>
      <c r="F54" s="38" t="str">
        <f>IF(tblRota[[#This Row],[Date]]="","",IF(tblRota[[#This Row],[Cycle day]]="","",INDEX(tblPatterns[Active],MOD(tblRota[[#This Row],[Date]]-Anchor+CrewOffset*0,CycleDays)+1)))</f>
        <v>N</v>
      </c>
      <c r="G54" s="38" t="str">
        <f>IF(tblRota[[#This Row],[Date]]="","",IF(tblRota[[#This Row],[Cycle day]]="","",INDEX(tblPatterns[Active],MOD(tblRota[[#This Row],[Date]]-Anchor+CrewOffset*1,CycleDays)+1)))</f>
        <v>O</v>
      </c>
      <c r="H54" s="38" t="str">
        <f>IF(tblRota[[#This Row],[Date]]="","",IF(tblRota[[#This Row],[Cycle day]]="","",INDEX(tblPatterns[Active],MOD(tblRota[[#This Row],[Date]]-Anchor+CrewOffset*2,CycleDays)+1)))</f>
        <v>D</v>
      </c>
      <c r="I54" s="38" t="str">
        <f>IF(tblRota[[#This Row],[Date]]="","",IF(tblRota[[#This Row],[Cycle day]]="","",INDEX(tblPatterns[Active],MOD(tblRota[[#This Row],[Date]]-Anchor+CrewOffset*3,CycleDays)+1)))</f>
        <v>O</v>
      </c>
      <c r="J54" s="38" t="str">
        <f>IF(tblRota[[#This Row],[Date]]="","",IF(tblRota[[#This Row],[Crew A]]="D","A",IF(tblRota[[#This Row],[Crew B]]="D","B",IF(tblRota[[#This Row],[Crew C]]="D","C",IF(tblRota[[#This Row],[Crew D]]="D","D","")))))</f>
        <v>C</v>
      </c>
      <c r="K54" s="38" t="str">
        <f>IF(tblRota[[#This Row],[Date]]="","",IF(tblRota[[#This Row],[Crew A]]="N","A",IF(tblRota[[#This Row],[Crew B]]="N","B",IF(tblRota[[#This Row],[Crew C]]="N","C",IF(tblRota[[#This Row],[Crew D]]="N","D","")))))</f>
        <v>A</v>
      </c>
      <c r="L54" s="30">
        <v>0</v>
      </c>
      <c r="M54" s="30">
        <v>0</v>
      </c>
      <c r="N54" s="33">
        <f>IF(tblRota[[#This Row],[Date]]="","",IFERROR(INDEX(tblCrews[People],MATCH(tblRota[[#This Row],[Day crew]],tblCrews[Crew],0)),0)-tblRota[[#This Row],[Day absent (people)]])</f>
        <v>11</v>
      </c>
      <c r="O54" s="33">
        <f>IF(tblRota[[#This Row],[Date]]="","",IFERROR(INDEX(tblCrews[People],MATCH(tblRota[[#This Row],[Night crew]],tblCrews[Crew],0)),0)-tblRota[[#This Row],[Night absent (people)]])</f>
        <v>12</v>
      </c>
      <c r="P54" s="33">
        <f>IF(tblRota[[#This Row],[Date]]="","",MIN(tblRota[[#This Row],[Day on shift (people)]],tblRota[[#This Row],[Night on shift (people)]]))</f>
        <v>11</v>
      </c>
      <c r="Q54" s="33">
        <f>IF(tblRota[[#This Row],[Date]]="","",ReqPerShift)</f>
        <v>11</v>
      </c>
      <c r="R54" s="39">
        <f>IF(tblRota[[#This Row],[Date]]="","",IF(tblRota[[#This Row],[Required (people)]]&gt;0,tblRota[[#This Row],[Fewest on shift (people)]]/tblRota[[#This Row],[Required (people)]],""))</f>
        <v>1</v>
      </c>
      <c r="S54" s="38" t="str">
        <f>IF(NOT(ISNUMBER(tblRota[[#This Row],[Lowest coverage]])),"",IF(tblRota[[#This Row],[Lowest coverage]]&gt;=TargetCover,"On target",IF(tblRota[[#This Row],[Lowest coverage]]&gt;=TargetCover*(1-0.05),"Near target","Below target")))</f>
        <v>On target</v>
      </c>
      <c r="T54" s="33">
        <f>IF(tblRota[[#This Row],[Date]]="","",(tblRota[[#This Row],[Day on shift (people)]]&lt;tblRota[[#This Row],[Required (people)]])+(tblRota[[#This Row],[Night on shift (people)]]&lt;tblRota[[#This Row],[Required (people)]]))</f>
        <v>0</v>
      </c>
      <c r="U54" s="38" t="str">
        <f>IF(tblRota[[#This Row],[Date]]="","",IF(WEEKDAY(tblRota[[#This Row],[Date]],2)&gt;5,"Yes","No"))</f>
        <v>Yes</v>
      </c>
      <c r="V54"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54" s="28" t="s">
        <v>135</v>
      </c>
    </row>
    <row r="55" spans="2:23">
      <c r="B55" s="29">
        <v>46349</v>
      </c>
      <c r="C55" s="38" t="str">
        <f>IF(tblRota[[#This Row],[Date]]="","",CHOOSE(WEEKDAY(tblRota[[#This Row],[Date]],2),"Mon","Tue","Wed","Thu","Fri","Sat","Sun"))</f>
        <v>Mon</v>
      </c>
      <c r="D55" s="28" t="s">
        <v>134</v>
      </c>
      <c r="E55" s="33">
        <f>IF(tblRota[[#This Row],[Date]]="","",MOD(tblRota[[#This Row],[Date]]-Anchor,CycleDays)+1)</f>
        <v>22</v>
      </c>
      <c r="F55" s="38" t="str">
        <f>IF(tblRota[[#This Row],[Date]]="","",IF(tblRota[[#This Row],[Cycle day]]="","",INDEX(tblPatterns[Active],MOD(tblRota[[#This Row],[Date]]-Anchor+CrewOffset*0,CycleDays)+1)))</f>
        <v>O</v>
      </c>
      <c r="G55" s="38" t="str">
        <f>IF(tblRota[[#This Row],[Date]]="","",IF(tblRota[[#This Row],[Cycle day]]="","",INDEX(tblPatterns[Active],MOD(tblRota[[#This Row],[Date]]-Anchor+CrewOffset*1,CycleDays)+1)))</f>
        <v>D</v>
      </c>
      <c r="H55" s="38" t="str">
        <f>IF(tblRota[[#This Row],[Date]]="","",IF(tblRota[[#This Row],[Cycle day]]="","",INDEX(tblPatterns[Active],MOD(tblRota[[#This Row],[Date]]-Anchor+CrewOffset*2,CycleDays)+1)))</f>
        <v>O</v>
      </c>
      <c r="I55" s="38" t="str">
        <f>IF(tblRota[[#This Row],[Date]]="","",IF(tblRota[[#This Row],[Cycle day]]="","",INDEX(tblPatterns[Active],MOD(tblRota[[#This Row],[Date]]-Anchor+CrewOffset*3,CycleDays)+1)))</f>
        <v>N</v>
      </c>
      <c r="J55" s="38" t="str">
        <f>IF(tblRota[[#This Row],[Date]]="","",IF(tblRota[[#This Row],[Crew A]]="D","A",IF(tblRota[[#This Row],[Crew B]]="D","B",IF(tblRota[[#This Row],[Crew C]]="D","C",IF(tblRota[[#This Row],[Crew D]]="D","D","")))))</f>
        <v>B</v>
      </c>
      <c r="K55" s="38" t="str">
        <f>IF(tblRota[[#This Row],[Date]]="","",IF(tblRota[[#This Row],[Crew A]]="N","A",IF(tblRota[[#This Row],[Crew B]]="N","B",IF(tblRota[[#This Row],[Crew C]]="N","C",IF(tblRota[[#This Row],[Crew D]]="N","D","")))))</f>
        <v>D</v>
      </c>
      <c r="L55" s="30">
        <v>0</v>
      </c>
      <c r="M55" s="30">
        <v>0</v>
      </c>
      <c r="N55" s="33">
        <f>IF(tblRota[[#This Row],[Date]]="","",IFERROR(INDEX(tblCrews[People],MATCH(tblRota[[#This Row],[Day crew]],tblCrews[Crew],0)),0)-tblRota[[#This Row],[Day absent (people)]])</f>
        <v>12</v>
      </c>
      <c r="O55" s="33">
        <f>IF(tblRota[[#This Row],[Date]]="","",IFERROR(INDEX(tblCrews[People],MATCH(tblRota[[#This Row],[Night crew]],tblCrews[Crew],0)),0)-tblRota[[#This Row],[Night absent (people)]])</f>
        <v>12</v>
      </c>
      <c r="P55" s="33">
        <f>IF(tblRota[[#This Row],[Date]]="","",MIN(tblRota[[#This Row],[Day on shift (people)]],tblRota[[#This Row],[Night on shift (people)]]))</f>
        <v>12</v>
      </c>
      <c r="Q55" s="33">
        <f>IF(tblRota[[#This Row],[Date]]="","",ReqPerShift)</f>
        <v>11</v>
      </c>
      <c r="R55" s="39">
        <f>IF(tblRota[[#This Row],[Date]]="","",IF(tblRota[[#This Row],[Required (people)]]&gt;0,tblRota[[#This Row],[Fewest on shift (people)]]/tblRota[[#This Row],[Required (people)]],""))</f>
        <v>1.09090909090909</v>
      </c>
      <c r="S55" s="38" t="str">
        <f>IF(NOT(ISNUMBER(tblRota[[#This Row],[Lowest coverage]])),"",IF(tblRota[[#This Row],[Lowest coverage]]&gt;=TargetCover,"On target",IF(tblRota[[#This Row],[Lowest coverage]]&gt;=TargetCover*(1-0.05),"Near target","Below target")))</f>
        <v>On target</v>
      </c>
      <c r="T55" s="33">
        <f>IF(tblRota[[#This Row],[Date]]="","",(tblRota[[#This Row],[Day on shift (people)]]&lt;tblRota[[#This Row],[Required (people)]])+(tblRota[[#This Row],[Night on shift (people)]]&lt;tblRota[[#This Row],[Required (people)]]))</f>
        <v>0</v>
      </c>
      <c r="U55" s="38" t="str">
        <f>IF(tblRota[[#This Row],[Date]]="","",IF(WEEKDAY(tblRota[[#This Row],[Date]],2)&gt;5,"Yes","No"))</f>
        <v>No</v>
      </c>
      <c r="V55"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55" s="28" t="s">
        <v>135</v>
      </c>
    </row>
    <row r="56" spans="2:23">
      <c r="B56" s="29">
        <v>46350</v>
      </c>
      <c r="C56" s="38" t="str">
        <f>IF(tblRota[[#This Row],[Date]]="","",CHOOSE(WEEKDAY(tblRota[[#This Row],[Date]],2),"Mon","Tue","Wed","Thu","Fri","Sat","Sun"))</f>
        <v>Tue</v>
      </c>
      <c r="D56" s="28" t="s">
        <v>134</v>
      </c>
      <c r="E56" s="33">
        <f>IF(tblRota[[#This Row],[Date]]="","",MOD(tblRota[[#This Row],[Date]]-Anchor,CycleDays)+1)</f>
        <v>23</v>
      </c>
      <c r="F56" s="38" t="str">
        <f>IF(tblRota[[#This Row],[Date]]="","",IF(tblRota[[#This Row],[Cycle day]]="","",INDEX(tblPatterns[Active],MOD(tblRota[[#This Row],[Date]]-Anchor+CrewOffset*0,CycleDays)+1)))</f>
        <v>O</v>
      </c>
      <c r="G56" s="38" t="str">
        <f>IF(tblRota[[#This Row],[Date]]="","",IF(tblRota[[#This Row],[Cycle day]]="","",INDEX(tblPatterns[Active],MOD(tblRota[[#This Row],[Date]]-Anchor+CrewOffset*1,CycleDays)+1)))</f>
        <v>D</v>
      </c>
      <c r="H56" s="38" t="str">
        <f>IF(tblRota[[#This Row],[Date]]="","",IF(tblRota[[#This Row],[Cycle day]]="","",INDEX(tblPatterns[Active],MOD(tblRota[[#This Row],[Date]]-Anchor+CrewOffset*2,CycleDays)+1)))</f>
        <v>O</v>
      </c>
      <c r="I56" s="38" t="str">
        <f>IF(tblRota[[#This Row],[Date]]="","",IF(tblRota[[#This Row],[Cycle day]]="","",INDEX(tblPatterns[Active],MOD(tblRota[[#This Row],[Date]]-Anchor+CrewOffset*3,CycleDays)+1)))</f>
        <v>N</v>
      </c>
      <c r="J56" s="38" t="str">
        <f>IF(tblRota[[#This Row],[Date]]="","",IF(tblRota[[#This Row],[Crew A]]="D","A",IF(tblRota[[#This Row],[Crew B]]="D","B",IF(tblRota[[#This Row],[Crew C]]="D","C",IF(tblRota[[#This Row],[Crew D]]="D","D","")))))</f>
        <v>B</v>
      </c>
      <c r="K56" s="38" t="str">
        <f>IF(tblRota[[#This Row],[Date]]="","",IF(tblRota[[#This Row],[Crew A]]="N","A",IF(tblRota[[#This Row],[Crew B]]="N","B",IF(tblRota[[#This Row],[Crew C]]="N","C",IF(tblRota[[#This Row],[Crew D]]="N","D","")))))</f>
        <v>D</v>
      </c>
      <c r="L56" s="30">
        <v>0</v>
      </c>
      <c r="M56" s="30">
        <v>0</v>
      </c>
      <c r="N56" s="33">
        <f>IF(tblRota[[#This Row],[Date]]="","",IFERROR(INDEX(tblCrews[People],MATCH(tblRota[[#This Row],[Day crew]],tblCrews[Crew],0)),0)-tblRota[[#This Row],[Day absent (people)]])</f>
        <v>12</v>
      </c>
      <c r="O56" s="33">
        <f>IF(tblRota[[#This Row],[Date]]="","",IFERROR(INDEX(tblCrews[People],MATCH(tblRota[[#This Row],[Night crew]],tblCrews[Crew],0)),0)-tblRota[[#This Row],[Night absent (people)]])</f>
        <v>12</v>
      </c>
      <c r="P56" s="33">
        <f>IF(tblRota[[#This Row],[Date]]="","",MIN(tblRota[[#This Row],[Day on shift (people)]],tblRota[[#This Row],[Night on shift (people)]]))</f>
        <v>12</v>
      </c>
      <c r="Q56" s="33">
        <f>IF(tblRota[[#This Row],[Date]]="","",ReqPerShift)</f>
        <v>11</v>
      </c>
      <c r="R56" s="39">
        <f>IF(tblRota[[#This Row],[Date]]="","",IF(tblRota[[#This Row],[Required (people)]]&gt;0,tblRota[[#This Row],[Fewest on shift (people)]]/tblRota[[#This Row],[Required (people)]],""))</f>
        <v>1.09090909090909</v>
      </c>
      <c r="S56" s="38" t="str">
        <f>IF(NOT(ISNUMBER(tblRota[[#This Row],[Lowest coverage]])),"",IF(tblRota[[#This Row],[Lowest coverage]]&gt;=TargetCover,"On target",IF(tblRota[[#This Row],[Lowest coverage]]&gt;=TargetCover*(1-0.05),"Near target","Below target")))</f>
        <v>On target</v>
      </c>
      <c r="T56" s="33">
        <f>IF(tblRota[[#This Row],[Date]]="","",(tblRota[[#This Row],[Day on shift (people)]]&lt;tblRota[[#This Row],[Required (people)]])+(tblRota[[#This Row],[Night on shift (people)]]&lt;tblRota[[#This Row],[Required (people)]]))</f>
        <v>0</v>
      </c>
      <c r="U56" s="38" t="str">
        <f>IF(tblRota[[#This Row],[Date]]="","",IF(WEEKDAY(tblRota[[#This Row],[Date]],2)&gt;5,"Yes","No"))</f>
        <v>No</v>
      </c>
      <c r="V56"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56" s="28" t="s">
        <v>135</v>
      </c>
    </row>
    <row r="57" spans="2:23">
      <c r="B57" s="29">
        <v>46351</v>
      </c>
      <c r="C57" s="38" t="str">
        <f>IF(tblRota[[#This Row],[Date]]="","",CHOOSE(WEEKDAY(tblRota[[#This Row],[Date]],2),"Mon","Tue","Wed","Thu","Fri","Sat","Sun"))</f>
        <v>Wed</v>
      </c>
      <c r="D57" s="28" t="s">
        <v>134</v>
      </c>
      <c r="E57" s="33">
        <f>IF(tblRota[[#This Row],[Date]]="","",MOD(tblRota[[#This Row],[Date]]-Anchor,CycleDays)+1)</f>
        <v>24</v>
      </c>
      <c r="F57" s="38" t="str">
        <f>IF(tblRota[[#This Row],[Date]]="","",IF(tblRota[[#This Row],[Cycle day]]="","",INDEX(tblPatterns[Active],MOD(tblRota[[#This Row],[Date]]-Anchor+CrewOffset*0,CycleDays)+1)))</f>
        <v>N</v>
      </c>
      <c r="G57" s="38" t="str">
        <f>IF(tblRota[[#This Row],[Date]]="","",IF(tblRota[[#This Row],[Cycle day]]="","",INDEX(tblPatterns[Active],MOD(tblRota[[#This Row],[Date]]-Anchor+CrewOffset*1,CycleDays)+1)))</f>
        <v>O</v>
      </c>
      <c r="H57" s="38" t="str">
        <f>IF(tblRota[[#This Row],[Date]]="","",IF(tblRota[[#This Row],[Cycle day]]="","",INDEX(tblPatterns[Active],MOD(tblRota[[#This Row],[Date]]-Anchor+CrewOffset*2,CycleDays)+1)))</f>
        <v>D</v>
      </c>
      <c r="I57" s="38" t="str">
        <f>IF(tblRota[[#This Row],[Date]]="","",IF(tblRota[[#This Row],[Cycle day]]="","",INDEX(tblPatterns[Active],MOD(tblRota[[#This Row],[Date]]-Anchor+CrewOffset*3,CycleDays)+1)))</f>
        <v>O</v>
      </c>
      <c r="J57" s="38" t="str">
        <f>IF(tblRota[[#This Row],[Date]]="","",IF(tblRota[[#This Row],[Crew A]]="D","A",IF(tblRota[[#This Row],[Crew B]]="D","B",IF(tblRota[[#This Row],[Crew C]]="D","C",IF(tblRota[[#This Row],[Crew D]]="D","D","")))))</f>
        <v>C</v>
      </c>
      <c r="K57" s="38" t="str">
        <f>IF(tblRota[[#This Row],[Date]]="","",IF(tblRota[[#This Row],[Crew A]]="N","A",IF(tblRota[[#This Row],[Crew B]]="N","B",IF(tblRota[[#This Row],[Crew C]]="N","C",IF(tblRota[[#This Row],[Crew D]]="N","D","")))))</f>
        <v>A</v>
      </c>
      <c r="L57" s="30">
        <v>0</v>
      </c>
      <c r="M57" s="30">
        <v>0</v>
      </c>
      <c r="N57" s="33">
        <f>IF(tblRota[[#This Row],[Date]]="","",IFERROR(INDEX(tblCrews[People],MATCH(tblRota[[#This Row],[Day crew]],tblCrews[Crew],0)),0)-tblRota[[#This Row],[Day absent (people)]])</f>
        <v>11</v>
      </c>
      <c r="O57" s="33">
        <f>IF(tblRota[[#This Row],[Date]]="","",IFERROR(INDEX(tblCrews[People],MATCH(tblRota[[#This Row],[Night crew]],tblCrews[Crew],0)),0)-tblRota[[#This Row],[Night absent (people)]])</f>
        <v>12</v>
      </c>
      <c r="P57" s="33">
        <f>IF(tblRota[[#This Row],[Date]]="","",MIN(tblRota[[#This Row],[Day on shift (people)]],tblRota[[#This Row],[Night on shift (people)]]))</f>
        <v>11</v>
      </c>
      <c r="Q57" s="33">
        <f>IF(tblRota[[#This Row],[Date]]="","",ReqPerShift)</f>
        <v>11</v>
      </c>
      <c r="R57" s="39">
        <f>IF(tblRota[[#This Row],[Date]]="","",IF(tblRota[[#This Row],[Required (people)]]&gt;0,tblRota[[#This Row],[Fewest on shift (people)]]/tblRota[[#This Row],[Required (people)]],""))</f>
        <v>1</v>
      </c>
      <c r="S57" s="38" t="str">
        <f>IF(NOT(ISNUMBER(tblRota[[#This Row],[Lowest coverage]])),"",IF(tblRota[[#This Row],[Lowest coverage]]&gt;=TargetCover,"On target",IF(tblRota[[#This Row],[Lowest coverage]]&gt;=TargetCover*(1-0.05),"Near target","Below target")))</f>
        <v>On target</v>
      </c>
      <c r="T57" s="33">
        <f>IF(tblRota[[#This Row],[Date]]="","",(tblRota[[#This Row],[Day on shift (people)]]&lt;tblRota[[#This Row],[Required (people)]])+(tblRota[[#This Row],[Night on shift (people)]]&lt;tblRota[[#This Row],[Required (people)]]))</f>
        <v>0</v>
      </c>
      <c r="U57" s="38" t="str">
        <f>IF(tblRota[[#This Row],[Date]]="","",IF(WEEKDAY(tblRota[[#This Row],[Date]],2)&gt;5,"Yes","No"))</f>
        <v>No</v>
      </c>
      <c r="V57"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57" s="28" t="s">
        <v>135</v>
      </c>
    </row>
    <row r="58" spans="2:23">
      <c r="B58" s="29">
        <v>46352</v>
      </c>
      <c r="C58" s="38" t="str">
        <f>IF(tblRota[[#This Row],[Date]]="","",CHOOSE(WEEKDAY(tblRota[[#This Row],[Date]],2),"Mon","Tue","Wed","Thu","Fri","Sat","Sun"))</f>
        <v>Thu</v>
      </c>
      <c r="D58" s="28" t="s">
        <v>134</v>
      </c>
      <c r="E58" s="33">
        <f>IF(tblRota[[#This Row],[Date]]="","",MOD(tblRota[[#This Row],[Date]]-Anchor,CycleDays)+1)</f>
        <v>25</v>
      </c>
      <c r="F58" s="38" t="str">
        <f>IF(tblRota[[#This Row],[Date]]="","",IF(tblRota[[#This Row],[Cycle day]]="","",INDEX(tblPatterns[Active],MOD(tblRota[[#This Row],[Date]]-Anchor+CrewOffset*0,CycleDays)+1)))</f>
        <v>N</v>
      </c>
      <c r="G58" s="38" t="str">
        <f>IF(tblRota[[#This Row],[Date]]="","",IF(tblRota[[#This Row],[Cycle day]]="","",INDEX(tblPatterns[Active],MOD(tblRota[[#This Row],[Date]]-Anchor+CrewOffset*1,CycleDays)+1)))</f>
        <v>O</v>
      </c>
      <c r="H58" s="38" t="str">
        <f>IF(tblRota[[#This Row],[Date]]="","",IF(tblRota[[#This Row],[Cycle day]]="","",INDEX(tblPatterns[Active],MOD(tblRota[[#This Row],[Date]]-Anchor+CrewOffset*2,CycleDays)+1)))</f>
        <v>D</v>
      </c>
      <c r="I58" s="38" t="str">
        <f>IF(tblRota[[#This Row],[Date]]="","",IF(tblRota[[#This Row],[Cycle day]]="","",INDEX(tblPatterns[Active],MOD(tblRota[[#This Row],[Date]]-Anchor+CrewOffset*3,CycleDays)+1)))</f>
        <v>O</v>
      </c>
      <c r="J58" s="38" t="str">
        <f>IF(tblRota[[#This Row],[Date]]="","",IF(tblRota[[#This Row],[Crew A]]="D","A",IF(tblRota[[#This Row],[Crew B]]="D","B",IF(tblRota[[#This Row],[Crew C]]="D","C",IF(tblRota[[#This Row],[Crew D]]="D","D","")))))</f>
        <v>C</v>
      </c>
      <c r="K58" s="38" t="str">
        <f>IF(tblRota[[#This Row],[Date]]="","",IF(tblRota[[#This Row],[Crew A]]="N","A",IF(tblRota[[#This Row],[Crew B]]="N","B",IF(tblRota[[#This Row],[Crew C]]="N","C",IF(tblRota[[#This Row],[Crew D]]="N","D","")))))</f>
        <v>A</v>
      </c>
      <c r="L58" s="30">
        <v>0</v>
      </c>
      <c r="M58" s="30">
        <v>0</v>
      </c>
      <c r="N58" s="33">
        <f>IF(tblRota[[#This Row],[Date]]="","",IFERROR(INDEX(tblCrews[People],MATCH(tblRota[[#This Row],[Day crew]],tblCrews[Crew],0)),0)-tblRota[[#This Row],[Day absent (people)]])</f>
        <v>11</v>
      </c>
      <c r="O58" s="33">
        <f>IF(tblRota[[#This Row],[Date]]="","",IFERROR(INDEX(tblCrews[People],MATCH(tblRota[[#This Row],[Night crew]],tblCrews[Crew],0)),0)-tblRota[[#This Row],[Night absent (people)]])</f>
        <v>12</v>
      </c>
      <c r="P58" s="33">
        <f>IF(tblRota[[#This Row],[Date]]="","",MIN(tblRota[[#This Row],[Day on shift (people)]],tblRota[[#This Row],[Night on shift (people)]]))</f>
        <v>11</v>
      </c>
      <c r="Q58" s="33">
        <f>IF(tblRota[[#This Row],[Date]]="","",ReqPerShift)</f>
        <v>11</v>
      </c>
      <c r="R58" s="39">
        <f>IF(tblRota[[#This Row],[Date]]="","",IF(tblRota[[#This Row],[Required (people)]]&gt;0,tblRota[[#This Row],[Fewest on shift (people)]]/tblRota[[#This Row],[Required (people)]],""))</f>
        <v>1</v>
      </c>
      <c r="S58" s="38" t="str">
        <f>IF(NOT(ISNUMBER(tblRota[[#This Row],[Lowest coverage]])),"",IF(tblRota[[#This Row],[Lowest coverage]]&gt;=TargetCover,"On target",IF(tblRota[[#This Row],[Lowest coverage]]&gt;=TargetCover*(1-0.05),"Near target","Below target")))</f>
        <v>On target</v>
      </c>
      <c r="T58" s="33">
        <f>IF(tblRota[[#This Row],[Date]]="","",(tblRota[[#This Row],[Day on shift (people)]]&lt;tblRota[[#This Row],[Required (people)]])+(tblRota[[#This Row],[Night on shift (people)]]&lt;tblRota[[#This Row],[Required (people)]]))</f>
        <v>0</v>
      </c>
      <c r="U58" s="38" t="str">
        <f>IF(tblRota[[#This Row],[Date]]="","",IF(WEEKDAY(tblRota[[#This Row],[Date]],2)&gt;5,"Yes","No"))</f>
        <v>No</v>
      </c>
      <c r="V58"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58" s="28" t="s">
        <v>135</v>
      </c>
    </row>
    <row r="59" spans="2:23">
      <c r="B59" s="29">
        <v>46353</v>
      </c>
      <c r="C59" s="38" t="str">
        <f>IF(tblRota[[#This Row],[Date]]="","",CHOOSE(WEEKDAY(tblRota[[#This Row],[Date]],2),"Mon","Tue","Wed","Thu","Fri","Sat","Sun"))</f>
        <v>Fri</v>
      </c>
      <c r="D59" s="28" t="s">
        <v>134</v>
      </c>
      <c r="E59" s="33">
        <f>IF(tblRota[[#This Row],[Date]]="","",MOD(tblRota[[#This Row],[Date]]-Anchor,CycleDays)+1)</f>
        <v>26</v>
      </c>
      <c r="F59" s="38" t="str">
        <f>IF(tblRota[[#This Row],[Date]]="","",IF(tblRota[[#This Row],[Cycle day]]="","",INDEX(tblPatterns[Active],MOD(tblRota[[#This Row],[Date]]-Anchor+CrewOffset*0,CycleDays)+1)))</f>
        <v>O</v>
      </c>
      <c r="G59" s="38" t="str">
        <f>IF(tblRota[[#This Row],[Date]]="","",IF(tblRota[[#This Row],[Cycle day]]="","",INDEX(tblPatterns[Active],MOD(tblRota[[#This Row],[Date]]-Anchor+CrewOffset*1,CycleDays)+1)))</f>
        <v>D</v>
      </c>
      <c r="H59" s="38" t="str">
        <f>IF(tblRota[[#This Row],[Date]]="","",IF(tblRota[[#This Row],[Cycle day]]="","",INDEX(tblPatterns[Active],MOD(tblRota[[#This Row],[Date]]-Anchor+CrewOffset*2,CycleDays)+1)))</f>
        <v>O</v>
      </c>
      <c r="I59" s="38" t="str">
        <f>IF(tblRota[[#This Row],[Date]]="","",IF(tblRota[[#This Row],[Cycle day]]="","",INDEX(tblPatterns[Active],MOD(tblRota[[#This Row],[Date]]-Anchor+CrewOffset*3,CycleDays)+1)))</f>
        <v>N</v>
      </c>
      <c r="J59" s="38" t="str">
        <f>IF(tblRota[[#This Row],[Date]]="","",IF(tblRota[[#This Row],[Crew A]]="D","A",IF(tblRota[[#This Row],[Crew B]]="D","B",IF(tblRota[[#This Row],[Crew C]]="D","C",IF(tblRota[[#This Row],[Crew D]]="D","D","")))))</f>
        <v>B</v>
      </c>
      <c r="K59" s="38" t="str">
        <f>IF(tblRota[[#This Row],[Date]]="","",IF(tblRota[[#This Row],[Crew A]]="N","A",IF(tblRota[[#This Row],[Crew B]]="N","B",IF(tblRota[[#This Row],[Crew C]]="N","C",IF(tblRota[[#This Row],[Crew D]]="N","D","")))))</f>
        <v>D</v>
      </c>
      <c r="L59" s="30">
        <v>1</v>
      </c>
      <c r="M59" s="30">
        <v>0</v>
      </c>
      <c r="N59" s="33">
        <f>IF(tblRota[[#This Row],[Date]]="","",IFERROR(INDEX(tblCrews[People],MATCH(tblRota[[#This Row],[Day crew]],tblCrews[Crew],0)),0)-tblRota[[#This Row],[Day absent (people)]])</f>
        <v>11</v>
      </c>
      <c r="O59" s="33">
        <f>IF(tblRota[[#This Row],[Date]]="","",IFERROR(INDEX(tblCrews[People],MATCH(tblRota[[#This Row],[Night crew]],tblCrews[Crew],0)),0)-tblRota[[#This Row],[Night absent (people)]])</f>
        <v>12</v>
      </c>
      <c r="P59" s="33">
        <f>IF(tblRota[[#This Row],[Date]]="","",MIN(tblRota[[#This Row],[Day on shift (people)]],tblRota[[#This Row],[Night on shift (people)]]))</f>
        <v>11</v>
      </c>
      <c r="Q59" s="33">
        <f>IF(tblRota[[#This Row],[Date]]="","",ReqPerShift)</f>
        <v>11</v>
      </c>
      <c r="R59" s="39">
        <f>IF(tblRota[[#This Row],[Date]]="","",IF(tblRota[[#This Row],[Required (people)]]&gt;0,tblRota[[#This Row],[Fewest on shift (people)]]/tblRota[[#This Row],[Required (people)]],""))</f>
        <v>1</v>
      </c>
      <c r="S59" s="38" t="str">
        <f>IF(NOT(ISNUMBER(tblRota[[#This Row],[Lowest coverage]])),"",IF(tblRota[[#This Row],[Lowest coverage]]&gt;=TargetCover,"On target",IF(tblRota[[#This Row],[Lowest coverage]]&gt;=TargetCover*(1-0.05),"Near target","Below target")))</f>
        <v>On target</v>
      </c>
      <c r="T59" s="33">
        <f>IF(tblRota[[#This Row],[Date]]="","",(tblRota[[#This Row],[Day on shift (people)]]&lt;tblRota[[#This Row],[Required (people)]])+(tblRota[[#This Row],[Night on shift (people)]]&lt;tblRota[[#This Row],[Required (people)]]))</f>
        <v>0</v>
      </c>
      <c r="U59" s="38" t="str">
        <f>IF(tblRota[[#This Row],[Date]]="","",IF(WEEKDAY(tblRota[[#This Row],[Date]],2)&gt;5,"Yes","No"))</f>
        <v>No</v>
      </c>
      <c r="V59"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59" s="28" t="s">
        <v>135</v>
      </c>
    </row>
    <row r="60" spans="2:23">
      <c r="B60" s="29">
        <v>46354</v>
      </c>
      <c r="C60" s="38" t="str">
        <f>IF(tblRota[[#This Row],[Date]]="","",CHOOSE(WEEKDAY(tblRota[[#This Row],[Date]],2),"Mon","Tue","Wed","Thu","Fri","Sat","Sun"))</f>
        <v>Sat</v>
      </c>
      <c r="D60" s="28" t="s">
        <v>134</v>
      </c>
      <c r="E60" s="33">
        <f>IF(tblRota[[#This Row],[Date]]="","",MOD(tblRota[[#This Row],[Date]]-Anchor,CycleDays)+1)</f>
        <v>27</v>
      </c>
      <c r="F60" s="38" t="str">
        <f>IF(tblRota[[#This Row],[Date]]="","",IF(tblRota[[#This Row],[Cycle day]]="","",INDEX(tblPatterns[Active],MOD(tblRota[[#This Row],[Date]]-Anchor+CrewOffset*0,CycleDays)+1)))</f>
        <v>O</v>
      </c>
      <c r="G60" s="38" t="str">
        <f>IF(tblRota[[#This Row],[Date]]="","",IF(tblRota[[#This Row],[Cycle day]]="","",INDEX(tblPatterns[Active],MOD(tblRota[[#This Row],[Date]]-Anchor+CrewOffset*1,CycleDays)+1)))</f>
        <v>D</v>
      </c>
      <c r="H60" s="38" t="str">
        <f>IF(tblRota[[#This Row],[Date]]="","",IF(tblRota[[#This Row],[Cycle day]]="","",INDEX(tblPatterns[Active],MOD(tblRota[[#This Row],[Date]]-Anchor+CrewOffset*2,CycleDays)+1)))</f>
        <v>O</v>
      </c>
      <c r="I60" s="38" t="str">
        <f>IF(tblRota[[#This Row],[Date]]="","",IF(tblRota[[#This Row],[Cycle day]]="","",INDEX(tblPatterns[Active],MOD(tblRota[[#This Row],[Date]]-Anchor+CrewOffset*3,CycleDays)+1)))</f>
        <v>N</v>
      </c>
      <c r="J60" s="38" t="str">
        <f>IF(tblRota[[#This Row],[Date]]="","",IF(tblRota[[#This Row],[Crew A]]="D","A",IF(tblRota[[#This Row],[Crew B]]="D","B",IF(tblRota[[#This Row],[Crew C]]="D","C",IF(tblRota[[#This Row],[Crew D]]="D","D","")))))</f>
        <v>B</v>
      </c>
      <c r="K60" s="38" t="str">
        <f>IF(tblRota[[#This Row],[Date]]="","",IF(tblRota[[#This Row],[Crew A]]="N","A",IF(tblRota[[#This Row],[Crew B]]="N","B",IF(tblRota[[#This Row],[Crew C]]="N","C",IF(tblRota[[#This Row],[Crew D]]="N","D","")))))</f>
        <v>D</v>
      </c>
      <c r="L60" s="30">
        <v>0</v>
      </c>
      <c r="M60" s="30">
        <v>0</v>
      </c>
      <c r="N60" s="33">
        <f>IF(tblRota[[#This Row],[Date]]="","",IFERROR(INDEX(tblCrews[People],MATCH(tblRota[[#This Row],[Day crew]],tblCrews[Crew],0)),0)-tblRota[[#This Row],[Day absent (people)]])</f>
        <v>12</v>
      </c>
      <c r="O60" s="33">
        <f>IF(tblRota[[#This Row],[Date]]="","",IFERROR(INDEX(tblCrews[People],MATCH(tblRota[[#This Row],[Night crew]],tblCrews[Crew],0)),0)-tblRota[[#This Row],[Night absent (people)]])</f>
        <v>12</v>
      </c>
      <c r="P60" s="33">
        <f>IF(tblRota[[#This Row],[Date]]="","",MIN(tblRota[[#This Row],[Day on shift (people)]],tblRota[[#This Row],[Night on shift (people)]]))</f>
        <v>12</v>
      </c>
      <c r="Q60" s="33">
        <f>IF(tblRota[[#This Row],[Date]]="","",ReqPerShift)</f>
        <v>11</v>
      </c>
      <c r="R60" s="39">
        <f>IF(tblRota[[#This Row],[Date]]="","",IF(tblRota[[#This Row],[Required (people)]]&gt;0,tblRota[[#This Row],[Fewest on shift (people)]]/tblRota[[#This Row],[Required (people)]],""))</f>
        <v>1.09090909090909</v>
      </c>
      <c r="S60" s="38" t="str">
        <f>IF(NOT(ISNUMBER(tblRota[[#This Row],[Lowest coverage]])),"",IF(tblRota[[#This Row],[Lowest coverage]]&gt;=TargetCover,"On target",IF(tblRota[[#This Row],[Lowest coverage]]&gt;=TargetCover*(1-0.05),"Near target","Below target")))</f>
        <v>On target</v>
      </c>
      <c r="T60" s="33">
        <f>IF(tblRota[[#This Row],[Date]]="","",(tblRota[[#This Row],[Day on shift (people)]]&lt;tblRota[[#This Row],[Required (people)]])+(tblRota[[#This Row],[Night on shift (people)]]&lt;tblRota[[#This Row],[Required (people)]]))</f>
        <v>0</v>
      </c>
      <c r="U60" s="38" t="str">
        <f>IF(tblRota[[#This Row],[Date]]="","",IF(WEEKDAY(tblRota[[#This Row],[Date]],2)&gt;5,"Yes","No"))</f>
        <v>Yes</v>
      </c>
      <c r="V60"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60" s="28" t="s">
        <v>135</v>
      </c>
    </row>
    <row r="61" spans="2:23">
      <c r="B61" s="29">
        <v>46355</v>
      </c>
      <c r="C61" s="38" t="str">
        <f>IF(tblRota[[#This Row],[Date]]="","",CHOOSE(WEEKDAY(tblRota[[#This Row],[Date]],2),"Mon","Tue","Wed","Thu","Fri","Sat","Sun"))</f>
        <v>Sun</v>
      </c>
      <c r="D61" s="28" t="s">
        <v>134</v>
      </c>
      <c r="E61" s="33">
        <f>IF(tblRota[[#This Row],[Date]]="","",MOD(tblRota[[#This Row],[Date]]-Anchor,CycleDays)+1)</f>
        <v>28</v>
      </c>
      <c r="F61" s="38" t="str">
        <f>IF(tblRota[[#This Row],[Date]]="","",IF(tblRota[[#This Row],[Cycle day]]="","",INDEX(tblPatterns[Active],MOD(tblRota[[#This Row],[Date]]-Anchor+CrewOffset*0,CycleDays)+1)))</f>
        <v>O</v>
      </c>
      <c r="G61" s="38" t="str">
        <f>IF(tblRota[[#This Row],[Date]]="","",IF(tblRota[[#This Row],[Cycle day]]="","",INDEX(tblPatterns[Active],MOD(tblRota[[#This Row],[Date]]-Anchor+CrewOffset*1,CycleDays)+1)))</f>
        <v>D</v>
      </c>
      <c r="H61" s="38" t="str">
        <f>IF(tblRota[[#This Row],[Date]]="","",IF(tblRota[[#This Row],[Cycle day]]="","",INDEX(tblPatterns[Active],MOD(tblRota[[#This Row],[Date]]-Anchor+CrewOffset*2,CycleDays)+1)))</f>
        <v>O</v>
      </c>
      <c r="I61" s="38" t="str">
        <f>IF(tblRota[[#This Row],[Date]]="","",IF(tblRota[[#This Row],[Cycle day]]="","",INDEX(tblPatterns[Active],MOD(tblRota[[#This Row],[Date]]-Anchor+CrewOffset*3,CycleDays)+1)))</f>
        <v>N</v>
      </c>
      <c r="J61" s="38" t="str">
        <f>IF(tblRota[[#This Row],[Date]]="","",IF(tblRota[[#This Row],[Crew A]]="D","A",IF(tblRota[[#This Row],[Crew B]]="D","B",IF(tblRota[[#This Row],[Crew C]]="D","C",IF(tblRota[[#This Row],[Crew D]]="D","D","")))))</f>
        <v>B</v>
      </c>
      <c r="K61" s="38" t="str">
        <f>IF(tblRota[[#This Row],[Date]]="","",IF(tblRota[[#This Row],[Crew A]]="N","A",IF(tblRota[[#This Row],[Crew B]]="N","B",IF(tblRota[[#This Row],[Crew C]]="N","C",IF(tblRota[[#This Row],[Crew D]]="N","D","")))))</f>
        <v>D</v>
      </c>
      <c r="L61" s="30">
        <v>0</v>
      </c>
      <c r="M61" s="30">
        <v>0</v>
      </c>
      <c r="N61" s="33">
        <f>IF(tblRota[[#This Row],[Date]]="","",IFERROR(INDEX(tblCrews[People],MATCH(tblRota[[#This Row],[Day crew]],tblCrews[Crew],0)),0)-tblRota[[#This Row],[Day absent (people)]])</f>
        <v>12</v>
      </c>
      <c r="O61" s="33">
        <f>IF(tblRota[[#This Row],[Date]]="","",IFERROR(INDEX(tblCrews[People],MATCH(tblRota[[#This Row],[Night crew]],tblCrews[Crew],0)),0)-tblRota[[#This Row],[Night absent (people)]])</f>
        <v>12</v>
      </c>
      <c r="P61" s="33">
        <f>IF(tblRota[[#This Row],[Date]]="","",MIN(tblRota[[#This Row],[Day on shift (people)]],tblRota[[#This Row],[Night on shift (people)]]))</f>
        <v>12</v>
      </c>
      <c r="Q61" s="33">
        <f>IF(tblRota[[#This Row],[Date]]="","",ReqPerShift)</f>
        <v>11</v>
      </c>
      <c r="R61" s="39">
        <f>IF(tblRota[[#This Row],[Date]]="","",IF(tblRota[[#This Row],[Required (people)]]&gt;0,tblRota[[#This Row],[Fewest on shift (people)]]/tblRota[[#This Row],[Required (people)]],""))</f>
        <v>1.09090909090909</v>
      </c>
      <c r="S61" s="38" t="str">
        <f>IF(NOT(ISNUMBER(tblRota[[#This Row],[Lowest coverage]])),"",IF(tblRota[[#This Row],[Lowest coverage]]&gt;=TargetCover,"On target",IF(tblRota[[#This Row],[Lowest coverage]]&gt;=TargetCover*(1-0.05),"Near target","Below target")))</f>
        <v>On target</v>
      </c>
      <c r="T61" s="33">
        <f>IF(tblRota[[#This Row],[Date]]="","",(tblRota[[#This Row],[Day on shift (people)]]&lt;tblRota[[#This Row],[Required (people)]])+(tblRota[[#This Row],[Night on shift (people)]]&lt;tblRota[[#This Row],[Required (people)]]))</f>
        <v>0</v>
      </c>
      <c r="U61" s="38" t="str">
        <f>IF(tblRota[[#This Row],[Date]]="","",IF(WEEKDAY(tblRota[[#This Row],[Date]],2)&gt;5,"Yes","No"))</f>
        <v>Yes</v>
      </c>
      <c r="V61"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61" s="28" t="s">
        <v>135</v>
      </c>
    </row>
    <row r="62" spans="2:23">
      <c r="B62" s="29">
        <v>46356</v>
      </c>
      <c r="C62" s="38" t="str">
        <f>IF(tblRota[[#This Row],[Date]]="","",CHOOSE(WEEKDAY(tblRota[[#This Row],[Date]],2),"Mon","Tue","Wed","Thu","Fri","Sat","Sun"))</f>
        <v>Mon</v>
      </c>
      <c r="D62" s="28" t="s">
        <v>134</v>
      </c>
      <c r="E62" s="33">
        <f>IF(tblRota[[#This Row],[Date]]="","",MOD(tblRota[[#This Row],[Date]]-Anchor,CycleDays)+1)</f>
        <v>1</v>
      </c>
      <c r="F62" s="38" t="str">
        <f>IF(tblRota[[#This Row],[Date]]="","",IF(tblRota[[#This Row],[Cycle day]]="","",INDEX(tblPatterns[Active],MOD(tblRota[[#This Row],[Date]]-Anchor+CrewOffset*0,CycleDays)+1)))</f>
        <v>D</v>
      </c>
      <c r="G62" s="38" t="str">
        <f>IF(tblRota[[#This Row],[Date]]="","",IF(tblRota[[#This Row],[Cycle day]]="","",INDEX(tblPatterns[Active],MOD(tblRota[[#This Row],[Date]]-Anchor+CrewOffset*1,CycleDays)+1)))</f>
        <v>O</v>
      </c>
      <c r="H62" s="38" t="str">
        <f>IF(tblRota[[#This Row],[Date]]="","",IF(tblRota[[#This Row],[Cycle day]]="","",INDEX(tblPatterns[Active],MOD(tblRota[[#This Row],[Date]]-Anchor+CrewOffset*2,CycleDays)+1)))</f>
        <v>N</v>
      </c>
      <c r="I62" s="38" t="str">
        <f>IF(tblRota[[#This Row],[Date]]="","",IF(tblRota[[#This Row],[Cycle day]]="","",INDEX(tblPatterns[Active],MOD(tblRota[[#This Row],[Date]]-Anchor+CrewOffset*3,CycleDays)+1)))</f>
        <v>O</v>
      </c>
      <c r="J62" s="38" t="str">
        <f>IF(tblRota[[#This Row],[Date]]="","",IF(tblRota[[#This Row],[Crew A]]="D","A",IF(tblRota[[#This Row],[Crew B]]="D","B",IF(tblRota[[#This Row],[Crew C]]="D","C",IF(tblRota[[#This Row],[Crew D]]="D","D","")))))</f>
        <v>A</v>
      </c>
      <c r="K62" s="38" t="str">
        <f>IF(tblRota[[#This Row],[Date]]="","",IF(tblRota[[#This Row],[Crew A]]="N","A",IF(tblRota[[#This Row],[Crew B]]="N","B",IF(tblRota[[#This Row],[Crew C]]="N","C",IF(tblRota[[#This Row],[Crew D]]="N","D","")))))</f>
        <v>C</v>
      </c>
      <c r="L62" s="30">
        <v>1</v>
      </c>
      <c r="M62" s="30">
        <v>0</v>
      </c>
      <c r="N62" s="33">
        <f>IF(tblRota[[#This Row],[Date]]="","",IFERROR(INDEX(tblCrews[People],MATCH(tblRota[[#This Row],[Day crew]],tblCrews[Crew],0)),0)-tblRota[[#This Row],[Day absent (people)]])</f>
        <v>11</v>
      </c>
      <c r="O62" s="33">
        <f>IF(tblRota[[#This Row],[Date]]="","",IFERROR(INDEX(tblCrews[People],MATCH(tblRota[[#This Row],[Night crew]],tblCrews[Crew],0)),0)-tblRota[[#This Row],[Night absent (people)]])</f>
        <v>11</v>
      </c>
      <c r="P62" s="33">
        <f>IF(tblRota[[#This Row],[Date]]="","",MIN(tblRota[[#This Row],[Day on shift (people)]],tblRota[[#This Row],[Night on shift (people)]]))</f>
        <v>11</v>
      </c>
      <c r="Q62" s="33">
        <f>IF(tblRota[[#This Row],[Date]]="","",ReqPerShift)</f>
        <v>11</v>
      </c>
      <c r="R62" s="39">
        <f>IF(tblRota[[#This Row],[Date]]="","",IF(tblRota[[#This Row],[Required (people)]]&gt;0,tblRota[[#This Row],[Fewest on shift (people)]]/tblRota[[#This Row],[Required (people)]],""))</f>
        <v>1</v>
      </c>
      <c r="S62" s="38" t="str">
        <f>IF(NOT(ISNUMBER(tblRota[[#This Row],[Lowest coverage]])),"",IF(tblRota[[#This Row],[Lowest coverage]]&gt;=TargetCover,"On target",IF(tblRota[[#This Row],[Lowest coverage]]&gt;=TargetCover*(1-0.05),"Near target","Below target")))</f>
        <v>On target</v>
      </c>
      <c r="T62" s="33">
        <f>IF(tblRota[[#This Row],[Date]]="","",(tblRota[[#This Row],[Day on shift (people)]]&lt;tblRota[[#This Row],[Required (people)]])+(tblRota[[#This Row],[Night on shift (people)]]&lt;tblRota[[#This Row],[Required (people)]]))</f>
        <v>0</v>
      </c>
      <c r="U62" s="38" t="str">
        <f>IF(tblRota[[#This Row],[Date]]="","",IF(WEEKDAY(tblRota[[#This Row],[Date]],2)&gt;5,"Yes","No"))</f>
        <v>No</v>
      </c>
      <c r="V62"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62" s="28" t="s">
        <v>135</v>
      </c>
    </row>
    <row r="63" spans="2:23">
      <c r="B63" s="29">
        <v>46357</v>
      </c>
      <c r="C63" s="38" t="str">
        <f>IF(tblRota[[#This Row],[Date]]="","",CHOOSE(WEEKDAY(tblRota[[#This Row],[Date]],2),"Mon","Tue","Wed","Thu","Fri","Sat","Sun"))</f>
        <v>Tue</v>
      </c>
      <c r="D63" s="28" t="s">
        <v>134</v>
      </c>
      <c r="E63" s="33">
        <f>IF(tblRota[[#This Row],[Date]]="","",MOD(tblRota[[#This Row],[Date]]-Anchor,CycleDays)+1)</f>
        <v>2</v>
      </c>
      <c r="F63" s="38" t="str">
        <f>IF(tblRota[[#This Row],[Date]]="","",IF(tblRota[[#This Row],[Cycle day]]="","",INDEX(tblPatterns[Active],MOD(tblRota[[#This Row],[Date]]-Anchor+CrewOffset*0,CycleDays)+1)))</f>
        <v>D</v>
      </c>
      <c r="G63" s="38" t="str">
        <f>IF(tblRota[[#This Row],[Date]]="","",IF(tblRota[[#This Row],[Cycle day]]="","",INDEX(tblPatterns[Active],MOD(tblRota[[#This Row],[Date]]-Anchor+CrewOffset*1,CycleDays)+1)))</f>
        <v>O</v>
      </c>
      <c r="H63" s="38" t="str">
        <f>IF(tblRota[[#This Row],[Date]]="","",IF(tblRota[[#This Row],[Cycle day]]="","",INDEX(tblPatterns[Active],MOD(tblRota[[#This Row],[Date]]-Anchor+CrewOffset*2,CycleDays)+1)))</f>
        <v>N</v>
      </c>
      <c r="I63" s="38" t="str">
        <f>IF(tblRota[[#This Row],[Date]]="","",IF(tblRota[[#This Row],[Cycle day]]="","",INDEX(tblPatterns[Active],MOD(tblRota[[#This Row],[Date]]-Anchor+CrewOffset*3,CycleDays)+1)))</f>
        <v>O</v>
      </c>
      <c r="J63" s="38" t="str">
        <f>IF(tblRota[[#This Row],[Date]]="","",IF(tblRota[[#This Row],[Crew A]]="D","A",IF(tblRota[[#This Row],[Crew B]]="D","B",IF(tblRota[[#This Row],[Crew C]]="D","C",IF(tblRota[[#This Row],[Crew D]]="D","D","")))))</f>
        <v>A</v>
      </c>
      <c r="K63" s="38" t="str">
        <f>IF(tblRota[[#This Row],[Date]]="","",IF(tblRota[[#This Row],[Crew A]]="N","A",IF(tblRota[[#This Row],[Crew B]]="N","B",IF(tblRota[[#This Row],[Crew C]]="N","C",IF(tblRota[[#This Row],[Crew D]]="N","D","")))))</f>
        <v>C</v>
      </c>
      <c r="L63" s="30">
        <v>0</v>
      </c>
      <c r="M63" s="30">
        <v>0</v>
      </c>
      <c r="N63" s="33">
        <f>IF(tblRota[[#This Row],[Date]]="","",IFERROR(INDEX(tblCrews[People],MATCH(tblRota[[#This Row],[Day crew]],tblCrews[Crew],0)),0)-tblRota[[#This Row],[Day absent (people)]])</f>
        <v>12</v>
      </c>
      <c r="O63" s="33">
        <f>IF(tblRota[[#This Row],[Date]]="","",IFERROR(INDEX(tblCrews[People],MATCH(tblRota[[#This Row],[Night crew]],tblCrews[Crew],0)),0)-tblRota[[#This Row],[Night absent (people)]])</f>
        <v>11</v>
      </c>
      <c r="P63" s="33">
        <f>IF(tblRota[[#This Row],[Date]]="","",MIN(tblRota[[#This Row],[Day on shift (people)]],tblRota[[#This Row],[Night on shift (people)]]))</f>
        <v>11</v>
      </c>
      <c r="Q63" s="33">
        <f>IF(tblRota[[#This Row],[Date]]="","",ReqPerShift)</f>
        <v>11</v>
      </c>
      <c r="R63" s="39">
        <f>IF(tblRota[[#This Row],[Date]]="","",IF(tblRota[[#This Row],[Required (people)]]&gt;0,tblRota[[#This Row],[Fewest on shift (people)]]/tblRota[[#This Row],[Required (people)]],""))</f>
        <v>1</v>
      </c>
      <c r="S63" s="38" t="str">
        <f>IF(NOT(ISNUMBER(tblRota[[#This Row],[Lowest coverage]])),"",IF(tblRota[[#This Row],[Lowest coverage]]&gt;=TargetCover,"On target",IF(tblRota[[#This Row],[Lowest coverage]]&gt;=TargetCover*(1-0.05),"Near target","Below target")))</f>
        <v>On target</v>
      </c>
      <c r="T63" s="33">
        <f>IF(tblRota[[#This Row],[Date]]="","",(tblRota[[#This Row],[Day on shift (people)]]&lt;tblRota[[#This Row],[Required (people)]])+(tblRota[[#This Row],[Night on shift (people)]]&lt;tblRota[[#This Row],[Required (people)]]))</f>
        <v>0</v>
      </c>
      <c r="U63" s="38" t="str">
        <f>IF(tblRota[[#This Row],[Date]]="","",IF(WEEKDAY(tblRota[[#This Row],[Date]],2)&gt;5,"Yes","No"))</f>
        <v>No</v>
      </c>
      <c r="V63"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63" s="28" t="s">
        <v>135</v>
      </c>
    </row>
    <row r="64" spans="2:23">
      <c r="B64" s="29">
        <v>46358</v>
      </c>
      <c r="C64" s="38" t="str">
        <f>IF(tblRota[[#This Row],[Date]]="","",CHOOSE(WEEKDAY(tblRota[[#This Row],[Date]],2),"Mon","Tue","Wed","Thu","Fri","Sat","Sun"))</f>
        <v>Wed</v>
      </c>
      <c r="D64" s="28" t="s">
        <v>134</v>
      </c>
      <c r="E64" s="33">
        <f>IF(tblRota[[#This Row],[Date]]="","",MOD(tblRota[[#This Row],[Date]]-Anchor,CycleDays)+1)</f>
        <v>3</v>
      </c>
      <c r="F64" s="38" t="str">
        <f>IF(tblRota[[#This Row],[Date]]="","",IF(tblRota[[#This Row],[Cycle day]]="","",INDEX(tblPatterns[Active],MOD(tblRota[[#This Row],[Date]]-Anchor+CrewOffset*0,CycleDays)+1)))</f>
        <v>O</v>
      </c>
      <c r="G64" s="38" t="str">
        <f>IF(tblRota[[#This Row],[Date]]="","",IF(tblRota[[#This Row],[Cycle day]]="","",INDEX(tblPatterns[Active],MOD(tblRota[[#This Row],[Date]]-Anchor+CrewOffset*1,CycleDays)+1)))</f>
        <v>D</v>
      </c>
      <c r="H64" s="38" t="str">
        <f>IF(tblRota[[#This Row],[Date]]="","",IF(tblRota[[#This Row],[Cycle day]]="","",INDEX(tblPatterns[Active],MOD(tblRota[[#This Row],[Date]]-Anchor+CrewOffset*2,CycleDays)+1)))</f>
        <v>O</v>
      </c>
      <c r="I64" s="38" t="str">
        <f>IF(tblRota[[#This Row],[Date]]="","",IF(tblRota[[#This Row],[Cycle day]]="","",INDEX(tblPatterns[Active],MOD(tblRota[[#This Row],[Date]]-Anchor+CrewOffset*3,CycleDays)+1)))</f>
        <v>N</v>
      </c>
      <c r="J64" s="38" t="str">
        <f>IF(tblRota[[#This Row],[Date]]="","",IF(tblRota[[#This Row],[Crew A]]="D","A",IF(tblRota[[#This Row],[Crew B]]="D","B",IF(tblRota[[#This Row],[Crew C]]="D","C",IF(tblRota[[#This Row],[Crew D]]="D","D","")))))</f>
        <v>B</v>
      </c>
      <c r="K64" s="38" t="str">
        <f>IF(tblRota[[#This Row],[Date]]="","",IF(tblRota[[#This Row],[Crew A]]="N","A",IF(tblRota[[#This Row],[Crew B]]="N","B",IF(tblRota[[#This Row],[Crew C]]="N","C",IF(tblRota[[#This Row],[Crew D]]="N","D","")))))</f>
        <v>D</v>
      </c>
      <c r="L64" s="30">
        <v>0</v>
      </c>
      <c r="M64" s="30">
        <v>2</v>
      </c>
      <c r="N64" s="33">
        <f>IF(tblRota[[#This Row],[Date]]="","",IFERROR(INDEX(tblCrews[People],MATCH(tblRota[[#This Row],[Day crew]],tblCrews[Crew],0)),0)-tblRota[[#This Row],[Day absent (people)]])</f>
        <v>12</v>
      </c>
      <c r="O64" s="33">
        <f>IF(tblRota[[#This Row],[Date]]="","",IFERROR(INDEX(tblCrews[People],MATCH(tblRota[[#This Row],[Night crew]],tblCrews[Crew],0)),0)-tblRota[[#This Row],[Night absent (people)]])</f>
        <v>10</v>
      </c>
      <c r="P64" s="33">
        <f>IF(tblRota[[#This Row],[Date]]="","",MIN(tblRota[[#This Row],[Day on shift (people)]],tblRota[[#This Row],[Night on shift (people)]]))</f>
        <v>10</v>
      </c>
      <c r="Q64" s="33">
        <f>IF(tblRota[[#This Row],[Date]]="","",ReqPerShift)</f>
        <v>11</v>
      </c>
      <c r="R64" s="39">
        <f>IF(tblRota[[#This Row],[Date]]="","",IF(tblRota[[#This Row],[Required (people)]]&gt;0,tblRota[[#This Row],[Fewest on shift (people)]]/tblRota[[#This Row],[Required (people)]],""))</f>
        <v>0.909090909090909</v>
      </c>
      <c r="S64" s="38" t="str">
        <f>IF(NOT(ISNUMBER(tblRota[[#This Row],[Lowest coverage]])),"",IF(tblRota[[#This Row],[Lowest coverage]]&gt;=TargetCover,"On target",IF(tblRota[[#This Row],[Lowest coverage]]&gt;=TargetCover*(1-0.05),"Near target","Below target")))</f>
        <v>Below target</v>
      </c>
      <c r="T64" s="33">
        <f>IF(tblRota[[#This Row],[Date]]="","",(tblRota[[#This Row],[Day on shift (people)]]&lt;tblRota[[#This Row],[Required (people)]])+(tblRota[[#This Row],[Night on shift (people)]]&lt;tblRota[[#This Row],[Required (people)]]))</f>
        <v>1</v>
      </c>
      <c r="U64" s="38" t="str">
        <f>IF(tblRota[[#This Row],[Date]]="","",IF(WEEKDAY(tblRota[[#This Row],[Date]],2)&gt;5,"Yes","No"))</f>
        <v>No</v>
      </c>
      <c r="V64"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64" s="28" t="s">
        <v>135</v>
      </c>
    </row>
    <row r="65" spans="2:23">
      <c r="B65" s="29">
        <v>46359</v>
      </c>
      <c r="C65" s="38" t="str">
        <f>IF(tblRota[[#This Row],[Date]]="","",CHOOSE(WEEKDAY(tblRota[[#This Row],[Date]],2),"Mon","Tue","Wed","Thu","Fri","Sat","Sun"))</f>
        <v>Thu</v>
      </c>
      <c r="D65" s="28" t="s">
        <v>134</v>
      </c>
      <c r="E65" s="33">
        <f>IF(tblRota[[#This Row],[Date]]="","",MOD(tblRota[[#This Row],[Date]]-Anchor,CycleDays)+1)</f>
        <v>4</v>
      </c>
      <c r="F65" s="38" t="str">
        <f>IF(tblRota[[#This Row],[Date]]="","",IF(tblRota[[#This Row],[Cycle day]]="","",INDEX(tblPatterns[Active],MOD(tblRota[[#This Row],[Date]]-Anchor+CrewOffset*0,CycleDays)+1)))</f>
        <v>O</v>
      </c>
      <c r="G65" s="38" t="str">
        <f>IF(tblRota[[#This Row],[Date]]="","",IF(tblRota[[#This Row],[Cycle day]]="","",INDEX(tblPatterns[Active],MOD(tblRota[[#This Row],[Date]]-Anchor+CrewOffset*1,CycleDays)+1)))</f>
        <v>D</v>
      </c>
      <c r="H65" s="38" t="str">
        <f>IF(tblRota[[#This Row],[Date]]="","",IF(tblRota[[#This Row],[Cycle day]]="","",INDEX(tblPatterns[Active],MOD(tblRota[[#This Row],[Date]]-Anchor+CrewOffset*2,CycleDays)+1)))</f>
        <v>O</v>
      </c>
      <c r="I65" s="38" t="str">
        <f>IF(tblRota[[#This Row],[Date]]="","",IF(tblRota[[#This Row],[Cycle day]]="","",INDEX(tblPatterns[Active],MOD(tblRota[[#This Row],[Date]]-Anchor+CrewOffset*3,CycleDays)+1)))</f>
        <v>N</v>
      </c>
      <c r="J65" s="38" t="str">
        <f>IF(tblRota[[#This Row],[Date]]="","",IF(tblRota[[#This Row],[Crew A]]="D","A",IF(tblRota[[#This Row],[Crew B]]="D","B",IF(tblRota[[#This Row],[Crew C]]="D","C",IF(tblRota[[#This Row],[Crew D]]="D","D","")))))</f>
        <v>B</v>
      </c>
      <c r="K65" s="38" t="str">
        <f>IF(tblRota[[#This Row],[Date]]="","",IF(tblRota[[#This Row],[Crew A]]="N","A",IF(tblRota[[#This Row],[Crew B]]="N","B",IF(tblRota[[#This Row],[Crew C]]="N","C",IF(tblRota[[#This Row],[Crew D]]="N","D","")))))</f>
        <v>D</v>
      </c>
      <c r="L65" s="30">
        <v>0</v>
      </c>
      <c r="M65" s="30">
        <v>0</v>
      </c>
      <c r="N65" s="33">
        <f>IF(tblRota[[#This Row],[Date]]="","",IFERROR(INDEX(tblCrews[People],MATCH(tblRota[[#This Row],[Day crew]],tblCrews[Crew],0)),0)-tblRota[[#This Row],[Day absent (people)]])</f>
        <v>12</v>
      </c>
      <c r="O65" s="33">
        <f>IF(tblRota[[#This Row],[Date]]="","",IFERROR(INDEX(tblCrews[People],MATCH(tblRota[[#This Row],[Night crew]],tblCrews[Crew],0)),0)-tblRota[[#This Row],[Night absent (people)]])</f>
        <v>12</v>
      </c>
      <c r="P65" s="33">
        <f>IF(tblRota[[#This Row],[Date]]="","",MIN(tblRota[[#This Row],[Day on shift (people)]],tblRota[[#This Row],[Night on shift (people)]]))</f>
        <v>12</v>
      </c>
      <c r="Q65" s="33">
        <f>IF(tblRota[[#This Row],[Date]]="","",ReqPerShift)</f>
        <v>11</v>
      </c>
      <c r="R65" s="39">
        <f>IF(tblRota[[#This Row],[Date]]="","",IF(tblRota[[#This Row],[Required (people)]]&gt;0,tblRota[[#This Row],[Fewest on shift (people)]]/tblRota[[#This Row],[Required (people)]],""))</f>
        <v>1.09090909090909</v>
      </c>
      <c r="S65" s="38" t="str">
        <f>IF(NOT(ISNUMBER(tblRota[[#This Row],[Lowest coverage]])),"",IF(tblRota[[#This Row],[Lowest coverage]]&gt;=TargetCover,"On target",IF(tblRota[[#This Row],[Lowest coverage]]&gt;=TargetCover*(1-0.05),"Near target","Below target")))</f>
        <v>On target</v>
      </c>
      <c r="T65" s="33">
        <f>IF(tblRota[[#This Row],[Date]]="","",(tblRota[[#This Row],[Day on shift (people)]]&lt;tblRota[[#This Row],[Required (people)]])+(tblRota[[#This Row],[Night on shift (people)]]&lt;tblRota[[#This Row],[Required (people)]]))</f>
        <v>0</v>
      </c>
      <c r="U65" s="38" t="str">
        <f>IF(tblRota[[#This Row],[Date]]="","",IF(WEEKDAY(tblRota[[#This Row],[Date]],2)&gt;5,"Yes","No"))</f>
        <v>No</v>
      </c>
      <c r="V65"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65" s="28" t="s">
        <v>135</v>
      </c>
    </row>
    <row r="66" spans="2:23">
      <c r="B66" s="29">
        <v>46360</v>
      </c>
      <c r="C66" s="38" t="str">
        <f>IF(tblRota[[#This Row],[Date]]="","",CHOOSE(WEEKDAY(tblRota[[#This Row],[Date]],2),"Mon","Tue","Wed","Thu","Fri","Sat","Sun"))</f>
        <v>Fri</v>
      </c>
      <c r="D66" s="28" t="s">
        <v>134</v>
      </c>
      <c r="E66" s="33">
        <f>IF(tblRota[[#This Row],[Date]]="","",MOD(tblRota[[#This Row],[Date]]-Anchor,CycleDays)+1)</f>
        <v>5</v>
      </c>
      <c r="F66" s="38" t="str">
        <f>IF(tblRota[[#This Row],[Date]]="","",IF(tblRota[[#This Row],[Cycle day]]="","",INDEX(tblPatterns[Active],MOD(tblRota[[#This Row],[Date]]-Anchor+CrewOffset*0,CycleDays)+1)))</f>
        <v>D</v>
      </c>
      <c r="G66" s="38" t="str">
        <f>IF(tblRota[[#This Row],[Date]]="","",IF(tblRota[[#This Row],[Cycle day]]="","",INDEX(tblPatterns[Active],MOD(tblRota[[#This Row],[Date]]-Anchor+CrewOffset*1,CycleDays)+1)))</f>
        <v>O</v>
      </c>
      <c r="H66" s="38" t="str">
        <f>IF(tblRota[[#This Row],[Date]]="","",IF(tblRota[[#This Row],[Cycle day]]="","",INDEX(tblPatterns[Active],MOD(tblRota[[#This Row],[Date]]-Anchor+CrewOffset*2,CycleDays)+1)))</f>
        <v>N</v>
      </c>
      <c r="I66" s="38" t="str">
        <f>IF(tblRota[[#This Row],[Date]]="","",IF(tblRota[[#This Row],[Cycle day]]="","",INDEX(tblPatterns[Active],MOD(tblRota[[#This Row],[Date]]-Anchor+CrewOffset*3,CycleDays)+1)))</f>
        <v>O</v>
      </c>
      <c r="J66" s="38" t="str">
        <f>IF(tblRota[[#This Row],[Date]]="","",IF(tblRota[[#This Row],[Crew A]]="D","A",IF(tblRota[[#This Row],[Crew B]]="D","B",IF(tblRota[[#This Row],[Crew C]]="D","C",IF(tblRota[[#This Row],[Crew D]]="D","D","")))))</f>
        <v>A</v>
      </c>
      <c r="K66" s="38" t="str">
        <f>IF(tblRota[[#This Row],[Date]]="","",IF(tblRota[[#This Row],[Crew A]]="N","A",IF(tblRota[[#This Row],[Crew B]]="N","B",IF(tblRota[[#This Row],[Crew C]]="N","C",IF(tblRota[[#This Row],[Crew D]]="N","D","")))))</f>
        <v>C</v>
      </c>
      <c r="L66" s="30">
        <v>1</v>
      </c>
      <c r="M66" s="30">
        <v>0</v>
      </c>
      <c r="N66" s="33">
        <f>IF(tblRota[[#This Row],[Date]]="","",IFERROR(INDEX(tblCrews[People],MATCH(tblRota[[#This Row],[Day crew]],tblCrews[Crew],0)),0)-tblRota[[#This Row],[Day absent (people)]])</f>
        <v>11</v>
      </c>
      <c r="O66" s="33">
        <f>IF(tblRota[[#This Row],[Date]]="","",IFERROR(INDEX(tblCrews[People],MATCH(tblRota[[#This Row],[Night crew]],tblCrews[Crew],0)),0)-tblRota[[#This Row],[Night absent (people)]])</f>
        <v>11</v>
      </c>
      <c r="P66" s="33">
        <f>IF(tblRota[[#This Row],[Date]]="","",MIN(tblRota[[#This Row],[Day on shift (people)]],tblRota[[#This Row],[Night on shift (people)]]))</f>
        <v>11</v>
      </c>
      <c r="Q66" s="33">
        <f>IF(tblRota[[#This Row],[Date]]="","",ReqPerShift)</f>
        <v>11</v>
      </c>
      <c r="R66" s="39">
        <f>IF(tblRota[[#This Row],[Date]]="","",IF(tblRota[[#This Row],[Required (people)]]&gt;0,tblRota[[#This Row],[Fewest on shift (people)]]/tblRota[[#This Row],[Required (people)]],""))</f>
        <v>1</v>
      </c>
      <c r="S66" s="38" t="str">
        <f>IF(NOT(ISNUMBER(tblRota[[#This Row],[Lowest coverage]])),"",IF(tblRota[[#This Row],[Lowest coverage]]&gt;=TargetCover,"On target",IF(tblRota[[#This Row],[Lowest coverage]]&gt;=TargetCover*(1-0.05),"Near target","Below target")))</f>
        <v>On target</v>
      </c>
      <c r="T66" s="33">
        <f>IF(tblRota[[#This Row],[Date]]="","",(tblRota[[#This Row],[Day on shift (people)]]&lt;tblRota[[#This Row],[Required (people)]])+(tblRota[[#This Row],[Night on shift (people)]]&lt;tblRota[[#This Row],[Required (people)]]))</f>
        <v>0</v>
      </c>
      <c r="U66" s="38" t="str">
        <f>IF(tblRota[[#This Row],[Date]]="","",IF(WEEKDAY(tblRota[[#This Row],[Date]],2)&gt;5,"Yes","No"))</f>
        <v>No</v>
      </c>
      <c r="V66"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66" s="28" t="s">
        <v>135</v>
      </c>
    </row>
    <row r="67" spans="2:23">
      <c r="B67" s="29">
        <v>46361</v>
      </c>
      <c r="C67" s="38" t="str">
        <f>IF(tblRota[[#This Row],[Date]]="","",CHOOSE(WEEKDAY(tblRota[[#This Row],[Date]],2),"Mon","Tue","Wed","Thu","Fri","Sat","Sun"))</f>
        <v>Sat</v>
      </c>
      <c r="D67" s="28" t="s">
        <v>134</v>
      </c>
      <c r="E67" s="33">
        <f>IF(tblRota[[#This Row],[Date]]="","",MOD(tblRota[[#This Row],[Date]]-Anchor,CycleDays)+1)</f>
        <v>6</v>
      </c>
      <c r="F67" s="38" t="str">
        <f>IF(tblRota[[#This Row],[Date]]="","",IF(tblRota[[#This Row],[Cycle day]]="","",INDEX(tblPatterns[Active],MOD(tblRota[[#This Row],[Date]]-Anchor+CrewOffset*0,CycleDays)+1)))</f>
        <v>D</v>
      </c>
      <c r="G67" s="38" t="str">
        <f>IF(tblRota[[#This Row],[Date]]="","",IF(tblRota[[#This Row],[Cycle day]]="","",INDEX(tblPatterns[Active],MOD(tblRota[[#This Row],[Date]]-Anchor+CrewOffset*1,CycleDays)+1)))</f>
        <v>O</v>
      </c>
      <c r="H67" s="38" t="str">
        <f>IF(tblRota[[#This Row],[Date]]="","",IF(tblRota[[#This Row],[Cycle day]]="","",INDEX(tblPatterns[Active],MOD(tblRota[[#This Row],[Date]]-Anchor+CrewOffset*2,CycleDays)+1)))</f>
        <v>N</v>
      </c>
      <c r="I67" s="38" t="str">
        <f>IF(tblRota[[#This Row],[Date]]="","",IF(tblRota[[#This Row],[Cycle day]]="","",INDEX(tblPatterns[Active],MOD(tblRota[[#This Row],[Date]]-Anchor+CrewOffset*3,CycleDays)+1)))</f>
        <v>O</v>
      </c>
      <c r="J67" s="38" t="str">
        <f>IF(tblRota[[#This Row],[Date]]="","",IF(tblRota[[#This Row],[Crew A]]="D","A",IF(tblRota[[#This Row],[Crew B]]="D","B",IF(tblRota[[#This Row],[Crew C]]="D","C",IF(tblRota[[#This Row],[Crew D]]="D","D","")))))</f>
        <v>A</v>
      </c>
      <c r="K67" s="38" t="str">
        <f>IF(tblRota[[#This Row],[Date]]="","",IF(tblRota[[#This Row],[Crew A]]="N","A",IF(tblRota[[#This Row],[Crew B]]="N","B",IF(tblRota[[#This Row],[Crew C]]="N","C",IF(tblRota[[#This Row],[Crew D]]="N","D","")))))</f>
        <v>C</v>
      </c>
      <c r="L67" s="30">
        <v>0</v>
      </c>
      <c r="M67" s="30">
        <v>0</v>
      </c>
      <c r="N67" s="33">
        <f>IF(tblRota[[#This Row],[Date]]="","",IFERROR(INDEX(tblCrews[People],MATCH(tblRota[[#This Row],[Day crew]],tblCrews[Crew],0)),0)-tblRota[[#This Row],[Day absent (people)]])</f>
        <v>12</v>
      </c>
      <c r="O67" s="33">
        <f>IF(tblRota[[#This Row],[Date]]="","",IFERROR(INDEX(tblCrews[People],MATCH(tblRota[[#This Row],[Night crew]],tblCrews[Crew],0)),0)-tblRota[[#This Row],[Night absent (people)]])</f>
        <v>11</v>
      </c>
      <c r="P67" s="33">
        <f>IF(tblRota[[#This Row],[Date]]="","",MIN(tblRota[[#This Row],[Day on shift (people)]],tblRota[[#This Row],[Night on shift (people)]]))</f>
        <v>11</v>
      </c>
      <c r="Q67" s="33">
        <f>IF(tblRota[[#This Row],[Date]]="","",ReqPerShift)</f>
        <v>11</v>
      </c>
      <c r="R67" s="39">
        <f>IF(tblRota[[#This Row],[Date]]="","",IF(tblRota[[#This Row],[Required (people)]]&gt;0,tblRota[[#This Row],[Fewest on shift (people)]]/tblRota[[#This Row],[Required (people)]],""))</f>
        <v>1</v>
      </c>
      <c r="S67" s="38" t="str">
        <f>IF(NOT(ISNUMBER(tblRota[[#This Row],[Lowest coverage]])),"",IF(tblRota[[#This Row],[Lowest coverage]]&gt;=TargetCover,"On target",IF(tblRota[[#This Row],[Lowest coverage]]&gt;=TargetCover*(1-0.05),"Near target","Below target")))</f>
        <v>On target</v>
      </c>
      <c r="T67" s="33">
        <f>IF(tblRota[[#This Row],[Date]]="","",(tblRota[[#This Row],[Day on shift (people)]]&lt;tblRota[[#This Row],[Required (people)]])+(tblRota[[#This Row],[Night on shift (people)]]&lt;tblRota[[#This Row],[Required (people)]]))</f>
        <v>0</v>
      </c>
      <c r="U67" s="38" t="str">
        <f>IF(tblRota[[#This Row],[Date]]="","",IF(WEEKDAY(tblRota[[#This Row],[Date]],2)&gt;5,"Yes","No"))</f>
        <v>Yes</v>
      </c>
      <c r="V67"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67" s="28" t="s">
        <v>135</v>
      </c>
    </row>
    <row r="68" spans="2:23">
      <c r="B68" s="29">
        <v>46362</v>
      </c>
      <c r="C68" s="38" t="str">
        <f>IF(tblRota[[#This Row],[Date]]="","",CHOOSE(WEEKDAY(tblRota[[#This Row],[Date]],2),"Mon","Tue","Wed","Thu","Fri","Sat","Sun"))</f>
        <v>Sun</v>
      </c>
      <c r="D68" s="28" t="s">
        <v>134</v>
      </c>
      <c r="E68" s="33">
        <f>IF(tblRota[[#This Row],[Date]]="","",MOD(tblRota[[#This Row],[Date]]-Anchor,CycleDays)+1)</f>
        <v>7</v>
      </c>
      <c r="F68" s="38" t="str">
        <f>IF(tblRota[[#This Row],[Date]]="","",IF(tblRota[[#This Row],[Cycle day]]="","",INDEX(tblPatterns[Active],MOD(tblRota[[#This Row],[Date]]-Anchor+CrewOffset*0,CycleDays)+1)))</f>
        <v>D</v>
      </c>
      <c r="G68" s="38" t="str">
        <f>IF(tblRota[[#This Row],[Date]]="","",IF(tblRota[[#This Row],[Cycle day]]="","",INDEX(tblPatterns[Active],MOD(tblRota[[#This Row],[Date]]-Anchor+CrewOffset*1,CycleDays)+1)))</f>
        <v>O</v>
      </c>
      <c r="H68" s="38" t="str">
        <f>IF(tblRota[[#This Row],[Date]]="","",IF(tblRota[[#This Row],[Cycle day]]="","",INDEX(tblPatterns[Active],MOD(tblRota[[#This Row],[Date]]-Anchor+CrewOffset*2,CycleDays)+1)))</f>
        <v>N</v>
      </c>
      <c r="I68" s="38" t="str">
        <f>IF(tblRota[[#This Row],[Date]]="","",IF(tblRota[[#This Row],[Cycle day]]="","",INDEX(tblPatterns[Active],MOD(tblRota[[#This Row],[Date]]-Anchor+CrewOffset*3,CycleDays)+1)))</f>
        <v>O</v>
      </c>
      <c r="J68" s="38" t="str">
        <f>IF(tblRota[[#This Row],[Date]]="","",IF(tblRota[[#This Row],[Crew A]]="D","A",IF(tblRota[[#This Row],[Crew B]]="D","B",IF(tblRota[[#This Row],[Crew C]]="D","C",IF(tblRota[[#This Row],[Crew D]]="D","D","")))))</f>
        <v>A</v>
      </c>
      <c r="K68" s="38" t="str">
        <f>IF(tblRota[[#This Row],[Date]]="","",IF(tblRota[[#This Row],[Crew A]]="N","A",IF(tblRota[[#This Row],[Crew B]]="N","B",IF(tblRota[[#This Row],[Crew C]]="N","C",IF(tblRota[[#This Row],[Crew D]]="N","D","")))))</f>
        <v>C</v>
      </c>
      <c r="L68" s="30">
        <v>0</v>
      </c>
      <c r="M68" s="30">
        <v>0</v>
      </c>
      <c r="N68" s="33">
        <f>IF(tblRota[[#This Row],[Date]]="","",IFERROR(INDEX(tblCrews[People],MATCH(tblRota[[#This Row],[Day crew]],tblCrews[Crew],0)),0)-tblRota[[#This Row],[Day absent (people)]])</f>
        <v>12</v>
      </c>
      <c r="O68" s="33">
        <f>IF(tblRota[[#This Row],[Date]]="","",IFERROR(INDEX(tblCrews[People],MATCH(tblRota[[#This Row],[Night crew]],tblCrews[Crew],0)),0)-tblRota[[#This Row],[Night absent (people)]])</f>
        <v>11</v>
      </c>
      <c r="P68" s="33">
        <f>IF(tblRota[[#This Row],[Date]]="","",MIN(tblRota[[#This Row],[Day on shift (people)]],tblRota[[#This Row],[Night on shift (people)]]))</f>
        <v>11</v>
      </c>
      <c r="Q68" s="33">
        <f>IF(tblRota[[#This Row],[Date]]="","",ReqPerShift)</f>
        <v>11</v>
      </c>
      <c r="R68" s="39">
        <f>IF(tblRota[[#This Row],[Date]]="","",IF(tblRota[[#This Row],[Required (people)]]&gt;0,tblRota[[#This Row],[Fewest on shift (people)]]/tblRota[[#This Row],[Required (people)]],""))</f>
        <v>1</v>
      </c>
      <c r="S68" s="38" t="str">
        <f>IF(NOT(ISNUMBER(tblRota[[#This Row],[Lowest coverage]])),"",IF(tblRota[[#This Row],[Lowest coverage]]&gt;=TargetCover,"On target",IF(tblRota[[#This Row],[Lowest coverage]]&gt;=TargetCover*(1-0.05),"Near target","Below target")))</f>
        <v>On target</v>
      </c>
      <c r="T68" s="33">
        <f>IF(tblRota[[#This Row],[Date]]="","",(tblRota[[#This Row],[Day on shift (people)]]&lt;tblRota[[#This Row],[Required (people)]])+(tblRota[[#This Row],[Night on shift (people)]]&lt;tblRota[[#This Row],[Required (people)]]))</f>
        <v>0</v>
      </c>
      <c r="U68" s="38" t="str">
        <f>IF(tblRota[[#This Row],[Date]]="","",IF(WEEKDAY(tblRota[[#This Row],[Date]],2)&gt;5,"Yes","No"))</f>
        <v>Yes</v>
      </c>
      <c r="V68"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68" s="28" t="s">
        <v>135</v>
      </c>
    </row>
    <row r="69" spans="2:23">
      <c r="B69" s="29">
        <v>46363</v>
      </c>
      <c r="C69" s="38" t="str">
        <f>IF(tblRota[[#This Row],[Date]]="","",CHOOSE(WEEKDAY(tblRota[[#This Row],[Date]],2),"Mon","Tue","Wed","Thu","Fri","Sat","Sun"))</f>
        <v>Mon</v>
      </c>
      <c r="D69" s="28" t="s">
        <v>134</v>
      </c>
      <c r="E69" s="33">
        <f>IF(tblRota[[#This Row],[Date]]="","",MOD(tblRota[[#This Row],[Date]]-Anchor,CycleDays)+1)</f>
        <v>8</v>
      </c>
      <c r="F69" s="38" t="str">
        <f>IF(tblRota[[#This Row],[Date]]="","",IF(tblRota[[#This Row],[Cycle day]]="","",INDEX(tblPatterns[Active],MOD(tblRota[[#This Row],[Date]]-Anchor+CrewOffset*0,CycleDays)+1)))</f>
        <v>O</v>
      </c>
      <c r="G69" s="38" t="str">
        <f>IF(tblRota[[#This Row],[Date]]="","",IF(tblRota[[#This Row],[Cycle day]]="","",INDEX(tblPatterns[Active],MOD(tblRota[[#This Row],[Date]]-Anchor+CrewOffset*1,CycleDays)+1)))</f>
        <v>N</v>
      </c>
      <c r="H69" s="38" t="str">
        <f>IF(tblRota[[#This Row],[Date]]="","",IF(tblRota[[#This Row],[Cycle day]]="","",INDEX(tblPatterns[Active],MOD(tblRota[[#This Row],[Date]]-Anchor+CrewOffset*2,CycleDays)+1)))</f>
        <v>O</v>
      </c>
      <c r="I69" s="38" t="str">
        <f>IF(tblRota[[#This Row],[Date]]="","",IF(tblRota[[#This Row],[Cycle day]]="","",INDEX(tblPatterns[Active],MOD(tblRota[[#This Row],[Date]]-Anchor+CrewOffset*3,CycleDays)+1)))</f>
        <v>D</v>
      </c>
      <c r="J69" s="38" t="str">
        <f>IF(tblRota[[#This Row],[Date]]="","",IF(tblRota[[#This Row],[Crew A]]="D","A",IF(tblRota[[#This Row],[Crew B]]="D","B",IF(tblRota[[#This Row],[Crew C]]="D","C",IF(tblRota[[#This Row],[Crew D]]="D","D","")))))</f>
        <v>D</v>
      </c>
      <c r="K69" s="38" t="str">
        <f>IF(tblRota[[#This Row],[Date]]="","",IF(tblRota[[#This Row],[Crew A]]="N","A",IF(tblRota[[#This Row],[Crew B]]="N","B",IF(tblRota[[#This Row],[Crew C]]="N","C",IF(tblRota[[#This Row],[Crew D]]="N","D","")))))</f>
        <v>B</v>
      </c>
      <c r="L69" s="30">
        <v>2</v>
      </c>
      <c r="M69" s="30">
        <v>0</v>
      </c>
      <c r="N69" s="33">
        <f>IF(tblRota[[#This Row],[Date]]="","",IFERROR(INDEX(tblCrews[People],MATCH(tblRota[[#This Row],[Day crew]],tblCrews[Crew],0)),0)-tblRota[[#This Row],[Day absent (people)]])</f>
        <v>10</v>
      </c>
      <c r="O69" s="33">
        <f>IF(tblRota[[#This Row],[Date]]="","",IFERROR(INDEX(tblCrews[People],MATCH(tblRota[[#This Row],[Night crew]],tblCrews[Crew],0)),0)-tblRota[[#This Row],[Night absent (people)]])</f>
        <v>12</v>
      </c>
      <c r="P69" s="33">
        <f>IF(tblRota[[#This Row],[Date]]="","",MIN(tblRota[[#This Row],[Day on shift (people)]],tblRota[[#This Row],[Night on shift (people)]]))</f>
        <v>10</v>
      </c>
      <c r="Q69" s="33">
        <f>IF(tblRota[[#This Row],[Date]]="","",ReqPerShift)</f>
        <v>11</v>
      </c>
      <c r="R69" s="39">
        <f>IF(tblRota[[#This Row],[Date]]="","",IF(tblRota[[#This Row],[Required (people)]]&gt;0,tblRota[[#This Row],[Fewest on shift (people)]]/tblRota[[#This Row],[Required (people)]],""))</f>
        <v>0.909090909090909</v>
      </c>
      <c r="S69" s="38" t="str">
        <f>IF(NOT(ISNUMBER(tblRota[[#This Row],[Lowest coverage]])),"",IF(tblRota[[#This Row],[Lowest coverage]]&gt;=TargetCover,"On target",IF(tblRota[[#This Row],[Lowest coverage]]&gt;=TargetCover*(1-0.05),"Near target","Below target")))</f>
        <v>Below target</v>
      </c>
      <c r="T69" s="33">
        <f>IF(tblRota[[#This Row],[Date]]="","",(tblRota[[#This Row],[Day on shift (people)]]&lt;tblRota[[#This Row],[Required (people)]])+(tblRota[[#This Row],[Night on shift (people)]]&lt;tblRota[[#This Row],[Required (people)]]))</f>
        <v>1</v>
      </c>
      <c r="U69" s="38" t="str">
        <f>IF(tblRota[[#This Row],[Date]]="","",IF(WEEKDAY(tblRota[[#This Row],[Date]],2)&gt;5,"Yes","No"))</f>
        <v>No</v>
      </c>
      <c r="V69"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69" s="28" t="s">
        <v>135</v>
      </c>
    </row>
    <row r="70" spans="2:23">
      <c r="B70" s="29">
        <v>46364</v>
      </c>
      <c r="C70" s="38" t="str">
        <f>IF(tblRota[[#This Row],[Date]]="","",CHOOSE(WEEKDAY(tblRota[[#This Row],[Date]],2),"Mon","Tue","Wed","Thu","Fri","Sat","Sun"))</f>
        <v>Tue</v>
      </c>
      <c r="D70" s="28" t="s">
        <v>134</v>
      </c>
      <c r="E70" s="33">
        <f>IF(tblRota[[#This Row],[Date]]="","",MOD(tblRota[[#This Row],[Date]]-Anchor,CycleDays)+1)</f>
        <v>9</v>
      </c>
      <c r="F70" s="38" t="str">
        <f>IF(tblRota[[#This Row],[Date]]="","",IF(tblRota[[#This Row],[Cycle day]]="","",INDEX(tblPatterns[Active],MOD(tblRota[[#This Row],[Date]]-Anchor+CrewOffset*0,CycleDays)+1)))</f>
        <v>O</v>
      </c>
      <c r="G70" s="38" t="str">
        <f>IF(tblRota[[#This Row],[Date]]="","",IF(tblRota[[#This Row],[Cycle day]]="","",INDEX(tblPatterns[Active],MOD(tblRota[[#This Row],[Date]]-Anchor+CrewOffset*1,CycleDays)+1)))</f>
        <v>N</v>
      </c>
      <c r="H70" s="38" t="str">
        <f>IF(tblRota[[#This Row],[Date]]="","",IF(tblRota[[#This Row],[Cycle day]]="","",INDEX(tblPatterns[Active],MOD(tblRota[[#This Row],[Date]]-Anchor+CrewOffset*2,CycleDays)+1)))</f>
        <v>O</v>
      </c>
      <c r="I70" s="38" t="str">
        <f>IF(tblRota[[#This Row],[Date]]="","",IF(tblRota[[#This Row],[Cycle day]]="","",INDEX(tblPatterns[Active],MOD(tblRota[[#This Row],[Date]]-Anchor+CrewOffset*3,CycleDays)+1)))</f>
        <v>D</v>
      </c>
      <c r="J70" s="38" t="str">
        <f>IF(tblRota[[#This Row],[Date]]="","",IF(tblRota[[#This Row],[Crew A]]="D","A",IF(tblRota[[#This Row],[Crew B]]="D","B",IF(tblRota[[#This Row],[Crew C]]="D","C",IF(tblRota[[#This Row],[Crew D]]="D","D","")))))</f>
        <v>D</v>
      </c>
      <c r="K70" s="38" t="str">
        <f>IF(tblRota[[#This Row],[Date]]="","",IF(tblRota[[#This Row],[Crew A]]="N","A",IF(tblRota[[#This Row],[Crew B]]="N","B",IF(tblRota[[#This Row],[Crew C]]="N","C",IF(tblRota[[#This Row],[Crew D]]="N","D","")))))</f>
        <v>B</v>
      </c>
      <c r="L70" s="30">
        <v>1</v>
      </c>
      <c r="M70" s="30">
        <v>0</v>
      </c>
      <c r="N70" s="33">
        <f>IF(tblRota[[#This Row],[Date]]="","",IFERROR(INDEX(tblCrews[People],MATCH(tblRota[[#This Row],[Day crew]],tblCrews[Crew],0)),0)-tblRota[[#This Row],[Day absent (people)]])</f>
        <v>11</v>
      </c>
      <c r="O70" s="33">
        <f>IF(tblRota[[#This Row],[Date]]="","",IFERROR(INDEX(tblCrews[People],MATCH(tblRota[[#This Row],[Night crew]],tblCrews[Crew],0)),0)-tblRota[[#This Row],[Night absent (people)]])</f>
        <v>12</v>
      </c>
      <c r="P70" s="33">
        <f>IF(tblRota[[#This Row],[Date]]="","",MIN(tblRota[[#This Row],[Day on shift (people)]],tblRota[[#This Row],[Night on shift (people)]]))</f>
        <v>11</v>
      </c>
      <c r="Q70" s="33">
        <f>IF(tblRota[[#This Row],[Date]]="","",ReqPerShift)</f>
        <v>11</v>
      </c>
      <c r="R70" s="39">
        <f>IF(tblRota[[#This Row],[Date]]="","",IF(tblRota[[#This Row],[Required (people)]]&gt;0,tblRota[[#This Row],[Fewest on shift (people)]]/tblRota[[#This Row],[Required (people)]],""))</f>
        <v>1</v>
      </c>
      <c r="S70" s="38" t="str">
        <f>IF(NOT(ISNUMBER(tblRota[[#This Row],[Lowest coverage]])),"",IF(tblRota[[#This Row],[Lowest coverage]]&gt;=TargetCover,"On target",IF(tblRota[[#This Row],[Lowest coverage]]&gt;=TargetCover*(1-0.05),"Near target","Below target")))</f>
        <v>On target</v>
      </c>
      <c r="T70" s="33">
        <f>IF(tblRota[[#This Row],[Date]]="","",(tblRota[[#This Row],[Day on shift (people)]]&lt;tblRota[[#This Row],[Required (people)]])+(tblRota[[#This Row],[Night on shift (people)]]&lt;tblRota[[#This Row],[Required (people)]]))</f>
        <v>0</v>
      </c>
      <c r="U70" s="38" t="str">
        <f>IF(tblRota[[#This Row],[Date]]="","",IF(WEEKDAY(tblRota[[#This Row],[Date]],2)&gt;5,"Yes","No"))</f>
        <v>No</v>
      </c>
      <c r="V70"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70" s="28" t="s">
        <v>135</v>
      </c>
    </row>
    <row r="71" spans="2:23">
      <c r="B71" s="29">
        <v>46365</v>
      </c>
      <c r="C71" s="38" t="str">
        <f>IF(tblRota[[#This Row],[Date]]="","",CHOOSE(WEEKDAY(tblRota[[#This Row],[Date]],2),"Mon","Tue","Wed","Thu","Fri","Sat","Sun"))</f>
        <v>Wed</v>
      </c>
      <c r="D71" s="28" t="s">
        <v>134</v>
      </c>
      <c r="E71" s="33">
        <f>IF(tblRota[[#This Row],[Date]]="","",MOD(tblRota[[#This Row],[Date]]-Anchor,CycleDays)+1)</f>
        <v>10</v>
      </c>
      <c r="F71" s="38" t="str">
        <f>IF(tblRota[[#This Row],[Date]]="","",IF(tblRota[[#This Row],[Cycle day]]="","",INDEX(tblPatterns[Active],MOD(tblRota[[#This Row],[Date]]-Anchor+CrewOffset*0,CycleDays)+1)))</f>
        <v>D</v>
      </c>
      <c r="G71" s="38" t="str">
        <f>IF(tblRota[[#This Row],[Date]]="","",IF(tblRota[[#This Row],[Cycle day]]="","",INDEX(tblPatterns[Active],MOD(tblRota[[#This Row],[Date]]-Anchor+CrewOffset*1,CycleDays)+1)))</f>
        <v>O</v>
      </c>
      <c r="H71" s="38" t="str">
        <f>IF(tblRota[[#This Row],[Date]]="","",IF(tblRota[[#This Row],[Cycle day]]="","",INDEX(tblPatterns[Active],MOD(tblRota[[#This Row],[Date]]-Anchor+CrewOffset*2,CycleDays)+1)))</f>
        <v>N</v>
      </c>
      <c r="I71" s="38" t="str">
        <f>IF(tblRota[[#This Row],[Date]]="","",IF(tblRota[[#This Row],[Cycle day]]="","",INDEX(tblPatterns[Active],MOD(tblRota[[#This Row],[Date]]-Anchor+CrewOffset*3,CycleDays)+1)))</f>
        <v>O</v>
      </c>
      <c r="J71" s="38" t="str">
        <f>IF(tblRota[[#This Row],[Date]]="","",IF(tblRota[[#This Row],[Crew A]]="D","A",IF(tblRota[[#This Row],[Crew B]]="D","B",IF(tblRota[[#This Row],[Crew C]]="D","C",IF(tblRota[[#This Row],[Crew D]]="D","D","")))))</f>
        <v>A</v>
      </c>
      <c r="K71" s="38" t="str">
        <f>IF(tblRota[[#This Row],[Date]]="","",IF(tblRota[[#This Row],[Crew A]]="N","A",IF(tblRota[[#This Row],[Crew B]]="N","B",IF(tblRota[[#This Row],[Crew C]]="N","C",IF(tblRota[[#This Row],[Crew D]]="N","D","")))))</f>
        <v>C</v>
      </c>
      <c r="L71" s="30">
        <v>1</v>
      </c>
      <c r="M71" s="30">
        <v>0</v>
      </c>
      <c r="N71" s="33">
        <f>IF(tblRota[[#This Row],[Date]]="","",IFERROR(INDEX(tblCrews[People],MATCH(tblRota[[#This Row],[Day crew]],tblCrews[Crew],0)),0)-tblRota[[#This Row],[Day absent (people)]])</f>
        <v>11</v>
      </c>
      <c r="O71" s="33">
        <f>IF(tblRota[[#This Row],[Date]]="","",IFERROR(INDEX(tblCrews[People],MATCH(tblRota[[#This Row],[Night crew]],tblCrews[Crew],0)),0)-tblRota[[#This Row],[Night absent (people)]])</f>
        <v>11</v>
      </c>
      <c r="P71" s="33">
        <f>IF(tblRota[[#This Row],[Date]]="","",MIN(tblRota[[#This Row],[Day on shift (people)]],tblRota[[#This Row],[Night on shift (people)]]))</f>
        <v>11</v>
      </c>
      <c r="Q71" s="33">
        <f>IF(tblRota[[#This Row],[Date]]="","",ReqPerShift)</f>
        <v>11</v>
      </c>
      <c r="R71" s="39">
        <f>IF(tblRota[[#This Row],[Date]]="","",IF(tblRota[[#This Row],[Required (people)]]&gt;0,tblRota[[#This Row],[Fewest on shift (people)]]/tblRota[[#This Row],[Required (people)]],""))</f>
        <v>1</v>
      </c>
      <c r="S71" s="38" t="str">
        <f>IF(NOT(ISNUMBER(tblRota[[#This Row],[Lowest coverage]])),"",IF(tblRota[[#This Row],[Lowest coverage]]&gt;=TargetCover,"On target",IF(tblRota[[#This Row],[Lowest coverage]]&gt;=TargetCover*(1-0.05),"Near target","Below target")))</f>
        <v>On target</v>
      </c>
      <c r="T71" s="33">
        <f>IF(tblRota[[#This Row],[Date]]="","",(tblRota[[#This Row],[Day on shift (people)]]&lt;tblRota[[#This Row],[Required (people)]])+(tblRota[[#This Row],[Night on shift (people)]]&lt;tblRota[[#This Row],[Required (people)]]))</f>
        <v>0</v>
      </c>
      <c r="U71" s="38" t="str">
        <f>IF(tblRota[[#This Row],[Date]]="","",IF(WEEKDAY(tblRota[[#This Row],[Date]],2)&gt;5,"Yes","No"))</f>
        <v>No</v>
      </c>
      <c r="V71"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71" s="28" t="s">
        <v>135</v>
      </c>
    </row>
    <row r="72" spans="2:23">
      <c r="B72" s="29">
        <v>46366</v>
      </c>
      <c r="C72" s="38" t="str">
        <f>IF(tblRota[[#This Row],[Date]]="","",CHOOSE(WEEKDAY(tblRota[[#This Row],[Date]],2),"Mon","Tue","Wed","Thu","Fri","Sat","Sun"))</f>
        <v>Thu</v>
      </c>
      <c r="D72" s="28" t="s">
        <v>134</v>
      </c>
      <c r="E72" s="33">
        <f>IF(tblRota[[#This Row],[Date]]="","",MOD(tblRota[[#This Row],[Date]]-Anchor,CycleDays)+1)</f>
        <v>11</v>
      </c>
      <c r="F72" s="38" t="str">
        <f>IF(tblRota[[#This Row],[Date]]="","",IF(tblRota[[#This Row],[Cycle day]]="","",INDEX(tblPatterns[Active],MOD(tblRota[[#This Row],[Date]]-Anchor+CrewOffset*0,CycleDays)+1)))</f>
        <v>D</v>
      </c>
      <c r="G72" s="38" t="str">
        <f>IF(tblRota[[#This Row],[Date]]="","",IF(tblRota[[#This Row],[Cycle day]]="","",INDEX(tblPatterns[Active],MOD(tblRota[[#This Row],[Date]]-Anchor+CrewOffset*1,CycleDays)+1)))</f>
        <v>O</v>
      </c>
      <c r="H72" s="38" t="str">
        <f>IF(tblRota[[#This Row],[Date]]="","",IF(tblRota[[#This Row],[Cycle day]]="","",INDEX(tblPatterns[Active],MOD(tblRota[[#This Row],[Date]]-Anchor+CrewOffset*2,CycleDays)+1)))</f>
        <v>N</v>
      </c>
      <c r="I72" s="38" t="str">
        <f>IF(tblRota[[#This Row],[Date]]="","",IF(tblRota[[#This Row],[Cycle day]]="","",INDEX(tblPatterns[Active],MOD(tblRota[[#This Row],[Date]]-Anchor+CrewOffset*3,CycleDays)+1)))</f>
        <v>O</v>
      </c>
      <c r="J72" s="38" t="str">
        <f>IF(tblRota[[#This Row],[Date]]="","",IF(tblRota[[#This Row],[Crew A]]="D","A",IF(tblRota[[#This Row],[Crew B]]="D","B",IF(tblRota[[#This Row],[Crew C]]="D","C",IF(tblRota[[#This Row],[Crew D]]="D","D","")))))</f>
        <v>A</v>
      </c>
      <c r="K72" s="38" t="str">
        <f>IF(tblRota[[#This Row],[Date]]="","",IF(tblRota[[#This Row],[Crew A]]="N","A",IF(tblRota[[#This Row],[Crew B]]="N","B",IF(tblRota[[#This Row],[Crew C]]="N","C",IF(tblRota[[#This Row],[Crew D]]="N","D","")))))</f>
        <v>C</v>
      </c>
      <c r="L72" s="30">
        <v>1</v>
      </c>
      <c r="M72" s="30">
        <v>2</v>
      </c>
      <c r="N72" s="33">
        <f>IF(tblRota[[#This Row],[Date]]="","",IFERROR(INDEX(tblCrews[People],MATCH(tblRota[[#This Row],[Day crew]],tblCrews[Crew],0)),0)-tblRota[[#This Row],[Day absent (people)]])</f>
        <v>11</v>
      </c>
      <c r="O72" s="33">
        <f>IF(tblRota[[#This Row],[Date]]="","",IFERROR(INDEX(tblCrews[People],MATCH(tblRota[[#This Row],[Night crew]],tblCrews[Crew],0)),0)-tblRota[[#This Row],[Night absent (people)]])</f>
        <v>9</v>
      </c>
      <c r="P72" s="33">
        <f>IF(tblRota[[#This Row],[Date]]="","",MIN(tblRota[[#This Row],[Day on shift (people)]],tblRota[[#This Row],[Night on shift (people)]]))</f>
        <v>9</v>
      </c>
      <c r="Q72" s="33">
        <f>IF(tblRota[[#This Row],[Date]]="","",ReqPerShift)</f>
        <v>11</v>
      </c>
      <c r="R72" s="39">
        <f>IF(tblRota[[#This Row],[Date]]="","",IF(tblRota[[#This Row],[Required (people)]]&gt;0,tblRota[[#This Row],[Fewest on shift (people)]]/tblRota[[#This Row],[Required (people)]],""))</f>
        <v>0.818181818181818</v>
      </c>
      <c r="S72" s="38" t="str">
        <f>IF(NOT(ISNUMBER(tblRota[[#This Row],[Lowest coverage]])),"",IF(tblRota[[#This Row],[Lowest coverage]]&gt;=TargetCover,"On target",IF(tblRota[[#This Row],[Lowest coverage]]&gt;=TargetCover*(1-0.05),"Near target","Below target")))</f>
        <v>Below target</v>
      </c>
      <c r="T72" s="33">
        <f>IF(tblRota[[#This Row],[Date]]="","",(tblRota[[#This Row],[Day on shift (people)]]&lt;tblRota[[#This Row],[Required (people)]])+(tblRota[[#This Row],[Night on shift (people)]]&lt;tblRota[[#This Row],[Required (people)]]))</f>
        <v>1</v>
      </c>
      <c r="U72" s="38" t="str">
        <f>IF(tblRota[[#This Row],[Date]]="","",IF(WEEKDAY(tblRota[[#This Row],[Date]],2)&gt;5,"Yes","No"))</f>
        <v>No</v>
      </c>
      <c r="V72"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72" s="28" t="s">
        <v>136</v>
      </c>
    </row>
    <row r="73" spans="2:23">
      <c r="B73" s="29">
        <v>46367</v>
      </c>
      <c r="C73" s="38" t="str">
        <f>IF(tblRota[[#This Row],[Date]]="","",CHOOSE(WEEKDAY(tblRota[[#This Row],[Date]],2),"Mon","Tue","Wed","Thu","Fri","Sat","Sun"))</f>
        <v>Fri</v>
      </c>
      <c r="D73" s="28" t="s">
        <v>134</v>
      </c>
      <c r="E73" s="33">
        <f>IF(tblRota[[#This Row],[Date]]="","",MOD(tblRota[[#This Row],[Date]]-Anchor,CycleDays)+1)</f>
        <v>12</v>
      </c>
      <c r="F73" s="38" t="str">
        <f>IF(tblRota[[#This Row],[Date]]="","",IF(tblRota[[#This Row],[Cycle day]]="","",INDEX(tblPatterns[Active],MOD(tblRota[[#This Row],[Date]]-Anchor+CrewOffset*0,CycleDays)+1)))</f>
        <v>O</v>
      </c>
      <c r="G73" s="38" t="str">
        <f>IF(tblRota[[#This Row],[Date]]="","",IF(tblRota[[#This Row],[Cycle day]]="","",INDEX(tblPatterns[Active],MOD(tblRota[[#This Row],[Date]]-Anchor+CrewOffset*1,CycleDays)+1)))</f>
        <v>N</v>
      </c>
      <c r="H73" s="38" t="str">
        <f>IF(tblRota[[#This Row],[Date]]="","",IF(tblRota[[#This Row],[Cycle day]]="","",INDEX(tblPatterns[Active],MOD(tblRota[[#This Row],[Date]]-Anchor+CrewOffset*2,CycleDays)+1)))</f>
        <v>O</v>
      </c>
      <c r="I73" s="38" t="str">
        <f>IF(tblRota[[#This Row],[Date]]="","",IF(tblRota[[#This Row],[Cycle day]]="","",INDEX(tblPatterns[Active],MOD(tblRota[[#This Row],[Date]]-Anchor+CrewOffset*3,CycleDays)+1)))</f>
        <v>D</v>
      </c>
      <c r="J73" s="38" t="str">
        <f>IF(tblRota[[#This Row],[Date]]="","",IF(tblRota[[#This Row],[Crew A]]="D","A",IF(tblRota[[#This Row],[Crew B]]="D","B",IF(tblRota[[#This Row],[Crew C]]="D","C",IF(tblRota[[#This Row],[Crew D]]="D","D","")))))</f>
        <v>D</v>
      </c>
      <c r="K73" s="38" t="str">
        <f>IF(tblRota[[#This Row],[Date]]="","",IF(tblRota[[#This Row],[Crew A]]="N","A",IF(tblRota[[#This Row],[Crew B]]="N","B",IF(tblRota[[#This Row],[Crew C]]="N","C",IF(tblRota[[#This Row],[Crew D]]="N","D","")))))</f>
        <v>B</v>
      </c>
      <c r="L73" s="30">
        <v>1</v>
      </c>
      <c r="M73" s="30">
        <v>0</v>
      </c>
      <c r="N73" s="33">
        <f>IF(tblRota[[#This Row],[Date]]="","",IFERROR(INDEX(tblCrews[People],MATCH(tblRota[[#This Row],[Day crew]],tblCrews[Crew],0)),0)-tblRota[[#This Row],[Day absent (people)]])</f>
        <v>11</v>
      </c>
      <c r="O73" s="33">
        <f>IF(tblRota[[#This Row],[Date]]="","",IFERROR(INDEX(tblCrews[People],MATCH(tblRota[[#This Row],[Night crew]],tblCrews[Crew],0)),0)-tblRota[[#This Row],[Night absent (people)]])</f>
        <v>12</v>
      </c>
      <c r="P73" s="33">
        <f>IF(tblRota[[#This Row],[Date]]="","",MIN(tblRota[[#This Row],[Day on shift (people)]],tblRota[[#This Row],[Night on shift (people)]]))</f>
        <v>11</v>
      </c>
      <c r="Q73" s="33">
        <f>IF(tblRota[[#This Row],[Date]]="","",ReqPerShift)</f>
        <v>11</v>
      </c>
      <c r="R73" s="39">
        <f>IF(tblRota[[#This Row],[Date]]="","",IF(tblRota[[#This Row],[Required (people)]]&gt;0,tblRota[[#This Row],[Fewest on shift (people)]]/tblRota[[#This Row],[Required (people)]],""))</f>
        <v>1</v>
      </c>
      <c r="S73" s="38" t="str">
        <f>IF(NOT(ISNUMBER(tblRota[[#This Row],[Lowest coverage]])),"",IF(tblRota[[#This Row],[Lowest coverage]]&gt;=TargetCover,"On target",IF(tblRota[[#This Row],[Lowest coverage]]&gt;=TargetCover*(1-0.05),"Near target","Below target")))</f>
        <v>On target</v>
      </c>
      <c r="T73" s="33">
        <f>IF(tblRota[[#This Row],[Date]]="","",(tblRota[[#This Row],[Day on shift (people)]]&lt;tblRota[[#This Row],[Required (people)]])+(tblRota[[#This Row],[Night on shift (people)]]&lt;tblRota[[#This Row],[Required (people)]]))</f>
        <v>0</v>
      </c>
      <c r="U73" s="38" t="str">
        <f>IF(tblRota[[#This Row],[Date]]="","",IF(WEEKDAY(tblRota[[#This Row],[Date]],2)&gt;5,"Yes","No"))</f>
        <v>No</v>
      </c>
      <c r="V73"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73" s="28" t="s">
        <v>135</v>
      </c>
    </row>
    <row r="74" spans="2:23">
      <c r="B74" s="29">
        <v>46368</v>
      </c>
      <c r="C74" s="38" t="str">
        <f>IF(tblRota[[#This Row],[Date]]="","",CHOOSE(WEEKDAY(tblRota[[#This Row],[Date]],2),"Mon","Tue","Wed","Thu","Fri","Sat","Sun"))</f>
        <v>Sat</v>
      </c>
      <c r="D74" s="28" t="s">
        <v>134</v>
      </c>
      <c r="E74" s="33">
        <f>IF(tblRota[[#This Row],[Date]]="","",MOD(tblRota[[#This Row],[Date]]-Anchor,CycleDays)+1)</f>
        <v>13</v>
      </c>
      <c r="F74" s="38" t="str">
        <f>IF(tblRota[[#This Row],[Date]]="","",IF(tblRota[[#This Row],[Cycle day]]="","",INDEX(tblPatterns[Active],MOD(tblRota[[#This Row],[Date]]-Anchor+CrewOffset*0,CycleDays)+1)))</f>
        <v>O</v>
      </c>
      <c r="G74" s="38" t="str">
        <f>IF(tblRota[[#This Row],[Date]]="","",IF(tblRota[[#This Row],[Cycle day]]="","",INDEX(tblPatterns[Active],MOD(tblRota[[#This Row],[Date]]-Anchor+CrewOffset*1,CycleDays)+1)))</f>
        <v>N</v>
      </c>
      <c r="H74" s="38" t="str">
        <f>IF(tblRota[[#This Row],[Date]]="","",IF(tblRota[[#This Row],[Cycle day]]="","",INDEX(tblPatterns[Active],MOD(tblRota[[#This Row],[Date]]-Anchor+CrewOffset*2,CycleDays)+1)))</f>
        <v>O</v>
      </c>
      <c r="I74" s="38" t="str">
        <f>IF(tblRota[[#This Row],[Date]]="","",IF(tblRota[[#This Row],[Cycle day]]="","",INDEX(tblPatterns[Active],MOD(tblRota[[#This Row],[Date]]-Anchor+CrewOffset*3,CycleDays)+1)))</f>
        <v>D</v>
      </c>
      <c r="J74" s="38" t="str">
        <f>IF(tblRota[[#This Row],[Date]]="","",IF(tblRota[[#This Row],[Crew A]]="D","A",IF(tblRota[[#This Row],[Crew B]]="D","B",IF(tblRota[[#This Row],[Crew C]]="D","C",IF(tblRota[[#This Row],[Crew D]]="D","D","")))))</f>
        <v>D</v>
      </c>
      <c r="K74" s="38" t="str">
        <f>IF(tblRota[[#This Row],[Date]]="","",IF(tblRota[[#This Row],[Crew A]]="N","A",IF(tblRota[[#This Row],[Crew B]]="N","B",IF(tblRota[[#This Row],[Crew C]]="N","C",IF(tblRota[[#This Row],[Crew D]]="N","D","")))))</f>
        <v>B</v>
      </c>
      <c r="L74" s="30">
        <v>0</v>
      </c>
      <c r="M74" s="30">
        <v>0</v>
      </c>
      <c r="N74" s="33">
        <f>IF(tblRota[[#This Row],[Date]]="","",IFERROR(INDEX(tblCrews[People],MATCH(tblRota[[#This Row],[Day crew]],tblCrews[Crew],0)),0)-tblRota[[#This Row],[Day absent (people)]])</f>
        <v>12</v>
      </c>
      <c r="O74" s="33">
        <f>IF(tblRota[[#This Row],[Date]]="","",IFERROR(INDEX(tblCrews[People],MATCH(tblRota[[#This Row],[Night crew]],tblCrews[Crew],0)),0)-tblRota[[#This Row],[Night absent (people)]])</f>
        <v>12</v>
      </c>
      <c r="P74" s="33">
        <f>IF(tblRota[[#This Row],[Date]]="","",MIN(tblRota[[#This Row],[Day on shift (people)]],tblRota[[#This Row],[Night on shift (people)]]))</f>
        <v>12</v>
      </c>
      <c r="Q74" s="33">
        <f>IF(tblRota[[#This Row],[Date]]="","",ReqPerShift)</f>
        <v>11</v>
      </c>
      <c r="R74" s="39">
        <f>IF(tblRota[[#This Row],[Date]]="","",IF(tblRota[[#This Row],[Required (people)]]&gt;0,tblRota[[#This Row],[Fewest on shift (people)]]/tblRota[[#This Row],[Required (people)]],""))</f>
        <v>1.09090909090909</v>
      </c>
      <c r="S74" s="38" t="str">
        <f>IF(NOT(ISNUMBER(tblRota[[#This Row],[Lowest coverage]])),"",IF(tblRota[[#This Row],[Lowest coverage]]&gt;=TargetCover,"On target",IF(tblRota[[#This Row],[Lowest coverage]]&gt;=TargetCover*(1-0.05),"Near target","Below target")))</f>
        <v>On target</v>
      </c>
      <c r="T74" s="33">
        <f>IF(tblRota[[#This Row],[Date]]="","",(tblRota[[#This Row],[Day on shift (people)]]&lt;tblRota[[#This Row],[Required (people)]])+(tblRota[[#This Row],[Night on shift (people)]]&lt;tblRota[[#This Row],[Required (people)]]))</f>
        <v>0</v>
      </c>
      <c r="U74" s="38" t="str">
        <f>IF(tblRota[[#This Row],[Date]]="","",IF(WEEKDAY(tblRota[[#This Row],[Date]],2)&gt;5,"Yes","No"))</f>
        <v>Yes</v>
      </c>
      <c r="V74"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74" s="28" t="s">
        <v>135</v>
      </c>
    </row>
    <row r="75" spans="2:23">
      <c r="B75" s="29">
        <v>46369</v>
      </c>
      <c r="C75" s="38" t="str">
        <f>IF(tblRota[[#This Row],[Date]]="","",CHOOSE(WEEKDAY(tblRota[[#This Row],[Date]],2),"Mon","Tue","Wed","Thu","Fri","Sat","Sun"))</f>
        <v>Sun</v>
      </c>
      <c r="D75" s="28" t="s">
        <v>134</v>
      </c>
      <c r="E75" s="33">
        <f>IF(tblRota[[#This Row],[Date]]="","",MOD(tblRota[[#This Row],[Date]]-Anchor,CycleDays)+1)</f>
        <v>14</v>
      </c>
      <c r="F75" s="38" t="str">
        <f>IF(tblRota[[#This Row],[Date]]="","",IF(tblRota[[#This Row],[Cycle day]]="","",INDEX(tblPatterns[Active],MOD(tblRota[[#This Row],[Date]]-Anchor+CrewOffset*0,CycleDays)+1)))</f>
        <v>O</v>
      </c>
      <c r="G75" s="38" t="str">
        <f>IF(tblRota[[#This Row],[Date]]="","",IF(tblRota[[#This Row],[Cycle day]]="","",INDEX(tblPatterns[Active],MOD(tblRota[[#This Row],[Date]]-Anchor+CrewOffset*1,CycleDays)+1)))</f>
        <v>N</v>
      </c>
      <c r="H75" s="38" t="str">
        <f>IF(tblRota[[#This Row],[Date]]="","",IF(tblRota[[#This Row],[Cycle day]]="","",INDEX(tblPatterns[Active],MOD(tblRota[[#This Row],[Date]]-Anchor+CrewOffset*2,CycleDays)+1)))</f>
        <v>O</v>
      </c>
      <c r="I75" s="38" t="str">
        <f>IF(tblRota[[#This Row],[Date]]="","",IF(tblRota[[#This Row],[Cycle day]]="","",INDEX(tblPatterns[Active],MOD(tblRota[[#This Row],[Date]]-Anchor+CrewOffset*3,CycleDays)+1)))</f>
        <v>D</v>
      </c>
      <c r="J75" s="38" t="str">
        <f>IF(tblRota[[#This Row],[Date]]="","",IF(tblRota[[#This Row],[Crew A]]="D","A",IF(tblRota[[#This Row],[Crew B]]="D","B",IF(tblRota[[#This Row],[Crew C]]="D","C",IF(tblRota[[#This Row],[Crew D]]="D","D","")))))</f>
        <v>D</v>
      </c>
      <c r="K75" s="38" t="str">
        <f>IF(tblRota[[#This Row],[Date]]="","",IF(tblRota[[#This Row],[Crew A]]="N","A",IF(tblRota[[#This Row],[Crew B]]="N","B",IF(tblRota[[#This Row],[Crew C]]="N","C",IF(tblRota[[#This Row],[Crew D]]="N","D","")))))</f>
        <v>B</v>
      </c>
      <c r="L75" s="30">
        <v>0</v>
      </c>
      <c r="M75" s="30">
        <v>1</v>
      </c>
      <c r="N75" s="33">
        <f>IF(tblRota[[#This Row],[Date]]="","",IFERROR(INDEX(tblCrews[People],MATCH(tblRota[[#This Row],[Day crew]],tblCrews[Crew],0)),0)-tblRota[[#This Row],[Day absent (people)]])</f>
        <v>12</v>
      </c>
      <c r="O75" s="33">
        <f>IF(tblRota[[#This Row],[Date]]="","",IFERROR(INDEX(tblCrews[People],MATCH(tblRota[[#This Row],[Night crew]],tblCrews[Crew],0)),0)-tblRota[[#This Row],[Night absent (people)]])</f>
        <v>11</v>
      </c>
      <c r="P75" s="33">
        <f>IF(tblRota[[#This Row],[Date]]="","",MIN(tblRota[[#This Row],[Day on shift (people)]],tblRota[[#This Row],[Night on shift (people)]]))</f>
        <v>11</v>
      </c>
      <c r="Q75" s="33">
        <f>IF(tblRota[[#This Row],[Date]]="","",ReqPerShift)</f>
        <v>11</v>
      </c>
      <c r="R75" s="39">
        <f>IF(tblRota[[#This Row],[Date]]="","",IF(tblRota[[#This Row],[Required (people)]]&gt;0,tblRota[[#This Row],[Fewest on shift (people)]]/tblRota[[#This Row],[Required (people)]],""))</f>
        <v>1</v>
      </c>
      <c r="S75" s="38" t="str">
        <f>IF(NOT(ISNUMBER(tblRota[[#This Row],[Lowest coverage]])),"",IF(tblRota[[#This Row],[Lowest coverage]]&gt;=TargetCover,"On target",IF(tblRota[[#This Row],[Lowest coverage]]&gt;=TargetCover*(1-0.05),"Near target","Below target")))</f>
        <v>On target</v>
      </c>
      <c r="T75" s="33">
        <f>IF(tblRota[[#This Row],[Date]]="","",(tblRota[[#This Row],[Day on shift (people)]]&lt;tblRota[[#This Row],[Required (people)]])+(tblRota[[#This Row],[Night on shift (people)]]&lt;tblRota[[#This Row],[Required (people)]]))</f>
        <v>0</v>
      </c>
      <c r="U75" s="38" t="str">
        <f>IF(tblRota[[#This Row],[Date]]="","",IF(WEEKDAY(tblRota[[#This Row],[Date]],2)&gt;5,"Yes","No"))</f>
        <v>Yes</v>
      </c>
      <c r="V75"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75" s="28" t="s">
        <v>135</v>
      </c>
    </row>
    <row r="76" spans="2:23">
      <c r="B76" s="29">
        <v>46370</v>
      </c>
      <c r="C76" s="38" t="str">
        <f>IF(tblRota[[#This Row],[Date]]="","",CHOOSE(WEEKDAY(tblRota[[#This Row],[Date]],2),"Mon","Tue","Wed","Thu","Fri","Sat","Sun"))</f>
        <v>Mon</v>
      </c>
      <c r="D76" s="28" t="s">
        <v>134</v>
      </c>
      <c r="E76" s="33">
        <f>IF(tblRota[[#This Row],[Date]]="","",MOD(tblRota[[#This Row],[Date]]-Anchor,CycleDays)+1)</f>
        <v>15</v>
      </c>
      <c r="F76" s="38" t="str">
        <f>IF(tblRota[[#This Row],[Date]]="","",IF(tblRota[[#This Row],[Cycle day]]="","",INDEX(tblPatterns[Active],MOD(tblRota[[#This Row],[Date]]-Anchor+CrewOffset*0,CycleDays)+1)))</f>
        <v>N</v>
      </c>
      <c r="G76" s="38" t="str">
        <f>IF(tblRota[[#This Row],[Date]]="","",IF(tblRota[[#This Row],[Cycle day]]="","",INDEX(tblPatterns[Active],MOD(tblRota[[#This Row],[Date]]-Anchor+CrewOffset*1,CycleDays)+1)))</f>
        <v>O</v>
      </c>
      <c r="H76" s="38" t="str">
        <f>IF(tblRota[[#This Row],[Date]]="","",IF(tblRota[[#This Row],[Cycle day]]="","",INDEX(tblPatterns[Active],MOD(tblRota[[#This Row],[Date]]-Anchor+CrewOffset*2,CycleDays)+1)))</f>
        <v>D</v>
      </c>
      <c r="I76" s="38" t="str">
        <f>IF(tblRota[[#This Row],[Date]]="","",IF(tblRota[[#This Row],[Cycle day]]="","",INDEX(tblPatterns[Active],MOD(tblRota[[#This Row],[Date]]-Anchor+CrewOffset*3,CycleDays)+1)))</f>
        <v>O</v>
      </c>
      <c r="J76" s="38" t="str">
        <f>IF(tblRota[[#This Row],[Date]]="","",IF(tblRota[[#This Row],[Crew A]]="D","A",IF(tblRota[[#This Row],[Crew B]]="D","B",IF(tblRota[[#This Row],[Crew C]]="D","C",IF(tblRota[[#This Row],[Crew D]]="D","D","")))))</f>
        <v>C</v>
      </c>
      <c r="K76" s="38" t="str">
        <f>IF(tblRota[[#This Row],[Date]]="","",IF(tblRota[[#This Row],[Crew A]]="N","A",IF(tblRota[[#This Row],[Crew B]]="N","B",IF(tblRota[[#This Row],[Crew C]]="N","C",IF(tblRota[[#This Row],[Crew D]]="N","D","")))))</f>
        <v>A</v>
      </c>
      <c r="L76" s="30">
        <v>1</v>
      </c>
      <c r="M76" s="30">
        <v>1</v>
      </c>
      <c r="N76" s="33">
        <f>IF(tblRota[[#This Row],[Date]]="","",IFERROR(INDEX(tblCrews[People],MATCH(tblRota[[#This Row],[Day crew]],tblCrews[Crew],0)),0)-tblRota[[#This Row],[Day absent (people)]])</f>
        <v>10</v>
      </c>
      <c r="O76" s="33">
        <f>IF(tblRota[[#This Row],[Date]]="","",IFERROR(INDEX(tblCrews[People],MATCH(tblRota[[#This Row],[Night crew]],tblCrews[Crew],0)),0)-tblRota[[#This Row],[Night absent (people)]])</f>
        <v>11</v>
      </c>
      <c r="P76" s="33">
        <f>IF(tblRota[[#This Row],[Date]]="","",MIN(tblRota[[#This Row],[Day on shift (people)]],tblRota[[#This Row],[Night on shift (people)]]))</f>
        <v>10</v>
      </c>
      <c r="Q76" s="33">
        <f>IF(tblRota[[#This Row],[Date]]="","",ReqPerShift)</f>
        <v>11</v>
      </c>
      <c r="R76" s="39">
        <f>IF(tblRota[[#This Row],[Date]]="","",IF(tblRota[[#This Row],[Required (people)]]&gt;0,tblRota[[#This Row],[Fewest on shift (people)]]/tblRota[[#This Row],[Required (people)]],""))</f>
        <v>0.909090909090909</v>
      </c>
      <c r="S76" s="38" t="str">
        <f>IF(NOT(ISNUMBER(tblRota[[#This Row],[Lowest coverage]])),"",IF(tblRota[[#This Row],[Lowest coverage]]&gt;=TargetCover,"On target",IF(tblRota[[#This Row],[Lowest coverage]]&gt;=TargetCover*(1-0.05),"Near target","Below target")))</f>
        <v>Below target</v>
      </c>
      <c r="T76" s="33">
        <f>IF(tblRota[[#This Row],[Date]]="","",(tblRota[[#This Row],[Day on shift (people)]]&lt;tblRota[[#This Row],[Required (people)]])+(tblRota[[#This Row],[Night on shift (people)]]&lt;tblRota[[#This Row],[Required (people)]]))</f>
        <v>1</v>
      </c>
      <c r="U76" s="38" t="str">
        <f>IF(tblRota[[#This Row],[Date]]="","",IF(WEEKDAY(tblRota[[#This Row],[Date]],2)&gt;5,"Yes","No"))</f>
        <v>No</v>
      </c>
      <c r="V76"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76" s="28" t="s">
        <v>135</v>
      </c>
    </row>
    <row r="77" spans="2:23">
      <c r="B77" s="29">
        <v>46371</v>
      </c>
      <c r="C77" s="38" t="str">
        <f>IF(tblRota[[#This Row],[Date]]="","",CHOOSE(WEEKDAY(tblRota[[#This Row],[Date]],2),"Mon","Tue","Wed","Thu","Fri","Sat","Sun"))</f>
        <v>Tue</v>
      </c>
      <c r="D77" s="28" t="s">
        <v>134</v>
      </c>
      <c r="E77" s="33">
        <f>IF(tblRota[[#This Row],[Date]]="","",MOD(tblRota[[#This Row],[Date]]-Anchor,CycleDays)+1)</f>
        <v>16</v>
      </c>
      <c r="F77" s="38" t="str">
        <f>IF(tblRota[[#This Row],[Date]]="","",IF(tblRota[[#This Row],[Cycle day]]="","",INDEX(tblPatterns[Active],MOD(tblRota[[#This Row],[Date]]-Anchor+CrewOffset*0,CycleDays)+1)))</f>
        <v>N</v>
      </c>
      <c r="G77" s="38" t="str">
        <f>IF(tblRota[[#This Row],[Date]]="","",IF(tblRota[[#This Row],[Cycle day]]="","",INDEX(tblPatterns[Active],MOD(tblRota[[#This Row],[Date]]-Anchor+CrewOffset*1,CycleDays)+1)))</f>
        <v>O</v>
      </c>
      <c r="H77" s="38" t="str">
        <f>IF(tblRota[[#This Row],[Date]]="","",IF(tblRota[[#This Row],[Cycle day]]="","",INDEX(tblPatterns[Active],MOD(tblRota[[#This Row],[Date]]-Anchor+CrewOffset*2,CycleDays)+1)))</f>
        <v>D</v>
      </c>
      <c r="I77" s="38" t="str">
        <f>IF(tblRota[[#This Row],[Date]]="","",IF(tblRota[[#This Row],[Cycle day]]="","",INDEX(tblPatterns[Active],MOD(tblRota[[#This Row],[Date]]-Anchor+CrewOffset*3,CycleDays)+1)))</f>
        <v>O</v>
      </c>
      <c r="J77" s="38" t="str">
        <f>IF(tblRota[[#This Row],[Date]]="","",IF(tblRota[[#This Row],[Crew A]]="D","A",IF(tblRota[[#This Row],[Crew B]]="D","B",IF(tblRota[[#This Row],[Crew C]]="D","C",IF(tblRota[[#This Row],[Crew D]]="D","D","")))))</f>
        <v>C</v>
      </c>
      <c r="K77" s="38" t="str">
        <f>IF(tblRota[[#This Row],[Date]]="","",IF(tblRota[[#This Row],[Crew A]]="N","A",IF(tblRota[[#This Row],[Crew B]]="N","B",IF(tblRota[[#This Row],[Crew C]]="N","C",IF(tblRota[[#This Row],[Crew D]]="N","D","")))))</f>
        <v>A</v>
      </c>
      <c r="L77" s="30">
        <v>0</v>
      </c>
      <c r="M77" s="30">
        <v>0</v>
      </c>
      <c r="N77" s="33">
        <f>IF(tblRota[[#This Row],[Date]]="","",IFERROR(INDEX(tblCrews[People],MATCH(tblRota[[#This Row],[Day crew]],tblCrews[Crew],0)),0)-tblRota[[#This Row],[Day absent (people)]])</f>
        <v>11</v>
      </c>
      <c r="O77" s="33">
        <f>IF(tblRota[[#This Row],[Date]]="","",IFERROR(INDEX(tblCrews[People],MATCH(tblRota[[#This Row],[Night crew]],tblCrews[Crew],0)),0)-tblRota[[#This Row],[Night absent (people)]])</f>
        <v>12</v>
      </c>
      <c r="P77" s="33">
        <f>IF(tblRota[[#This Row],[Date]]="","",MIN(tblRota[[#This Row],[Day on shift (people)]],tblRota[[#This Row],[Night on shift (people)]]))</f>
        <v>11</v>
      </c>
      <c r="Q77" s="33">
        <f>IF(tblRota[[#This Row],[Date]]="","",ReqPerShift)</f>
        <v>11</v>
      </c>
      <c r="R77" s="39">
        <f>IF(tblRota[[#This Row],[Date]]="","",IF(tblRota[[#This Row],[Required (people)]]&gt;0,tblRota[[#This Row],[Fewest on shift (people)]]/tblRota[[#This Row],[Required (people)]],""))</f>
        <v>1</v>
      </c>
      <c r="S77" s="38" t="str">
        <f>IF(NOT(ISNUMBER(tblRota[[#This Row],[Lowest coverage]])),"",IF(tblRota[[#This Row],[Lowest coverage]]&gt;=TargetCover,"On target",IF(tblRota[[#This Row],[Lowest coverage]]&gt;=TargetCover*(1-0.05),"Near target","Below target")))</f>
        <v>On target</v>
      </c>
      <c r="T77" s="33">
        <f>IF(tblRota[[#This Row],[Date]]="","",(tblRota[[#This Row],[Day on shift (people)]]&lt;tblRota[[#This Row],[Required (people)]])+(tblRota[[#This Row],[Night on shift (people)]]&lt;tblRota[[#This Row],[Required (people)]]))</f>
        <v>0</v>
      </c>
      <c r="U77" s="38" t="str">
        <f>IF(tblRota[[#This Row],[Date]]="","",IF(WEEKDAY(tblRota[[#This Row],[Date]],2)&gt;5,"Yes","No"))</f>
        <v>No</v>
      </c>
      <c r="V77"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77" s="28" t="s">
        <v>135</v>
      </c>
    </row>
    <row r="78" spans="2:23">
      <c r="B78" s="29">
        <v>46372</v>
      </c>
      <c r="C78" s="38" t="str">
        <f>IF(tblRota[[#This Row],[Date]]="","",CHOOSE(WEEKDAY(tblRota[[#This Row],[Date]],2),"Mon","Tue","Wed","Thu","Fri","Sat","Sun"))</f>
        <v>Wed</v>
      </c>
      <c r="D78" s="28" t="s">
        <v>134</v>
      </c>
      <c r="E78" s="33">
        <f>IF(tblRota[[#This Row],[Date]]="","",MOD(tblRota[[#This Row],[Date]]-Anchor,CycleDays)+1)</f>
        <v>17</v>
      </c>
      <c r="F78" s="38" t="str">
        <f>IF(tblRota[[#This Row],[Date]]="","",IF(tblRota[[#This Row],[Cycle day]]="","",INDEX(tblPatterns[Active],MOD(tblRota[[#This Row],[Date]]-Anchor+CrewOffset*0,CycleDays)+1)))</f>
        <v>O</v>
      </c>
      <c r="G78" s="38" t="str">
        <f>IF(tblRota[[#This Row],[Date]]="","",IF(tblRota[[#This Row],[Cycle day]]="","",INDEX(tblPatterns[Active],MOD(tblRota[[#This Row],[Date]]-Anchor+CrewOffset*1,CycleDays)+1)))</f>
        <v>N</v>
      </c>
      <c r="H78" s="38" t="str">
        <f>IF(tblRota[[#This Row],[Date]]="","",IF(tblRota[[#This Row],[Cycle day]]="","",INDEX(tblPatterns[Active],MOD(tblRota[[#This Row],[Date]]-Anchor+CrewOffset*2,CycleDays)+1)))</f>
        <v>O</v>
      </c>
      <c r="I78" s="38" t="str">
        <f>IF(tblRota[[#This Row],[Date]]="","",IF(tblRota[[#This Row],[Cycle day]]="","",INDEX(tblPatterns[Active],MOD(tblRota[[#This Row],[Date]]-Anchor+CrewOffset*3,CycleDays)+1)))</f>
        <v>D</v>
      </c>
      <c r="J78" s="38" t="str">
        <f>IF(tblRota[[#This Row],[Date]]="","",IF(tblRota[[#This Row],[Crew A]]="D","A",IF(tblRota[[#This Row],[Crew B]]="D","B",IF(tblRota[[#This Row],[Crew C]]="D","C",IF(tblRota[[#This Row],[Crew D]]="D","D","")))))</f>
        <v>D</v>
      </c>
      <c r="K78" s="38" t="str">
        <f>IF(tblRota[[#This Row],[Date]]="","",IF(tblRota[[#This Row],[Crew A]]="N","A",IF(tblRota[[#This Row],[Crew B]]="N","B",IF(tblRota[[#This Row],[Crew C]]="N","C",IF(tblRota[[#This Row],[Crew D]]="N","D","")))))</f>
        <v>B</v>
      </c>
      <c r="L78" s="30">
        <v>2</v>
      </c>
      <c r="M78" s="30">
        <v>0</v>
      </c>
      <c r="N78" s="33">
        <f>IF(tblRota[[#This Row],[Date]]="","",IFERROR(INDEX(tblCrews[People],MATCH(tblRota[[#This Row],[Day crew]],tblCrews[Crew],0)),0)-tblRota[[#This Row],[Day absent (people)]])</f>
        <v>10</v>
      </c>
      <c r="O78" s="33">
        <f>IF(tblRota[[#This Row],[Date]]="","",IFERROR(INDEX(tblCrews[People],MATCH(tblRota[[#This Row],[Night crew]],tblCrews[Crew],0)),0)-tblRota[[#This Row],[Night absent (people)]])</f>
        <v>12</v>
      </c>
      <c r="P78" s="33">
        <f>IF(tblRota[[#This Row],[Date]]="","",MIN(tblRota[[#This Row],[Day on shift (people)]],tblRota[[#This Row],[Night on shift (people)]]))</f>
        <v>10</v>
      </c>
      <c r="Q78" s="33">
        <f>IF(tblRota[[#This Row],[Date]]="","",ReqPerShift)</f>
        <v>11</v>
      </c>
      <c r="R78" s="39">
        <f>IF(tblRota[[#This Row],[Date]]="","",IF(tblRota[[#This Row],[Required (people)]]&gt;0,tblRota[[#This Row],[Fewest on shift (people)]]/tblRota[[#This Row],[Required (people)]],""))</f>
        <v>0.909090909090909</v>
      </c>
      <c r="S78" s="38" t="str">
        <f>IF(NOT(ISNUMBER(tblRota[[#This Row],[Lowest coverage]])),"",IF(tblRota[[#This Row],[Lowest coverage]]&gt;=TargetCover,"On target",IF(tblRota[[#This Row],[Lowest coverage]]&gt;=TargetCover*(1-0.05),"Near target","Below target")))</f>
        <v>Below target</v>
      </c>
      <c r="T78" s="33">
        <f>IF(tblRota[[#This Row],[Date]]="","",(tblRota[[#This Row],[Day on shift (people)]]&lt;tblRota[[#This Row],[Required (people)]])+(tblRota[[#This Row],[Night on shift (people)]]&lt;tblRota[[#This Row],[Required (people)]]))</f>
        <v>1</v>
      </c>
      <c r="U78" s="38" t="str">
        <f>IF(tblRota[[#This Row],[Date]]="","",IF(WEEKDAY(tblRota[[#This Row],[Date]],2)&gt;5,"Yes","No"))</f>
        <v>No</v>
      </c>
      <c r="V78"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78" s="28" t="s">
        <v>135</v>
      </c>
    </row>
    <row r="79" spans="2:23">
      <c r="B79" s="29">
        <v>46373</v>
      </c>
      <c r="C79" s="38" t="str">
        <f>IF(tblRota[[#This Row],[Date]]="","",CHOOSE(WEEKDAY(tblRota[[#This Row],[Date]],2),"Mon","Tue","Wed","Thu","Fri","Sat","Sun"))</f>
        <v>Thu</v>
      </c>
      <c r="D79" s="28" t="s">
        <v>134</v>
      </c>
      <c r="E79" s="33">
        <f>IF(tblRota[[#This Row],[Date]]="","",MOD(tblRota[[#This Row],[Date]]-Anchor,CycleDays)+1)</f>
        <v>18</v>
      </c>
      <c r="F79" s="38" t="str">
        <f>IF(tblRota[[#This Row],[Date]]="","",IF(tblRota[[#This Row],[Cycle day]]="","",INDEX(tblPatterns[Active],MOD(tblRota[[#This Row],[Date]]-Anchor+CrewOffset*0,CycleDays)+1)))</f>
        <v>O</v>
      </c>
      <c r="G79" s="38" t="str">
        <f>IF(tblRota[[#This Row],[Date]]="","",IF(tblRota[[#This Row],[Cycle day]]="","",INDEX(tblPatterns[Active],MOD(tblRota[[#This Row],[Date]]-Anchor+CrewOffset*1,CycleDays)+1)))</f>
        <v>N</v>
      </c>
      <c r="H79" s="38" t="str">
        <f>IF(tblRota[[#This Row],[Date]]="","",IF(tblRota[[#This Row],[Cycle day]]="","",INDEX(tblPatterns[Active],MOD(tblRota[[#This Row],[Date]]-Anchor+CrewOffset*2,CycleDays)+1)))</f>
        <v>O</v>
      </c>
      <c r="I79" s="38" t="str">
        <f>IF(tblRota[[#This Row],[Date]]="","",IF(tblRota[[#This Row],[Cycle day]]="","",INDEX(tblPatterns[Active],MOD(tblRota[[#This Row],[Date]]-Anchor+CrewOffset*3,CycleDays)+1)))</f>
        <v>D</v>
      </c>
      <c r="J79" s="38" t="str">
        <f>IF(tblRota[[#This Row],[Date]]="","",IF(tblRota[[#This Row],[Crew A]]="D","A",IF(tblRota[[#This Row],[Crew B]]="D","B",IF(tblRota[[#This Row],[Crew C]]="D","C",IF(tblRota[[#This Row],[Crew D]]="D","D","")))))</f>
        <v>D</v>
      </c>
      <c r="K79" s="38" t="str">
        <f>IF(tblRota[[#This Row],[Date]]="","",IF(tblRota[[#This Row],[Crew A]]="N","A",IF(tblRota[[#This Row],[Crew B]]="N","B",IF(tblRota[[#This Row],[Crew C]]="N","C",IF(tblRota[[#This Row],[Crew D]]="N","D","")))))</f>
        <v>B</v>
      </c>
      <c r="L79" s="30">
        <v>0</v>
      </c>
      <c r="M79" s="30">
        <v>0</v>
      </c>
      <c r="N79" s="33">
        <f>IF(tblRota[[#This Row],[Date]]="","",IFERROR(INDEX(tblCrews[People],MATCH(tblRota[[#This Row],[Day crew]],tblCrews[Crew],0)),0)-tblRota[[#This Row],[Day absent (people)]])</f>
        <v>12</v>
      </c>
      <c r="O79" s="33">
        <f>IF(tblRota[[#This Row],[Date]]="","",IFERROR(INDEX(tblCrews[People],MATCH(tblRota[[#This Row],[Night crew]],tblCrews[Crew],0)),0)-tblRota[[#This Row],[Night absent (people)]])</f>
        <v>12</v>
      </c>
      <c r="P79" s="33">
        <f>IF(tblRota[[#This Row],[Date]]="","",MIN(tblRota[[#This Row],[Day on shift (people)]],tblRota[[#This Row],[Night on shift (people)]]))</f>
        <v>12</v>
      </c>
      <c r="Q79" s="33">
        <f>IF(tblRota[[#This Row],[Date]]="","",ReqPerShift)</f>
        <v>11</v>
      </c>
      <c r="R79" s="39">
        <f>IF(tblRota[[#This Row],[Date]]="","",IF(tblRota[[#This Row],[Required (people)]]&gt;0,tblRota[[#This Row],[Fewest on shift (people)]]/tblRota[[#This Row],[Required (people)]],""))</f>
        <v>1.09090909090909</v>
      </c>
      <c r="S79" s="38" t="str">
        <f>IF(NOT(ISNUMBER(tblRota[[#This Row],[Lowest coverage]])),"",IF(tblRota[[#This Row],[Lowest coverage]]&gt;=TargetCover,"On target",IF(tblRota[[#This Row],[Lowest coverage]]&gt;=TargetCover*(1-0.05),"Near target","Below target")))</f>
        <v>On target</v>
      </c>
      <c r="T79" s="33">
        <f>IF(tblRota[[#This Row],[Date]]="","",(tblRota[[#This Row],[Day on shift (people)]]&lt;tblRota[[#This Row],[Required (people)]])+(tblRota[[#This Row],[Night on shift (people)]]&lt;tblRota[[#This Row],[Required (people)]]))</f>
        <v>0</v>
      </c>
      <c r="U79" s="38" t="str">
        <f>IF(tblRota[[#This Row],[Date]]="","",IF(WEEKDAY(tblRota[[#This Row],[Date]],2)&gt;5,"Yes","No"))</f>
        <v>No</v>
      </c>
      <c r="V79"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79" s="28" t="s">
        <v>135</v>
      </c>
    </row>
    <row r="80" spans="2:23">
      <c r="B80" s="29">
        <v>46374</v>
      </c>
      <c r="C80" s="38" t="str">
        <f>IF(tblRota[[#This Row],[Date]]="","",CHOOSE(WEEKDAY(tblRota[[#This Row],[Date]],2),"Mon","Tue","Wed","Thu","Fri","Sat","Sun"))</f>
        <v>Fri</v>
      </c>
      <c r="D80" s="28" t="s">
        <v>134</v>
      </c>
      <c r="E80" s="33">
        <f>IF(tblRota[[#This Row],[Date]]="","",MOD(tblRota[[#This Row],[Date]]-Anchor,CycleDays)+1)</f>
        <v>19</v>
      </c>
      <c r="F80" s="38" t="str">
        <f>IF(tblRota[[#This Row],[Date]]="","",IF(tblRota[[#This Row],[Cycle day]]="","",INDEX(tblPatterns[Active],MOD(tblRota[[#This Row],[Date]]-Anchor+CrewOffset*0,CycleDays)+1)))</f>
        <v>N</v>
      </c>
      <c r="G80" s="38" t="str">
        <f>IF(tblRota[[#This Row],[Date]]="","",IF(tblRota[[#This Row],[Cycle day]]="","",INDEX(tblPatterns[Active],MOD(tblRota[[#This Row],[Date]]-Anchor+CrewOffset*1,CycleDays)+1)))</f>
        <v>O</v>
      </c>
      <c r="H80" s="38" t="str">
        <f>IF(tblRota[[#This Row],[Date]]="","",IF(tblRota[[#This Row],[Cycle day]]="","",INDEX(tblPatterns[Active],MOD(tblRota[[#This Row],[Date]]-Anchor+CrewOffset*2,CycleDays)+1)))</f>
        <v>D</v>
      </c>
      <c r="I80" s="38" t="str">
        <f>IF(tblRota[[#This Row],[Date]]="","",IF(tblRota[[#This Row],[Cycle day]]="","",INDEX(tblPatterns[Active],MOD(tblRota[[#This Row],[Date]]-Anchor+CrewOffset*3,CycleDays)+1)))</f>
        <v>O</v>
      </c>
      <c r="J80" s="38" t="str">
        <f>IF(tblRota[[#This Row],[Date]]="","",IF(tblRota[[#This Row],[Crew A]]="D","A",IF(tblRota[[#This Row],[Crew B]]="D","B",IF(tblRota[[#This Row],[Crew C]]="D","C",IF(tblRota[[#This Row],[Crew D]]="D","D","")))))</f>
        <v>C</v>
      </c>
      <c r="K80" s="38" t="str">
        <f>IF(tblRota[[#This Row],[Date]]="","",IF(tblRota[[#This Row],[Crew A]]="N","A",IF(tblRota[[#This Row],[Crew B]]="N","B",IF(tblRota[[#This Row],[Crew C]]="N","C",IF(tblRota[[#This Row],[Crew D]]="N","D","")))))</f>
        <v>A</v>
      </c>
      <c r="L80" s="30">
        <v>0</v>
      </c>
      <c r="M80" s="30">
        <v>0</v>
      </c>
      <c r="N80" s="33">
        <f>IF(tblRota[[#This Row],[Date]]="","",IFERROR(INDEX(tblCrews[People],MATCH(tblRota[[#This Row],[Day crew]],tblCrews[Crew],0)),0)-tblRota[[#This Row],[Day absent (people)]])</f>
        <v>11</v>
      </c>
      <c r="O80" s="33">
        <f>IF(tblRota[[#This Row],[Date]]="","",IFERROR(INDEX(tblCrews[People],MATCH(tblRota[[#This Row],[Night crew]],tblCrews[Crew],0)),0)-tblRota[[#This Row],[Night absent (people)]])</f>
        <v>12</v>
      </c>
      <c r="P80" s="33">
        <f>IF(tblRota[[#This Row],[Date]]="","",MIN(tblRota[[#This Row],[Day on shift (people)]],tblRota[[#This Row],[Night on shift (people)]]))</f>
        <v>11</v>
      </c>
      <c r="Q80" s="33">
        <f>IF(tblRota[[#This Row],[Date]]="","",ReqPerShift)</f>
        <v>11</v>
      </c>
      <c r="R80" s="39">
        <f>IF(tblRota[[#This Row],[Date]]="","",IF(tblRota[[#This Row],[Required (people)]]&gt;0,tblRota[[#This Row],[Fewest on shift (people)]]/tblRota[[#This Row],[Required (people)]],""))</f>
        <v>1</v>
      </c>
      <c r="S80" s="38" t="str">
        <f>IF(NOT(ISNUMBER(tblRota[[#This Row],[Lowest coverage]])),"",IF(tblRota[[#This Row],[Lowest coverage]]&gt;=TargetCover,"On target",IF(tblRota[[#This Row],[Lowest coverage]]&gt;=TargetCover*(1-0.05),"Near target","Below target")))</f>
        <v>On target</v>
      </c>
      <c r="T80" s="33">
        <f>IF(tblRota[[#This Row],[Date]]="","",(tblRota[[#This Row],[Day on shift (people)]]&lt;tblRota[[#This Row],[Required (people)]])+(tblRota[[#This Row],[Night on shift (people)]]&lt;tblRota[[#This Row],[Required (people)]]))</f>
        <v>0</v>
      </c>
      <c r="U80" s="38" t="str">
        <f>IF(tblRota[[#This Row],[Date]]="","",IF(WEEKDAY(tblRota[[#This Row],[Date]],2)&gt;5,"Yes","No"))</f>
        <v>No</v>
      </c>
      <c r="V80"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80" s="28" t="s">
        <v>135</v>
      </c>
    </row>
    <row r="81" spans="2:23">
      <c r="B81" s="29">
        <v>46375</v>
      </c>
      <c r="C81" s="38" t="str">
        <f>IF(tblRota[[#This Row],[Date]]="","",CHOOSE(WEEKDAY(tblRota[[#This Row],[Date]],2),"Mon","Tue","Wed","Thu","Fri","Sat","Sun"))</f>
        <v>Sat</v>
      </c>
      <c r="D81" s="28" t="s">
        <v>134</v>
      </c>
      <c r="E81" s="33">
        <f>IF(tblRota[[#This Row],[Date]]="","",MOD(tblRota[[#This Row],[Date]]-Anchor,CycleDays)+1)</f>
        <v>20</v>
      </c>
      <c r="F81" s="38" t="str">
        <f>IF(tblRota[[#This Row],[Date]]="","",IF(tblRota[[#This Row],[Cycle day]]="","",INDEX(tblPatterns[Active],MOD(tblRota[[#This Row],[Date]]-Anchor+CrewOffset*0,CycleDays)+1)))</f>
        <v>N</v>
      </c>
      <c r="G81" s="38" t="str">
        <f>IF(tblRota[[#This Row],[Date]]="","",IF(tblRota[[#This Row],[Cycle day]]="","",INDEX(tblPatterns[Active],MOD(tblRota[[#This Row],[Date]]-Anchor+CrewOffset*1,CycleDays)+1)))</f>
        <v>O</v>
      </c>
      <c r="H81" s="38" t="str">
        <f>IF(tblRota[[#This Row],[Date]]="","",IF(tblRota[[#This Row],[Cycle day]]="","",INDEX(tblPatterns[Active],MOD(tblRota[[#This Row],[Date]]-Anchor+CrewOffset*2,CycleDays)+1)))</f>
        <v>D</v>
      </c>
      <c r="I81" s="38" t="str">
        <f>IF(tblRota[[#This Row],[Date]]="","",IF(tblRota[[#This Row],[Cycle day]]="","",INDEX(tblPatterns[Active],MOD(tblRota[[#This Row],[Date]]-Anchor+CrewOffset*3,CycleDays)+1)))</f>
        <v>O</v>
      </c>
      <c r="J81" s="38" t="str">
        <f>IF(tblRota[[#This Row],[Date]]="","",IF(tblRota[[#This Row],[Crew A]]="D","A",IF(tblRota[[#This Row],[Crew B]]="D","B",IF(tblRota[[#This Row],[Crew C]]="D","C",IF(tblRota[[#This Row],[Crew D]]="D","D","")))))</f>
        <v>C</v>
      </c>
      <c r="K81" s="38" t="str">
        <f>IF(tblRota[[#This Row],[Date]]="","",IF(tblRota[[#This Row],[Crew A]]="N","A",IF(tblRota[[#This Row],[Crew B]]="N","B",IF(tblRota[[#This Row],[Crew C]]="N","C",IF(tblRota[[#This Row],[Crew D]]="N","D","")))))</f>
        <v>A</v>
      </c>
      <c r="L81" s="30">
        <v>0</v>
      </c>
      <c r="M81" s="30">
        <v>1</v>
      </c>
      <c r="N81" s="33">
        <f>IF(tblRota[[#This Row],[Date]]="","",IFERROR(INDEX(tblCrews[People],MATCH(tblRota[[#This Row],[Day crew]],tblCrews[Crew],0)),0)-tblRota[[#This Row],[Day absent (people)]])</f>
        <v>11</v>
      </c>
      <c r="O81" s="33">
        <f>IF(tblRota[[#This Row],[Date]]="","",IFERROR(INDEX(tblCrews[People],MATCH(tblRota[[#This Row],[Night crew]],tblCrews[Crew],0)),0)-tblRota[[#This Row],[Night absent (people)]])</f>
        <v>11</v>
      </c>
      <c r="P81" s="33">
        <f>IF(tblRota[[#This Row],[Date]]="","",MIN(tblRota[[#This Row],[Day on shift (people)]],tblRota[[#This Row],[Night on shift (people)]]))</f>
        <v>11</v>
      </c>
      <c r="Q81" s="33">
        <f>IF(tblRota[[#This Row],[Date]]="","",ReqPerShift)</f>
        <v>11</v>
      </c>
      <c r="R81" s="39">
        <f>IF(tblRota[[#This Row],[Date]]="","",IF(tblRota[[#This Row],[Required (people)]]&gt;0,tblRota[[#This Row],[Fewest on shift (people)]]/tblRota[[#This Row],[Required (people)]],""))</f>
        <v>1</v>
      </c>
      <c r="S81" s="38" t="str">
        <f>IF(NOT(ISNUMBER(tblRota[[#This Row],[Lowest coverage]])),"",IF(tblRota[[#This Row],[Lowest coverage]]&gt;=TargetCover,"On target",IF(tblRota[[#This Row],[Lowest coverage]]&gt;=TargetCover*(1-0.05),"Near target","Below target")))</f>
        <v>On target</v>
      </c>
      <c r="T81" s="33">
        <f>IF(tblRota[[#This Row],[Date]]="","",(tblRota[[#This Row],[Day on shift (people)]]&lt;tblRota[[#This Row],[Required (people)]])+(tblRota[[#This Row],[Night on shift (people)]]&lt;tblRota[[#This Row],[Required (people)]]))</f>
        <v>0</v>
      </c>
      <c r="U81" s="38" t="str">
        <f>IF(tblRota[[#This Row],[Date]]="","",IF(WEEKDAY(tblRota[[#This Row],[Date]],2)&gt;5,"Yes","No"))</f>
        <v>Yes</v>
      </c>
      <c r="V81"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81" s="28" t="s">
        <v>135</v>
      </c>
    </row>
    <row r="82" spans="2:23">
      <c r="B82" s="29">
        <v>46376</v>
      </c>
      <c r="C82" s="38" t="str">
        <f>IF(tblRota[[#This Row],[Date]]="","",CHOOSE(WEEKDAY(tblRota[[#This Row],[Date]],2),"Mon","Tue","Wed","Thu","Fri","Sat","Sun"))</f>
        <v>Sun</v>
      </c>
      <c r="D82" s="28" t="s">
        <v>134</v>
      </c>
      <c r="E82" s="33">
        <f>IF(tblRota[[#This Row],[Date]]="","",MOD(tblRota[[#This Row],[Date]]-Anchor,CycleDays)+1)</f>
        <v>21</v>
      </c>
      <c r="F82" s="38" t="str">
        <f>IF(tblRota[[#This Row],[Date]]="","",IF(tblRota[[#This Row],[Cycle day]]="","",INDEX(tblPatterns[Active],MOD(tblRota[[#This Row],[Date]]-Anchor+CrewOffset*0,CycleDays)+1)))</f>
        <v>N</v>
      </c>
      <c r="G82" s="38" t="str">
        <f>IF(tblRota[[#This Row],[Date]]="","",IF(tblRota[[#This Row],[Cycle day]]="","",INDEX(tblPatterns[Active],MOD(tblRota[[#This Row],[Date]]-Anchor+CrewOffset*1,CycleDays)+1)))</f>
        <v>O</v>
      </c>
      <c r="H82" s="38" t="str">
        <f>IF(tblRota[[#This Row],[Date]]="","",IF(tblRota[[#This Row],[Cycle day]]="","",INDEX(tblPatterns[Active],MOD(tblRota[[#This Row],[Date]]-Anchor+CrewOffset*2,CycleDays)+1)))</f>
        <v>D</v>
      </c>
      <c r="I82" s="38" t="str">
        <f>IF(tblRota[[#This Row],[Date]]="","",IF(tblRota[[#This Row],[Cycle day]]="","",INDEX(tblPatterns[Active],MOD(tblRota[[#This Row],[Date]]-Anchor+CrewOffset*3,CycleDays)+1)))</f>
        <v>O</v>
      </c>
      <c r="J82" s="38" t="str">
        <f>IF(tblRota[[#This Row],[Date]]="","",IF(tblRota[[#This Row],[Crew A]]="D","A",IF(tblRota[[#This Row],[Crew B]]="D","B",IF(tblRota[[#This Row],[Crew C]]="D","C",IF(tblRota[[#This Row],[Crew D]]="D","D","")))))</f>
        <v>C</v>
      </c>
      <c r="K82" s="38" t="str">
        <f>IF(tblRota[[#This Row],[Date]]="","",IF(tblRota[[#This Row],[Crew A]]="N","A",IF(tblRota[[#This Row],[Crew B]]="N","B",IF(tblRota[[#This Row],[Crew C]]="N","C",IF(tblRota[[#This Row],[Crew D]]="N","D","")))))</f>
        <v>A</v>
      </c>
      <c r="L82" s="30">
        <v>1</v>
      </c>
      <c r="M82" s="30">
        <v>0</v>
      </c>
      <c r="N82" s="33">
        <f>IF(tblRota[[#This Row],[Date]]="","",IFERROR(INDEX(tblCrews[People],MATCH(tblRota[[#This Row],[Day crew]],tblCrews[Crew],0)),0)-tblRota[[#This Row],[Day absent (people)]])</f>
        <v>10</v>
      </c>
      <c r="O82" s="33">
        <f>IF(tblRota[[#This Row],[Date]]="","",IFERROR(INDEX(tblCrews[People],MATCH(tblRota[[#This Row],[Night crew]],tblCrews[Crew],0)),0)-tblRota[[#This Row],[Night absent (people)]])</f>
        <v>12</v>
      </c>
      <c r="P82" s="33">
        <f>IF(tblRota[[#This Row],[Date]]="","",MIN(tblRota[[#This Row],[Day on shift (people)]],tblRota[[#This Row],[Night on shift (people)]]))</f>
        <v>10</v>
      </c>
      <c r="Q82" s="33">
        <f>IF(tblRota[[#This Row],[Date]]="","",ReqPerShift)</f>
        <v>11</v>
      </c>
      <c r="R82" s="39">
        <f>IF(tblRota[[#This Row],[Date]]="","",IF(tblRota[[#This Row],[Required (people)]]&gt;0,tblRota[[#This Row],[Fewest on shift (people)]]/tblRota[[#This Row],[Required (people)]],""))</f>
        <v>0.909090909090909</v>
      </c>
      <c r="S82" s="38" t="str">
        <f>IF(NOT(ISNUMBER(tblRota[[#This Row],[Lowest coverage]])),"",IF(tblRota[[#This Row],[Lowest coverage]]&gt;=TargetCover,"On target",IF(tblRota[[#This Row],[Lowest coverage]]&gt;=TargetCover*(1-0.05),"Near target","Below target")))</f>
        <v>Below target</v>
      </c>
      <c r="T82" s="33">
        <f>IF(tblRota[[#This Row],[Date]]="","",(tblRota[[#This Row],[Day on shift (people)]]&lt;tblRota[[#This Row],[Required (people)]])+(tblRota[[#This Row],[Night on shift (people)]]&lt;tblRota[[#This Row],[Required (people)]]))</f>
        <v>1</v>
      </c>
      <c r="U82" s="38" t="str">
        <f>IF(tblRota[[#This Row],[Date]]="","",IF(WEEKDAY(tblRota[[#This Row],[Date]],2)&gt;5,"Yes","No"))</f>
        <v>Yes</v>
      </c>
      <c r="V82"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82" s="28" t="s">
        <v>135</v>
      </c>
    </row>
    <row r="83" spans="2:23">
      <c r="B83" s="29">
        <v>46377</v>
      </c>
      <c r="C83" s="38" t="str">
        <f>IF(tblRota[[#This Row],[Date]]="","",CHOOSE(WEEKDAY(tblRota[[#This Row],[Date]],2),"Mon","Tue","Wed","Thu","Fri","Sat","Sun"))</f>
        <v>Mon</v>
      </c>
      <c r="D83" s="28" t="s">
        <v>134</v>
      </c>
      <c r="E83" s="33">
        <f>IF(tblRota[[#This Row],[Date]]="","",MOD(tblRota[[#This Row],[Date]]-Anchor,CycleDays)+1)</f>
        <v>22</v>
      </c>
      <c r="F83" s="38" t="str">
        <f>IF(tblRota[[#This Row],[Date]]="","",IF(tblRota[[#This Row],[Cycle day]]="","",INDEX(tblPatterns[Active],MOD(tblRota[[#This Row],[Date]]-Anchor+CrewOffset*0,CycleDays)+1)))</f>
        <v>O</v>
      </c>
      <c r="G83" s="38" t="str">
        <f>IF(tblRota[[#This Row],[Date]]="","",IF(tblRota[[#This Row],[Cycle day]]="","",INDEX(tblPatterns[Active],MOD(tblRota[[#This Row],[Date]]-Anchor+CrewOffset*1,CycleDays)+1)))</f>
        <v>D</v>
      </c>
      <c r="H83" s="38" t="str">
        <f>IF(tblRota[[#This Row],[Date]]="","",IF(tblRota[[#This Row],[Cycle day]]="","",INDEX(tblPatterns[Active],MOD(tblRota[[#This Row],[Date]]-Anchor+CrewOffset*2,CycleDays)+1)))</f>
        <v>O</v>
      </c>
      <c r="I83" s="38" t="str">
        <f>IF(tblRota[[#This Row],[Date]]="","",IF(tblRota[[#This Row],[Cycle day]]="","",INDEX(tblPatterns[Active],MOD(tblRota[[#This Row],[Date]]-Anchor+CrewOffset*3,CycleDays)+1)))</f>
        <v>N</v>
      </c>
      <c r="J83" s="38" t="str">
        <f>IF(tblRota[[#This Row],[Date]]="","",IF(tblRota[[#This Row],[Crew A]]="D","A",IF(tblRota[[#This Row],[Crew B]]="D","B",IF(tblRota[[#This Row],[Crew C]]="D","C",IF(tblRota[[#This Row],[Crew D]]="D","D","")))))</f>
        <v>B</v>
      </c>
      <c r="K83" s="38" t="str">
        <f>IF(tblRota[[#This Row],[Date]]="","",IF(tblRota[[#This Row],[Crew A]]="N","A",IF(tblRota[[#This Row],[Crew B]]="N","B",IF(tblRota[[#This Row],[Crew C]]="N","C",IF(tblRota[[#This Row],[Crew D]]="N","D","")))))</f>
        <v>D</v>
      </c>
      <c r="L83" s="30">
        <v>2</v>
      </c>
      <c r="M83" s="30">
        <v>0</v>
      </c>
      <c r="N83" s="33">
        <f>IF(tblRota[[#This Row],[Date]]="","",IFERROR(INDEX(tblCrews[People],MATCH(tblRota[[#This Row],[Day crew]],tblCrews[Crew],0)),0)-tblRota[[#This Row],[Day absent (people)]])</f>
        <v>10</v>
      </c>
      <c r="O83" s="33">
        <f>IF(tblRota[[#This Row],[Date]]="","",IFERROR(INDEX(tblCrews[People],MATCH(tblRota[[#This Row],[Night crew]],tblCrews[Crew],0)),0)-tblRota[[#This Row],[Night absent (people)]])</f>
        <v>12</v>
      </c>
      <c r="P83" s="33">
        <f>IF(tblRota[[#This Row],[Date]]="","",MIN(tblRota[[#This Row],[Day on shift (people)]],tblRota[[#This Row],[Night on shift (people)]]))</f>
        <v>10</v>
      </c>
      <c r="Q83" s="33">
        <f>IF(tblRota[[#This Row],[Date]]="","",ReqPerShift)</f>
        <v>11</v>
      </c>
      <c r="R83" s="39">
        <f>IF(tblRota[[#This Row],[Date]]="","",IF(tblRota[[#This Row],[Required (people)]]&gt;0,tblRota[[#This Row],[Fewest on shift (people)]]/tblRota[[#This Row],[Required (people)]],""))</f>
        <v>0.909090909090909</v>
      </c>
      <c r="S83" s="38" t="str">
        <f>IF(NOT(ISNUMBER(tblRota[[#This Row],[Lowest coverage]])),"",IF(tblRota[[#This Row],[Lowest coverage]]&gt;=TargetCover,"On target",IF(tblRota[[#This Row],[Lowest coverage]]&gt;=TargetCover*(1-0.05),"Near target","Below target")))</f>
        <v>Below target</v>
      </c>
      <c r="T83" s="33">
        <f>IF(tblRota[[#This Row],[Date]]="","",(tblRota[[#This Row],[Day on shift (people)]]&lt;tblRota[[#This Row],[Required (people)]])+(tblRota[[#This Row],[Night on shift (people)]]&lt;tblRota[[#This Row],[Required (people)]]))</f>
        <v>1</v>
      </c>
      <c r="U83" s="38" t="str">
        <f>IF(tblRota[[#This Row],[Date]]="","",IF(WEEKDAY(tblRota[[#This Row],[Date]],2)&gt;5,"Yes","No"))</f>
        <v>No</v>
      </c>
      <c r="V83"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83" s="28" t="s">
        <v>135</v>
      </c>
    </row>
    <row r="84" spans="2:23">
      <c r="B84" s="29">
        <v>46378</v>
      </c>
      <c r="C84" s="38" t="str">
        <f>IF(tblRota[[#This Row],[Date]]="","",CHOOSE(WEEKDAY(tblRota[[#This Row],[Date]],2),"Mon","Tue","Wed","Thu","Fri","Sat","Sun"))</f>
        <v>Tue</v>
      </c>
      <c r="D84" s="28" t="s">
        <v>134</v>
      </c>
      <c r="E84" s="33">
        <f>IF(tblRota[[#This Row],[Date]]="","",MOD(tblRota[[#This Row],[Date]]-Anchor,CycleDays)+1)</f>
        <v>23</v>
      </c>
      <c r="F84" s="38" t="str">
        <f>IF(tblRota[[#This Row],[Date]]="","",IF(tblRota[[#This Row],[Cycle day]]="","",INDEX(tblPatterns[Active],MOD(tblRota[[#This Row],[Date]]-Anchor+CrewOffset*0,CycleDays)+1)))</f>
        <v>O</v>
      </c>
      <c r="G84" s="38" t="str">
        <f>IF(tblRota[[#This Row],[Date]]="","",IF(tblRota[[#This Row],[Cycle day]]="","",INDEX(tblPatterns[Active],MOD(tblRota[[#This Row],[Date]]-Anchor+CrewOffset*1,CycleDays)+1)))</f>
        <v>D</v>
      </c>
      <c r="H84" s="38" t="str">
        <f>IF(tblRota[[#This Row],[Date]]="","",IF(tblRota[[#This Row],[Cycle day]]="","",INDEX(tblPatterns[Active],MOD(tblRota[[#This Row],[Date]]-Anchor+CrewOffset*2,CycleDays)+1)))</f>
        <v>O</v>
      </c>
      <c r="I84" s="38" t="str">
        <f>IF(tblRota[[#This Row],[Date]]="","",IF(tblRota[[#This Row],[Cycle day]]="","",INDEX(tblPatterns[Active],MOD(tblRota[[#This Row],[Date]]-Anchor+CrewOffset*3,CycleDays)+1)))</f>
        <v>N</v>
      </c>
      <c r="J84" s="38" t="str">
        <f>IF(tblRota[[#This Row],[Date]]="","",IF(tblRota[[#This Row],[Crew A]]="D","A",IF(tblRota[[#This Row],[Crew B]]="D","B",IF(tblRota[[#This Row],[Crew C]]="D","C",IF(tblRota[[#This Row],[Crew D]]="D","D","")))))</f>
        <v>B</v>
      </c>
      <c r="K84" s="38" t="str">
        <f>IF(tblRota[[#This Row],[Date]]="","",IF(tblRota[[#This Row],[Crew A]]="N","A",IF(tblRota[[#This Row],[Crew B]]="N","B",IF(tblRota[[#This Row],[Crew C]]="N","C",IF(tblRota[[#This Row],[Crew D]]="N","D","")))))</f>
        <v>D</v>
      </c>
      <c r="L84" s="30">
        <v>0</v>
      </c>
      <c r="M84" s="30">
        <v>0</v>
      </c>
      <c r="N84" s="33">
        <f>IF(tblRota[[#This Row],[Date]]="","",IFERROR(INDEX(tblCrews[People],MATCH(tblRota[[#This Row],[Day crew]],tblCrews[Crew],0)),0)-tblRota[[#This Row],[Day absent (people)]])</f>
        <v>12</v>
      </c>
      <c r="O84" s="33">
        <f>IF(tblRota[[#This Row],[Date]]="","",IFERROR(INDEX(tblCrews[People],MATCH(tblRota[[#This Row],[Night crew]],tblCrews[Crew],0)),0)-tblRota[[#This Row],[Night absent (people)]])</f>
        <v>12</v>
      </c>
      <c r="P84" s="33">
        <f>IF(tblRota[[#This Row],[Date]]="","",MIN(tblRota[[#This Row],[Day on shift (people)]],tblRota[[#This Row],[Night on shift (people)]]))</f>
        <v>12</v>
      </c>
      <c r="Q84" s="33">
        <f>IF(tblRota[[#This Row],[Date]]="","",ReqPerShift)</f>
        <v>11</v>
      </c>
      <c r="R84" s="39">
        <f>IF(tblRota[[#This Row],[Date]]="","",IF(tblRota[[#This Row],[Required (people)]]&gt;0,tblRota[[#This Row],[Fewest on shift (people)]]/tblRota[[#This Row],[Required (people)]],""))</f>
        <v>1.09090909090909</v>
      </c>
      <c r="S84" s="38" t="str">
        <f>IF(NOT(ISNUMBER(tblRota[[#This Row],[Lowest coverage]])),"",IF(tblRota[[#This Row],[Lowest coverage]]&gt;=TargetCover,"On target",IF(tblRota[[#This Row],[Lowest coverage]]&gt;=TargetCover*(1-0.05),"Near target","Below target")))</f>
        <v>On target</v>
      </c>
      <c r="T84" s="33">
        <f>IF(tblRota[[#This Row],[Date]]="","",(tblRota[[#This Row],[Day on shift (people)]]&lt;tblRota[[#This Row],[Required (people)]])+(tblRota[[#This Row],[Night on shift (people)]]&lt;tblRota[[#This Row],[Required (people)]]))</f>
        <v>0</v>
      </c>
      <c r="U84" s="38" t="str">
        <f>IF(tblRota[[#This Row],[Date]]="","",IF(WEEKDAY(tblRota[[#This Row],[Date]],2)&gt;5,"Yes","No"))</f>
        <v>No</v>
      </c>
      <c r="V84"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84" s="28" t="s">
        <v>135</v>
      </c>
    </row>
    <row r="85" spans="2:23">
      <c r="B85" s="29">
        <v>46379</v>
      </c>
      <c r="C85" s="38" t="str">
        <f>IF(tblRota[[#This Row],[Date]]="","",CHOOSE(WEEKDAY(tblRota[[#This Row],[Date]],2),"Mon","Tue","Wed","Thu","Fri","Sat","Sun"))</f>
        <v>Wed</v>
      </c>
      <c r="D85" s="28" t="s">
        <v>134</v>
      </c>
      <c r="E85" s="33">
        <f>IF(tblRota[[#This Row],[Date]]="","",MOD(tblRota[[#This Row],[Date]]-Anchor,CycleDays)+1)</f>
        <v>24</v>
      </c>
      <c r="F85" s="38" t="str">
        <f>IF(tblRota[[#This Row],[Date]]="","",IF(tblRota[[#This Row],[Cycle day]]="","",INDEX(tblPatterns[Active],MOD(tblRota[[#This Row],[Date]]-Anchor+CrewOffset*0,CycleDays)+1)))</f>
        <v>N</v>
      </c>
      <c r="G85" s="38" t="str">
        <f>IF(tblRota[[#This Row],[Date]]="","",IF(tblRota[[#This Row],[Cycle day]]="","",INDEX(tblPatterns[Active],MOD(tblRota[[#This Row],[Date]]-Anchor+CrewOffset*1,CycleDays)+1)))</f>
        <v>O</v>
      </c>
      <c r="H85" s="38" t="str">
        <f>IF(tblRota[[#This Row],[Date]]="","",IF(tblRota[[#This Row],[Cycle day]]="","",INDEX(tblPatterns[Active],MOD(tblRota[[#This Row],[Date]]-Anchor+CrewOffset*2,CycleDays)+1)))</f>
        <v>D</v>
      </c>
      <c r="I85" s="38" t="str">
        <f>IF(tblRota[[#This Row],[Date]]="","",IF(tblRota[[#This Row],[Cycle day]]="","",INDEX(tblPatterns[Active],MOD(tblRota[[#This Row],[Date]]-Anchor+CrewOffset*3,CycleDays)+1)))</f>
        <v>O</v>
      </c>
      <c r="J85" s="38" t="str">
        <f>IF(tblRota[[#This Row],[Date]]="","",IF(tblRota[[#This Row],[Crew A]]="D","A",IF(tblRota[[#This Row],[Crew B]]="D","B",IF(tblRota[[#This Row],[Crew C]]="D","C",IF(tblRota[[#This Row],[Crew D]]="D","D","")))))</f>
        <v>C</v>
      </c>
      <c r="K85" s="38" t="str">
        <f>IF(tblRota[[#This Row],[Date]]="","",IF(tblRota[[#This Row],[Crew A]]="N","A",IF(tblRota[[#This Row],[Crew B]]="N","B",IF(tblRota[[#This Row],[Crew C]]="N","C",IF(tblRota[[#This Row],[Crew D]]="N","D","")))))</f>
        <v>A</v>
      </c>
      <c r="L85" s="30">
        <v>2</v>
      </c>
      <c r="M85" s="30">
        <v>0</v>
      </c>
      <c r="N85" s="33">
        <f>IF(tblRota[[#This Row],[Date]]="","",IFERROR(INDEX(tblCrews[People],MATCH(tblRota[[#This Row],[Day crew]],tblCrews[Crew],0)),0)-tblRota[[#This Row],[Day absent (people)]])</f>
        <v>9</v>
      </c>
      <c r="O85" s="33">
        <f>IF(tblRota[[#This Row],[Date]]="","",IFERROR(INDEX(tblCrews[People],MATCH(tblRota[[#This Row],[Night crew]],tblCrews[Crew],0)),0)-tblRota[[#This Row],[Night absent (people)]])</f>
        <v>12</v>
      </c>
      <c r="P85" s="33">
        <f>IF(tblRota[[#This Row],[Date]]="","",MIN(tblRota[[#This Row],[Day on shift (people)]],tblRota[[#This Row],[Night on shift (people)]]))</f>
        <v>9</v>
      </c>
      <c r="Q85" s="33">
        <f>IF(tblRota[[#This Row],[Date]]="","",ReqPerShift)</f>
        <v>11</v>
      </c>
      <c r="R85" s="39">
        <f>IF(tblRota[[#This Row],[Date]]="","",IF(tblRota[[#This Row],[Required (people)]]&gt;0,tblRota[[#This Row],[Fewest on shift (people)]]/tblRota[[#This Row],[Required (people)]],""))</f>
        <v>0.818181818181818</v>
      </c>
      <c r="S85" s="38" t="str">
        <f>IF(NOT(ISNUMBER(tblRota[[#This Row],[Lowest coverage]])),"",IF(tblRota[[#This Row],[Lowest coverage]]&gt;=TargetCover,"On target",IF(tblRota[[#This Row],[Lowest coverage]]&gt;=TargetCover*(1-0.05),"Near target","Below target")))</f>
        <v>Below target</v>
      </c>
      <c r="T85" s="33">
        <f>IF(tblRota[[#This Row],[Date]]="","",(tblRota[[#This Row],[Day on shift (people)]]&lt;tblRota[[#This Row],[Required (people)]])+(tblRota[[#This Row],[Night on shift (people)]]&lt;tblRota[[#This Row],[Required (people)]]))</f>
        <v>1</v>
      </c>
      <c r="U85" s="38" t="str">
        <f>IF(tblRota[[#This Row],[Date]]="","",IF(WEEKDAY(tblRota[[#This Row],[Date]],2)&gt;5,"Yes","No"))</f>
        <v>No</v>
      </c>
      <c r="V85"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85" s="28" t="s">
        <v>135</v>
      </c>
    </row>
    <row r="86" spans="2:23">
      <c r="B86" s="29">
        <v>46380</v>
      </c>
      <c r="C86" s="38" t="str">
        <f>IF(tblRota[[#This Row],[Date]]="","",CHOOSE(WEEKDAY(tblRota[[#This Row],[Date]],2),"Mon","Tue","Wed","Thu","Fri","Sat","Sun"))</f>
        <v>Thu</v>
      </c>
      <c r="D86" s="28" t="s">
        <v>134</v>
      </c>
      <c r="E86" s="33">
        <f>IF(tblRota[[#This Row],[Date]]="","",MOD(tblRota[[#This Row],[Date]]-Anchor,CycleDays)+1)</f>
        <v>25</v>
      </c>
      <c r="F86" s="38" t="str">
        <f>IF(tblRota[[#This Row],[Date]]="","",IF(tblRota[[#This Row],[Cycle day]]="","",INDEX(tblPatterns[Active],MOD(tblRota[[#This Row],[Date]]-Anchor+CrewOffset*0,CycleDays)+1)))</f>
        <v>N</v>
      </c>
      <c r="G86" s="38" t="str">
        <f>IF(tblRota[[#This Row],[Date]]="","",IF(tblRota[[#This Row],[Cycle day]]="","",INDEX(tblPatterns[Active],MOD(tblRota[[#This Row],[Date]]-Anchor+CrewOffset*1,CycleDays)+1)))</f>
        <v>O</v>
      </c>
      <c r="H86" s="38" t="str">
        <f>IF(tblRota[[#This Row],[Date]]="","",IF(tblRota[[#This Row],[Cycle day]]="","",INDEX(tblPatterns[Active],MOD(tblRota[[#This Row],[Date]]-Anchor+CrewOffset*2,CycleDays)+1)))</f>
        <v>D</v>
      </c>
      <c r="I86" s="38" t="str">
        <f>IF(tblRota[[#This Row],[Date]]="","",IF(tblRota[[#This Row],[Cycle day]]="","",INDEX(tblPatterns[Active],MOD(tblRota[[#This Row],[Date]]-Anchor+CrewOffset*3,CycleDays)+1)))</f>
        <v>O</v>
      </c>
      <c r="J86" s="38" t="str">
        <f>IF(tblRota[[#This Row],[Date]]="","",IF(tblRota[[#This Row],[Crew A]]="D","A",IF(tblRota[[#This Row],[Crew B]]="D","B",IF(tblRota[[#This Row],[Crew C]]="D","C",IF(tblRota[[#This Row],[Crew D]]="D","D","")))))</f>
        <v>C</v>
      </c>
      <c r="K86" s="38" t="str">
        <f>IF(tblRota[[#This Row],[Date]]="","",IF(tblRota[[#This Row],[Crew A]]="N","A",IF(tblRota[[#This Row],[Crew B]]="N","B",IF(tblRota[[#This Row],[Crew C]]="N","C",IF(tblRota[[#This Row],[Crew D]]="N","D","")))))</f>
        <v>A</v>
      </c>
      <c r="L86" s="30">
        <v>2</v>
      </c>
      <c r="M86" s="30">
        <v>0</v>
      </c>
      <c r="N86" s="33">
        <f>IF(tblRota[[#This Row],[Date]]="","",IFERROR(INDEX(tblCrews[People],MATCH(tblRota[[#This Row],[Day crew]],tblCrews[Crew],0)),0)-tblRota[[#This Row],[Day absent (people)]])</f>
        <v>9</v>
      </c>
      <c r="O86" s="33">
        <f>IF(tblRota[[#This Row],[Date]]="","",IFERROR(INDEX(tblCrews[People],MATCH(tblRota[[#This Row],[Night crew]],tblCrews[Crew],0)),0)-tblRota[[#This Row],[Night absent (people)]])</f>
        <v>12</v>
      </c>
      <c r="P86" s="33">
        <f>IF(tblRota[[#This Row],[Date]]="","",MIN(tblRota[[#This Row],[Day on shift (people)]],tblRota[[#This Row],[Night on shift (people)]]))</f>
        <v>9</v>
      </c>
      <c r="Q86" s="33">
        <f>IF(tblRota[[#This Row],[Date]]="","",ReqPerShift)</f>
        <v>11</v>
      </c>
      <c r="R86" s="39">
        <f>IF(tblRota[[#This Row],[Date]]="","",IF(tblRota[[#This Row],[Required (people)]]&gt;0,tblRota[[#This Row],[Fewest on shift (people)]]/tblRota[[#This Row],[Required (people)]],""))</f>
        <v>0.818181818181818</v>
      </c>
      <c r="S86" s="38" t="str">
        <f>IF(NOT(ISNUMBER(tblRota[[#This Row],[Lowest coverage]])),"",IF(tblRota[[#This Row],[Lowest coverage]]&gt;=TargetCover,"On target",IF(tblRota[[#This Row],[Lowest coverage]]&gt;=TargetCover*(1-0.05),"Near target","Below target")))</f>
        <v>Below target</v>
      </c>
      <c r="T86" s="33">
        <f>IF(tblRota[[#This Row],[Date]]="","",(tblRota[[#This Row],[Day on shift (people)]]&lt;tblRota[[#This Row],[Required (people)]])+(tblRota[[#This Row],[Night on shift (people)]]&lt;tblRota[[#This Row],[Required (people)]]))</f>
        <v>1</v>
      </c>
      <c r="U86" s="38" t="str">
        <f>IF(tblRota[[#This Row],[Date]]="","",IF(WEEKDAY(tblRota[[#This Row],[Date]],2)&gt;5,"Yes","No"))</f>
        <v>No</v>
      </c>
      <c r="V86"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86" s="28" t="s">
        <v>135</v>
      </c>
    </row>
    <row r="87" spans="2:23">
      <c r="B87" s="29">
        <v>46381</v>
      </c>
      <c r="C87" s="38" t="str">
        <f>IF(tblRota[[#This Row],[Date]]="","",CHOOSE(WEEKDAY(tblRota[[#This Row],[Date]],2),"Mon","Tue","Wed","Thu","Fri","Sat","Sun"))</f>
        <v>Fri</v>
      </c>
      <c r="D87" s="28" t="s">
        <v>137</v>
      </c>
      <c r="E87" s="33">
        <f>IF(tblRota[[#This Row],[Date]]="","",MOD(tblRota[[#This Row],[Date]]-Anchor,CycleDays)+1)</f>
        <v>26</v>
      </c>
      <c r="F87" s="38" t="str">
        <f>IF(tblRota[[#This Row],[Date]]="","",IF(tblRota[[#This Row],[Cycle day]]="","",INDEX(tblPatterns[Active],MOD(tblRota[[#This Row],[Date]]-Anchor+CrewOffset*0,CycleDays)+1)))</f>
        <v>O</v>
      </c>
      <c r="G87" s="38" t="str">
        <f>IF(tblRota[[#This Row],[Date]]="","",IF(tblRota[[#This Row],[Cycle day]]="","",INDEX(tblPatterns[Active],MOD(tblRota[[#This Row],[Date]]-Anchor+CrewOffset*1,CycleDays)+1)))</f>
        <v>D</v>
      </c>
      <c r="H87" s="38" t="str">
        <f>IF(tblRota[[#This Row],[Date]]="","",IF(tblRota[[#This Row],[Cycle day]]="","",INDEX(tblPatterns[Active],MOD(tblRota[[#This Row],[Date]]-Anchor+CrewOffset*2,CycleDays)+1)))</f>
        <v>O</v>
      </c>
      <c r="I87" s="38" t="str">
        <f>IF(tblRota[[#This Row],[Date]]="","",IF(tblRota[[#This Row],[Cycle day]]="","",INDEX(tblPatterns[Active],MOD(tblRota[[#This Row],[Date]]-Anchor+CrewOffset*3,CycleDays)+1)))</f>
        <v>N</v>
      </c>
      <c r="J87" s="38" t="str">
        <f>IF(tblRota[[#This Row],[Date]]="","",IF(tblRota[[#This Row],[Crew A]]="D","A",IF(tblRota[[#This Row],[Crew B]]="D","B",IF(tblRota[[#This Row],[Crew C]]="D","C",IF(tblRota[[#This Row],[Crew D]]="D","D","")))))</f>
        <v>B</v>
      </c>
      <c r="K87" s="38" t="str">
        <f>IF(tblRota[[#This Row],[Date]]="","",IF(tblRota[[#This Row],[Crew A]]="N","A",IF(tblRota[[#This Row],[Crew B]]="N","B",IF(tblRota[[#This Row],[Crew C]]="N","C",IF(tblRota[[#This Row],[Crew D]]="N","D","")))))</f>
        <v>D</v>
      </c>
      <c r="L87" s="30">
        <v>0</v>
      </c>
      <c r="M87" s="30">
        <v>0</v>
      </c>
      <c r="N87" s="33">
        <f>IF(tblRota[[#This Row],[Date]]="","",IFERROR(INDEX(tblCrews[People],MATCH(tblRota[[#This Row],[Day crew]],tblCrews[Crew],0)),0)-tblRota[[#This Row],[Day absent (people)]])</f>
        <v>12</v>
      </c>
      <c r="O87" s="33">
        <f>IF(tblRota[[#This Row],[Date]]="","",IFERROR(INDEX(tblCrews[People],MATCH(tblRota[[#This Row],[Night crew]],tblCrews[Crew],0)),0)-tblRota[[#This Row],[Night absent (people)]])</f>
        <v>12</v>
      </c>
      <c r="P87" s="33">
        <f>IF(tblRota[[#This Row],[Date]]="","",MIN(tblRota[[#This Row],[Day on shift (people)]],tblRota[[#This Row],[Night on shift (people)]]))</f>
        <v>12</v>
      </c>
      <c r="Q87" s="33">
        <f>IF(tblRota[[#This Row],[Date]]="","",ReqPerShift)</f>
        <v>11</v>
      </c>
      <c r="R87" s="39">
        <f>IF(tblRota[[#This Row],[Date]]="","",IF(tblRota[[#This Row],[Required (people)]]&gt;0,tblRota[[#This Row],[Fewest on shift (people)]]/tblRota[[#This Row],[Required (people)]],""))</f>
        <v>1.09090909090909</v>
      </c>
      <c r="S87" s="38" t="str">
        <f>IF(NOT(ISNUMBER(tblRota[[#This Row],[Lowest coverage]])),"",IF(tblRota[[#This Row],[Lowest coverage]]&gt;=TargetCover,"On target",IF(tblRota[[#This Row],[Lowest coverage]]&gt;=TargetCover*(1-0.05),"Near target","Below target")))</f>
        <v>On target</v>
      </c>
      <c r="T87" s="33">
        <f>IF(tblRota[[#This Row],[Date]]="","",(tblRota[[#This Row],[Day on shift (people)]]&lt;tblRota[[#This Row],[Required (people)]])+(tblRota[[#This Row],[Night on shift (people)]]&lt;tblRota[[#This Row],[Required (people)]]))</f>
        <v>0</v>
      </c>
      <c r="U87" s="38" t="str">
        <f>IF(tblRota[[#This Row],[Date]]="","",IF(WEEKDAY(tblRota[[#This Row],[Date]],2)&gt;5,"Yes","No"))</f>
        <v>No</v>
      </c>
      <c r="V87"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87" s="28" t="s">
        <v>138</v>
      </c>
    </row>
    <row r="88" spans="2:23">
      <c r="B88" s="29">
        <v>46382</v>
      </c>
      <c r="C88" s="38" t="str">
        <f>IF(tblRota[[#This Row],[Date]]="","",CHOOSE(WEEKDAY(tblRota[[#This Row],[Date]],2),"Mon","Tue","Wed","Thu","Fri","Sat","Sun"))</f>
        <v>Sat</v>
      </c>
      <c r="D88" s="28" t="s">
        <v>137</v>
      </c>
      <c r="E88" s="33">
        <f>IF(tblRota[[#This Row],[Date]]="","",MOD(tblRota[[#This Row],[Date]]-Anchor,CycleDays)+1)</f>
        <v>27</v>
      </c>
      <c r="F88" s="38" t="str">
        <f>IF(tblRota[[#This Row],[Date]]="","",IF(tblRota[[#This Row],[Cycle day]]="","",INDEX(tblPatterns[Active],MOD(tblRota[[#This Row],[Date]]-Anchor+CrewOffset*0,CycleDays)+1)))</f>
        <v>O</v>
      </c>
      <c r="G88" s="38" t="str">
        <f>IF(tblRota[[#This Row],[Date]]="","",IF(tblRota[[#This Row],[Cycle day]]="","",INDEX(tblPatterns[Active],MOD(tblRota[[#This Row],[Date]]-Anchor+CrewOffset*1,CycleDays)+1)))</f>
        <v>D</v>
      </c>
      <c r="H88" s="38" t="str">
        <f>IF(tblRota[[#This Row],[Date]]="","",IF(tblRota[[#This Row],[Cycle day]]="","",INDEX(tblPatterns[Active],MOD(tblRota[[#This Row],[Date]]-Anchor+CrewOffset*2,CycleDays)+1)))</f>
        <v>O</v>
      </c>
      <c r="I88" s="38" t="str">
        <f>IF(tblRota[[#This Row],[Date]]="","",IF(tblRota[[#This Row],[Cycle day]]="","",INDEX(tblPatterns[Active],MOD(tblRota[[#This Row],[Date]]-Anchor+CrewOffset*3,CycleDays)+1)))</f>
        <v>N</v>
      </c>
      <c r="J88" s="38" t="str">
        <f>IF(tblRota[[#This Row],[Date]]="","",IF(tblRota[[#This Row],[Crew A]]="D","A",IF(tblRota[[#This Row],[Crew B]]="D","B",IF(tblRota[[#This Row],[Crew C]]="D","C",IF(tblRota[[#This Row],[Crew D]]="D","D","")))))</f>
        <v>B</v>
      </c>
      <c r="K88" s="38" t="str">
        <f>IF(tblRota[[#This Row],[Date]]="","",IF(tblRota[[#This Row],[Crew A]]="N","A",IF(tblRota[[#This Row],[Crew B]]="N","B",IF(tblRota[[#This Row],[Crew C]]="N","C",IF(tblRota[[#This Row],[Crew D]]="N","D","")))))</f>
        <v>D</v>
      </c>
      <c r="L88" s="30">
        <v>1</v>
      </c>
      <c r="M88" s="30">
        <v>0</v>
      </c>
      <c r="N88" s="33">
        <f>IF(tblRota[[#This Row],[Date]]="","",IFERROR(INDEX(tblCrews[People],MATCH(tblRota[[#This Row],[Day crew]],tblCrews[Crew],0)),0)-tblRota[[#This Row],[Day absent (people)]])</f>
        <v>11</v>
      </c>
      <c r="O88" s="33">
        <f>IF(tblRota[[#This Row],[Date]]="","",IFERROR(INDEX(tblCrews[People],MATCH(tblRota[[#This Row],[Night crew]],tblCrews[Crew],0)),0)-tblRota[[#This Row],[Night absent (people)]])</f>
        <v>12</v>
      </c>
      <c r="P88" s="33">
        <f>IF(tblRota[[#This Row],[Date]]="","",MIN(tblRota[[#This Row],[Day on shift (people)]],tblRota[[#This Row],[Night on shift (people)]]))</f>
        <v>11</v>
      </c>
      <c r="Q88" s="33">
        <f>IF(tblRota[[#This Row],[Date]]="","",ReqPerShift)</f>
        <v>11</v>
      </c>
      <c r="R88" s="39">
        <f>IF(tblRota[[#This Row],[Date]]="","",IF(tblRota[[#This Row],[Required (people)]]&gt;0,tblRota[[#This Row],[Fewest on shift (people)]]/tblRota[[#This Row],[Required (people)]],""))</f>
        <v>1</v>
      </c>
      <c r="S88" s="38" t="str">
        <f>IF(NOT(ISNUMBER(tblRota[[#This Row],[Lowest coverage]])),"",IF(tblRota[[#This Row],[Lowest coverage]]&gt;=TargetCover,"On target",IF(tblRota[[#This Row],[Lowest coverage]]&gt;=TargetCover*(1-0.05),"Near target","Below target")))</f>
        <v>On target</v>
      </c>
      <c r="T88" s="33">
        <f>IF(tblRota[[#This Row],[Date]]="","",(tblRota[[#This Row],[Day on shift (people)]]&lt;tblRota[[#This Row],[Required (people)]])+(tblRota[[#This Row],[Night on shift (people)]]&lt;tblRota[[#This Row],[Required (people)]]))</f>
        <v>0</v>
      </c>
      <c r="U88" s="38" t="str">
        <f>IF(tblRota[[#This Row],[Date]]="","",IF(WEEKDAY(tblRota[[#This Row],[Date]],2)&gt;5,"Yes","No"))</f>
        <v>Yes</v>
      </c>
      <c r="V88"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88" s="28" t="s">
        <v>139</v>
      </c>
    </row>
    <row r="89" spans="2:23">
      <c r="B89" s="29">
        <v>46383</v>
      </c>
      <c r="C89" s="38" t="str">
        <f>IF(tblRota[[#This Row],[Date]]="","",CHOOSE(WEEKDAY(tblRota[[#This Row],[Date]],2),"Mon","Tue","Wed","Thu","Fri","Sat","Sun"))</f>
        <v>Sun</v>
      </c>
      <c r="D89" s="28" t="s">
        <v>134</v>
      </c>
      <c r="E89" s="33">
        <f>IF(tblRota[[#This Row],[Date]]="","",MOD(tblRota[[#This Row],[Date]]-Anchor,CycleDays)+1)</f>
        <v>28</v>
      </c>
      <c r="F89" s="38" t="str">
        <f>IF(tblRota[[#This Row],[Date]]="","",IF(tblRota[[#This Row],[Cycle day]]="","",INDEX(tblPatterns[Active],MOD(tblRota[[#This Row],[Date]]-Anchor+CrewOffset*0,CycleDays)+1)))</f>
        <v>O</v>
      </c>
      <c r="G89" s="38" t="str">
        <f>IF(tblRota[[#This Row],[Date]]="","",IF(tblRota[[#This Row],[Cycle day]]="","",INDEX(tblPatterns[Active],MOD(tblRota[[#This Row],[Date]]-Anchor+CrewOffset*1,CycleDays)+1)))</f>
        <v>D</v>
      </c>
      <c r="H89" s="38" t="str">
        <f>IF(tblRota[[#This Row],[Date]]="","",IF(tblRota[[#This Row],[Cycle day]]="","",INDEX(tblPatterns[Active],MOD(tblRota[[#This Row],[Date]]-Anchor+CrewOffset*2,CycleDays)+1)))</f>
        <v>O</v>
      </c>
      <c r="I89" s="38" t="str">
        <f>IF(tblRota[[#This Row],[Date]]="","",IF(tblRota[[#This Row],[Cycle day]]="","",INDEX(tblPatterns[Active],MOD(tblRota[[#This Row],[Date]]-Anchor+CrewOffset*3,CycleDays)+1)))</f>
        <v>N</v>
      </c>
      <c r="J89" s="38" t="str">
        <f>IF(tblRota[[#This Row],[Date]]="","",IF(tblRota[[#This Row],[Crew A]]="D","A",IF(tblRota[[#This Row],[Crew B]]="D","B",IF(tblRota[[#This Row],[Crew C]]="D","C",IF(tblRota[[#This Row],[Crew D]]="D","D","")))))</f>
        <v>B</v>
      </c>
      <c r="K89" s="38" t="str">
        <f>IF(tblRota[[#This Row],[Date]]="","",IF(tblRota[[#This Row],[Crew A]]="N","A",IF(tblRota[[#This Row],[Crew B]]="N","B",IF(tblRota[[#This Row],[Crew C]]="N","C",IF(tblRota[[#This Row],[Crew D]]="N","D","")))))</f>
        <v>D</v>
      </c>
      <c r="L89" s="30">
        <v>0</v>
      </c>
      <c r="M89" s="30">
        <v>0</v>
      </c>
      <c r="N89" s="33">
        <f>IF(tblRota[[#This Row],[Date]]="","",IFERROR(INDEX(tblCrews[People],MATCH(tblRota[[#This Row],[Day crew]],tblCrews[Crew],0)),0)-tblRota[[#This Row],[Day absent (people)]])</f>
        <v>12</v>
      </c>
      <c r="O89" s="33">
        <f>IF(tblRota[[#This Row],[Date]]="","",IFERROR(INDEX(tblCrews[People],MATCH(tblRota[[#This Row],[Night crew]],tblCrews[Crew],0)),0)-tblRota[[#This Row],[Night absent (people)]])</f>
        <v>12</v>
      </c>
      <c r="P89" s="33">
        <f>IF(tblRota[[#This Row],[Date]]="","",MIN(tblRota[[#This Row],[Day on shift (people)]],tblRota[[#This Row],[Night on shift (people)]]))</f>
        <v>12</v>
      </c>
      <c r="Q89" s="33">
        <f>IF(tblRota[[#This Row],[Date]]="","",ReqPerShift)</f>
        <v>11</v>
      </c>
      <c r="R89" s="39">
        <f>IF(tblRota[[#This Row],[Date]]="","",IF(tblRota[[#This Row],[Required (people)]]&gt;0,tblRota[[#This Row],[Fewest on shift (people)]]/tblRota[[#This Row],[Required (people)]],""))</f>
        <v>1.09090909090909</v>
      </c>
      <c r="S89" s="38" t="str">
        <f>IF(NOT(ISNUMBER(tblRota[[#This Row],[Lowest coverage]])),"",IF(tblRota[[#This Row],[Lowest coverage]]&gt;=TargetCover,"On target",IF(tblRota[[#This Row],[Lowest coverage]]&gt;=TargetCover*(1-0.05),"Near target","Below target")))</f>
        <v>On target</v>
      </c>
      <c r="T89" s="33">
        <f>IF(tblRota[[#This Row],[Date]]="","",(tblRota[[#This Row],[Day on shift (people)]]&lt;tblRota[[#This Row],[Required (people)]])+(tblRota[[#This Row],[Night on shift (people)]]&lt;tblRota[[#This Row],[Required (people)]]))</f>
        <v>0</v>
      </c>
      <c r="U89" s="38" t="str">
        <f>IF(tblRota[[#This Row],[Date]]="","",IF(WEEKDAY(tblRota[[#This Row],[Date]],2)&gt;5,"Yes","No"))</f>
        <v>Yes</v>
      </c>
      <c r="V89" s="40" t="str">
        <f>IF(tblRota[[#This Row],[Date]]="","",IF(((tblRota[[#This Row],[Crew A]]="D")+(tblRota[[#This Row],[Crew B]]="D")+(tblRota[[#This Row],[Crew C]]="D")+(tblRota[[#This Row],[Crew D]]="D"))&lt;&gt;1,"Not one crew on days",IF(((tblRota[[#This Row],[Crew A]]="N")+(tblRota[[#This Row],[Crew B]]="N")+(tblRota[[#This Row],[Crew C]]="N")+(tblRota[[#This Row],[Crew D]]="N"))&lt;&gt;1,"Not one crew on nights",IF(OR(tblRota[[#This Row],[Day on shift (people)]]&lt;0,tblRota[[#This Row],[Night on shift (people)]]&lt;0),"Absent &gt; crew size",IF(COUNTIF(tblRota[Date],tblRota[[#This Row],[Date]])&gt;1,"Duplicate date","OK")))))</f>
        <v>OK</v>
      </c>
      <c r="W89" s="28" t="s">
        <v>135</v>
      </c>
    </row>
  </sheetData>
  <mergeCells count="3">
    <mergeCell ref="A1:W1"/>
    <mergeCell ref="B2:V2"/>
    <mergeCell ref="B4:W4"/>
  </mergeCells>
  <conditionalFormatting sqref="F6:F89">
    <cfRule type="cellIs" dxfId="6" priority="26" operator="equal">
      <formula>"O"</formula>
    </cfRule>
  </conditionalFormatting>
  <conditionalFormatting sqref="G6:G89">
    <cfRule type="cellIs" dxfId="6" priority="27" operator="equal">
      <formula>"O"</formula>
    </cfRule>
  </conditionalFormatting>
  <conditionalFormatting sqref="H6:H89">
    <cfRule type="cellIs" dxfId="6" priority="28" operator="equal">
      <formula>"O"</formula>
    </cfRule>
  </conditionalFormatting>
  <conditionalFormatting sqref="I6:I89">
    <cfRule type="cellIs" dxfId="6" priority="29" operator="equal">
      <formula>"O"</formula>
    </cfRule>
  </conditionalFormatting>
  <conditionalFormatting sqref="R6:R589">
    <cfRule type="expression" dxfId="3" priority="1" stopIfTrue="1">
      <formula>AND(ISNUMBER(R6),R6&gt;=(TargetCover))</formula>
    </cfRule>
    <cfRule type="expression" dxfId="4" priority="2" stopIfTrue="1">
      <formula>AND(ISNUMBER(R6),R6&gt;=(TargetCover)*(1-0.05))</formula>
    </cfRule>
    <cfRule type="expression" dxfId="5" priority="3">
      <formula>ISNUMBER(R6)</formula>
    </cfRule>
  </conditionalFormatting>
  <conditionalFormatting sqref="S6:S589">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V6:V589">
    <cfRule type="expression" dxfId="3" priority="24">
      <formula>$V6="OK"</formula>
    </cfRule>
    <cfRule type="expression" dxfId="1" priority="25">
      <formula>AND($V6&lt;&gt;"",$V6&lt;&gt;"OK")</formula>
    </cfRule>
  </conditionalFormatting>
  <dataValidations count="5">
    <dataValidation type="date" allowBlank="1" showInputMessage="1" showErrorMessage="1" errorTitle="Check this entry" error="Enter a date between 01 Jan 2000 and 31 Dec 2100." promptTitle="Date" prompt="One row per calendar day, in order. Enter a date between 01 Jan 2000 and 31 Dec 2100." sqref="B6:B589">
      <formula1>36526</formula1>
      <formula2>73415</formula2>
    </dataValidation>
    <dataValidation type="list" allowBlank="1" showInputMessage="1" showErrorMessage="1" errorTitle="Check this entry" error="Pick one of: Yes, No." promptTitle="Holiday" prompt="Yes for a public or site holiday. Pick one of: Yes, No." sqref="D6:D589">
      <formula1>"Yes,No"</formula1>
    </dataValidation>
    <dataValidation type="whole" allowBlank="1" showInputMessage="1" showErrorMessage="1" errorTitle="Check this entry" error="Enter a whole number from 0 to 10,000." promptTitle="Day absent (people)" prompt="People of the day crew on planned leave, training or sick. Enter a whole number from 0 to 10,000." sqref="L6:L589">
      <formula1>0</formula1>
      <formula2>10000</formula2>
    </dataValidation>
    <dataValidation type="whole" allowBlank="1" showInputMessage="1" showErrorMessage="1" errorTitle="Check this entry" error="Enter a whole number from 0 to 10,000." promptTitle="Night absent (people)" prompt="People of the night crew on planned leave, training or sick. Enter a whole number from 0 to 10,000." sqref="M6:M589">
      <formula1>0</formula1>
      <formula2>10000</formula2>
    </dataValidation>
    <dataValidation type="textLength" allowBlank="1" showInputMessage="1" showErrorMessage="1" errorTitle="Check this entry" error="Text up to 255 characters." promptTitle="Notes" prompt="Text up to 255 characters." sqref="W6:W589">
      <formula1>0</formula1>
      <formula2>255</formula2>
    </dataValidation>
  </dataValidations>
  <hyperlinks>
    <hyperlink ref="W2" r:id="rId1" tooltip="Free manufacturing calculators and templates"/>
  </hyperlinks>
  <pageMargins left="0.4" right="0.4" top="0.7" bottom="0.65" header="0.3" footer="0.3"/>
  <pageSetup fitToHeight="0" orientation="landscape"/>
  <headerFooter>
    <oddHeader>&amp;L&amp;8MFG Calcs - 4-Crew Shift Rotation Schedule&amp;R&amp;8&amp;A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53"/>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41" t="str">
        <f>PlantName&amp;": "&amp;Pattern&amp;" pattern, "&amp;TEXT(ShiftHours,"0")&amp;"-hour shifts, "&amp;COUNT(tblRota[Date])&amp;" days on the Rota from "&amp;IF(COUNT(tblRota[Date])=0,"-",TEXT(MIN(tblRota[Date]),"d mmm yyyy"))&amp;". Required on every shift: "&amp;ReqPerShift&amp;" people."</f>
        <v>Eastbank Polymers (example): 2-2-3 Panama pattern, 12-hour shifts, 84 days on the Rota from 5 Oct 2026. Required on every shift: 11 people.</v>
      </c>
      <c r="C4" s="41"/>
      <c r="D4" s="41"/>
      <c r="E4" s="41"/>
      <c r="F4" s="41"/>
      <c r="G4" s="41"/>
      <c r="H4" s="41"/>
      <c r="I4" s="41"/>
      <c r="J4" s="41"/>
      <c r="K4" s="41"/>
      <c r="L4" s="41"/>
    </row>
    <row r="6" spans="1:12" ht="18" customHeight="1">
      <c r="B6" s="42" t="s">
        <v>140</v>
      </c>
      <c r="C6" s="42"/>
      <c r="D6" s="42" t="s">
        <v>141</v>
      </c>
      <c r="E6" s="42"/>
      <c r="F6" s="42"/>
      <c r="G6" s="42" t="s">
        <v>142</v>
      </c>
      <c r="H6" s="42"/>
      <c r="I6" s="42"/>
      <c r="J6" s="42" t="s">
        <v>143</v>
      </c>
      <c r="K6" s="42"/>
      <c r="L6" s="42"/>
    </row>
    <row r="7" spans="1:12" ht="21" customHeight="1">
      <c r="B7" s="43">
        <f>IF(COUNT(tblRota[Lowest coverage])=0,"",MIN(tblRota[Lowest coverage]))</f>
        <v>0.818181818181818</v>
      </c>
      <c r="C7" s="43"/>
      <c r="D7" s="44">
        <f>SUM(tblRota[Shifts short])</f>
        <v>18</v>
      </c>
      <c r="E7" s="44"/>
      <c r="F7" s="44"/>
      <c r="G7" s="45">
        <f>IF(COUNT($G$31:$G$34)=0,"",AVERAGE($G$31:$G$34))</f>
        <v>42</v>
      </c>
      <c r="H7" s="45"/>
      <c r="I7" s="45"/>
      <c r="J7" s="46">
        <f>IF(COUNT($G$31:$G$34)=0,"",AVERAGE($G$31:$G$34)-ContractHours)</f>
        <v>2</v>
      </c>
      <c r="K7" s="46"/>
      <c r="L7" s="46"/>
    </row>
    <row r="8" spans="1:12" ht="21" customHeight="1">
      <c r="B8" s="43"/>
      <c r="C8" s="43"/>
      <c r="D8" s="44"/>
      <c r="E8" s="44"/>
      <c r="F8" s="44"/>
      <c r="G8" s="45"/>
      <c r="H8" s="45"/>
      <c r="I8" s="45"/>
      <c r="J8" s="46"/>
      <c r="K8" s="46"/>
      <c r="L8" s="46"/>
    </row>
    <row r="9" spans="1:12">
      <c r="B9" s="47">
        <f>TargetCover</f>
        <v>1</v>
      </c>
      <c r="C9" s="47"/>
      <c r="D9" s="48">
        <f>0</f>
        <v>0</v>
      </c>
      <c r="E9" s="48"/>
      <c r="F9" s="48"/>
      <c r="G9" s="49" t="s">
        <v>144</v>
      </c>
      <c r="H9" s="49"/>
      <c r="I9" s="49"/>
      <c r="J9" s="49" t="s">
        <v>145</v>
      </c>
      <c r="K9" s="49"/>
      <c r="L9" s="49"/>
    </row>
    <row r="10" spans="1:12" ht="18" customHeight="1">
      <c r="B10" s="50" t="str">
        <f>IF(NOT(ISNUMBER(KpiLowest)),"No data",IF(KpiLowest&gt;=(TargetCover),"On target",IF(KpiLowest&gt;=(TargetCover)*(1-0.05),"Near target","Below target")))</f>
        <v>Below target</v>
      </c>
      <c r="C10" s="50"/>
      <c r="D10" s="50" t="str">
        <f>IF(NOT(ISNUMBER(KpiShort)),"No data",IF(KpiShort&lt;=(0),"On target",IF(KpiShort&lt;=(0)*(1+0.05),"Near target","Above target")))</f>
        <v>Above target</v>
      </c>
      <c r="E10" s="50"/>
      <c r="F10" s="50"/>
      <c r="G10" s="50"/>
      <c r="H10" s="50"/>
      <c r="I10" s="50"/>
      <c r="J10" s="50"/>
      <c r="K10" s="50"/>
      <c r="L10" s="50"/>
    </row>
    <row r="29" spans="2:11">
      <c r="B29" s="35" t="s">
        <v>146</v>
      </c>
      <c r="C29" s="35"/>
      <c r="D29" s="35"/>
      <c r="E29" s="35"/>
      <c r="F29" s="35"/>
      <c r="G29" s="35"/>
      <c r="H29" s="35"/>
      <c r="I29" s="35"/>
      <c r="J29" s="35"/>
      <c r="K29" s="35"/>
    </row>
    <row r="30" spans="2:11" ht="45.5" customHeight="1">
      <c r="B30" s="51" t="s">
        <v>60</v>
      </c>
      <c r="C30" s="36" t="s">
        <v>62</v>
      </c>
      <c r="D30" s="36" t="s">
        <v>147</v>
      </c>
      <c r="E30" s="36" t="s">
        <v>148</v>
      </c>
      <c r="F30" s="36" t="s">
        <v>149</v>
      </c>
      <c r="G30" s="36" t="s">
        <v>150</v>
      </c>
      <c r="H30" s="36" t="s">
        <v>151</v>
      </c>
      <c r="I30" s="36" t="s">
        <v>152</v>
      </c>
      <c r="J30" s="36" t="s">
        <v>153</v>
      </c>
      <c r="K30" s="36" t="s">
        <v>154</v>
      </c>
    </row>
    <row r="31" spans="2:11">
      <c r="B31" s="52" t="str">
        <f>IFERROR(INDEX(tblCrews[Crew],1)&amp;"","")</f>
        <v>A</v>
      </c>
      <c r="C31" s="33">
        <f>IF($B$31="","",INDEX(tblCrews[People],1))</f>
        <v>12</v>
      </c>
      <c r="D31" s="33">
        <f>IF($B$31="","",(1=1)*COUNTIFS(tblRota[Crew A],"D")+(1=2)*COUNTIFS(tblRota[Crew B],"D")+(1=3)*COUNTIFS(tblRota[Crew C],"D")+(1=4)*COUNTIFS(tblRota[Crew D],"D"))</f>
        <v>21</v>
      </c>
      <c r="E31" s="33">
        <f>IF($B$31="","",(1=1)*COUNTIFS(tblRota[Crew A],"N")+(1=2)*COUNTIFS(tblRota[Crew B],"N")+(1=3)*COUNTIFS(tblRota[Crew C],"N")+(1=4)*COUNTIFS(tblRota[Crew D],"N"))</f>
        <v>21</v>
      </c>
      <c r="F31" s="33">
        <f>IF($B$31="","",($D$31+$E$31)*ShiftHours)</f>
        <v>504</v>
      </c>
      <c r="G31" s="34">
        <f>IF($B$31="","",IF((COUNT(tblRota[Date])/7)=0,"",($F$31)/(COUNT(tblRota[Date])/7)))</f>
        <v>42</v>
      </c>
      <c r="H31" s="53">
        <f>IF($B$31="","",IF($G$31="","",$G$31-ContractHours))</f>
        <v>2</v>
      </c>
      <c r="I31" s="33">
        <f>IF($B$31="","",(1=1)*COUNTIFS(tblRota[Crew A],"D",tblRota[Weekend],"Yes")+(1=2)*COUNTIFS(tblRota[Crew B],"D",tblRota[Weekend],"Yes")+(1=3)*COUNTIFS(tblRota[Crew C],"D",tblRota[Weekend],"Yes")+(1=4)*COUNTIFS(tblRota[Crew D],"D",tblRota[Weekend],"Yes")+(1=1)*COUNTIFS(tblRota[Crew A],"N",tblRota[Weekend],"Yes")+(1=2)*COUNTIFS(tblRota[Crew B],"N",tblRota[Weekend],"Yes")+(1=3)*COUNTIFS(tblRota[Crew C],"N",tblRota[Weekend],"Yes")+(1=4)*COUNTIFS(tblRota[Crew D],"N",tblRota[Weekend],"Yes"))</f>
        <v>12</v>
      </c>
      <c r="J31" s="33">
        <f>IF($B$31="","",(1=1)*COUNTIFS(tblRota[Crew A],"D",tblRota[Holiday],"Yes")+(1=2)*COUNTIFS(tblRota[Crew B],"D",tblRota[Holiday],"Yes")+(1=3)*COUNTIFS(tblRota[Crew C],"D",tblRota[Holiday],"Yes")+(1=4)*COUNTIFS(tblRota[Crew D],"D",tblRota[Holiday],"Yes")+(1=1)*COUNTIFS(tblRota[Crew A],"N",tblRota[Holiday],"Yes")+(1=2)*COUNTIFS(tblRota[Crew B],"N",tblRota[Holiday],"Yes")+(1=3)*COUNTIFS(tblRota[Crew C],"N",tblRota[Holiday],"Yes")+(1=4)*COUNTIFS(tblRota[Crew D],"N",tblRota[Holiday],"Yes"))</f>
        <v>0</v>
      </c>
      <c r="K31" s="54">
        <f>ContractHours</f>
        <v>40</v>
      </c>
    </row>
    <row r="32" spans="2:11">
      <c r="B32" s="52" t="str">
        <f>IFERROR(INDEX(tblCrews[Crew],2)&amp;"","")</f>
        <v>B</v>
      </c>
      <c r="C32" s="33">
        <f>IF($B$32="","",INDEX(tblCrews[People],2))</f>
        <v>12</v>
      </c>
      <c r="D32" s="33">
        <f>IF($B$32="","",(2=1)*COUNTIFS(tblRota[Crew A],"D")+(2=2)*COUNTIFS(tblRota[Crew B],"D")+(2=3)*COUNTIFS(tblRota[Crew C],"D")+(2=4)*COUNTIFS(tblRota[Crew D],"D"))</f>
        <v>21</v>
      </c>
      <c r="E32" s="33">
        <f>IF($B$32="","",(2=1)*COUNTIFS(tblRota[Crew A],"N")+(2=2)*COUNTIFS(tblRota[Crew B],"N")+(2=3)*COUNTIFS(tblRota[Crew C],"N")+(2=4)*COUNTIFS(tblRota[Crew D],"N"))</f>
        <v>21</v>
      </c>
      <c r="F32" s="33">
        <f>IF($B$32="","",($D$32+$E$32)*ShiftHours)</f>
        <v>504</v>
      </c>
      <c r="G32" s="34">
        <f>IF($B$32="","",IF((COUNT(tblRota[Date])/7)=0,"",($F$32)/(COUNT(tblRota[Date])/7)))</f>
        <v>42</v>
      </c>
      <c r="H32" s="53">
        <f>IF($B$32="","",IF($G$32="","",$G$32-ContractHours))</f>
        <v>2</v>
      </c>
      <c r="I32" s="33">
        <f>IF($B$32="","",(2=1)*COUNTIFS(tblRota[Crew A],"D",tblRota[Weekend],"Yes")+(2=2)*COUNTIFS(tblRota[Crew B],"D",tblRota[Weekend],"Yes")+(2=3)*COUNTIFS(tblRota[Crew C],"D",tblRota[Weekend],"Yes")+(2=4)*COUNTIFS(tblRota[Crew D],"D",tblRota[Weekend],"Yes")+(2=1)*COUNTIFS(tblRota[Crew A],"N",tblRota[Weekend],"Yes")+(2=2)*COUNTIFS(tblRota[Crew B],"N",tblRota[Weekend],"Yes")+(2=3)*COUNTIFS(tblRota[Crew C],"N",tblRota[Weekend],"Yes")+(2=4)*COUNTIFS(tblRota[Crew D],"N",tblRota[Weekend],"Yes"))</f>
        <v>12</v>
      </c>
      <c r="J32" s="33">
        <f>IF($B$32="","",(2=1)*COUNTIFS(tblRota[Crew A],"D",tblRota[Holiday],"Yes")+(2=2)*COUNTIFS(tblRota[Crew B],"D",tblRota[Holiday],"Yes")+(2=3)*COUNTIFS(tblRota[Crew C],"D",tblRota[Holiday],"Yes")+(2=4)*COUNTIFS(tblRota[Crew D],"D",tblRota[Holiday],"Yes")+(2=1)*COUNTIFS(tblRota[Crew A],"N",tblRota[Holiday],"Yes")+(2=2)*COUNTIFS(tblRota[Crew B],"N",tblRota[Holiday],"Yes")+(2=3)*COUNTIFS(tblRota[Crew C],"N",tblRota[Holiday],"Yes")+(2=4)*COUNTIFS(tblRota[Crew D],"N",tblRota[Holiday],"Yes"))</f>
        <v>2</v>
      </c>
      <c r="K32" s="54">
        <f>ContractHours</f>
        <v>40</v>
      </c>
    </row>
    <row r="33" spans="2:11">
      <c r="B33" s="52" t="str">
        <f>IFERROR(INDEX(tblCrews[Crew],3)&amp;"","")</f>
        <v>C</v>
      </c>
      <c r="C33" s="33">
        <f>IF($B$33="","",INDEX(tblCrews[People],3))</f>
        <v>11</v>
      </c>
      <c r="D33" s="33">
        <f>IF($B$33="","",(3=1)*COUNTIFS(tblRota[Crew A],"D")+(3=2)*COUNTIFS(tblRota[Crew B],"D")+(3=3)*COUNTIFS(tblRota[Crew C],"D")+(3=4)*COUNTIFS(tblRota[Crew D],"D"))</f>
        <v>21</v>
      </c>
      <c r="E33" s="33">
        <f>IF($B$33="","",(3=1)*COUNTIFS(tblRota[Crew A],"N")+(3=2)*COUNTIFS(tblRota[Crew B],"N")+(3=3)*COUNTIFS(tblRota[Crew C],"N")+(3=4)*COUNTIFS(tblRota[Crew D],"N"))</f>
        <v>21</v>
      </c>
      <c r="F33" s="33">
        <f>IF($B$33="","",($D$33+$E$33)*ShiftHours)</f>
        <v>504</v>
      </c>
      <c r="G33" s="34">
        <f>IF($B$33="","",IF((COUNT(tblRota[Date])/7)=0,"",($F$33)/(COUNT(tblRota[Date])/7)))</f>
        <v>42</v>
      </c>
      <c r="H33" s="53">
        <f>IF($B$33="","",IF($G$33="","",$G$33-ContractHours))</f>
        <v>2</v>
      </c>
      <c r="I33" s="33">
        <f>IF($B$33="","",(3=1)*COUNTIFS(tblRota[Crew A],"D",tblRota[Weekend],"Yes")+(3=2)*COUNTIFS(tblRota[Crew B],"D",tblRota[Weekend],"Yes")+(3=3)*COUNTIFS(tblRota[Crew C],"D",tblRota[Weekend],"Yes")+(3=4)*COUNTIFS(tblRota[Crew D],"D",tblRota[Weekend],"Yes")+(3=1)*COUNTIFS(tblRota[Crew A],"N",tblRota[Weekend],"Yes")+(3=2)*COUNTIFS(tblRota[Crew B],"N",tblRota[Weekend],"Yes")+(3=3)*COUNTIFS(tblRota[Crew C],"N",tblRota[Weekend],"Yes")+(3=4)*COUNTIFS(tblRota[Crew D],"N",tblRota[Weekend],"Yes"))</f>
        <v>12</v>
      </c>
      <c r="J33" s="33">
        <f>IF($B$33="","",(3=1)*COUNTIFS(tblRota[Crew A],"D",tblRota[Holiday],"Yes")+(3=2)*COUNTIFS(tblRota[Crew B],"D",tblRota[Holiday],"Yes")+(3=3)*COUNTIFS(tblRota[Crew C],"D",tblRota[Holiday],"Yes")+(3=4)*COUNTIFS(tblRota[Crew D],"D",tblRota[Holiday],"Yes")+(3=1)*COUNTIFS(tblRota[Crew A],"N",tblRota[Holiday],"Yes")+(3=2)*COUNTIFS(tblRota[Crew B],"N",tblRota[Holiday],"Yes")+(3=3)*COUNTIFS(tblRota[Crew C],"N",tblRota[Holiday],"Yes")+(3=4)*COUNTIFS(tblRota[Crew D],"N",tblRota[Holiday],"Yes"))</f>
        <v>0</v>
      </c>
      <c r="K33" s="54">
        <f>ContractHours</f>
        <v>40</v>
      </c>
    </row>
    <row r="34" spans="2:11">
      <c r="B34" s="52" t="str">
        <f>IFERROR(INDEX(tblCrews[Crew],4)&amp;"","")</f>
        <v>D</v>
      </c>
      <c r="C34" s="33">
        <f>IF($B$34="","",INDEX(tblCrews[People],4))</f>
        <v>12</v>
      </c>
      <c r="D34" s="33">
        <f>IF($B$34="","",(4=1)*COUNTIFS(tblRota[Crew A],"D")+(4=2)*COUNTIFS(tblRota[Crew B],"D")+(4=3)*COUNTIFS(tblRota[Crew C],"D")+(4=4)*COUNTIFS(tblRota[Crew D],"D"))</f>
        <v>21</v>
      </c>
      <c r="E34" s="33">
        <f>IF($B$34="","",(4=1)*COUNTIFS(tblRota[Crew A],"N")+(4=2)*COUNTIFS(tblRota[Crew B],"N")+(4=3)*COUNTIFS(tblRota[Crew C],"N")+(4=4)*COUNTIFS(tblRota[Crew D],"N"))</f>
        <v>21</v>
      </c>
      <c r="F34" s="33">
        <f>IF($B$34="","",($D$34+$E$34)*ShiftHours)</f>
        <v>504</v>
      </c>
      <c r="G34" s="34">
        <f>IF($B$34="","",IF((COUNT(tblRota[Date])/7)=0,"",($F$34)/(COUNT(tblRota[Date])/7)))</f>
        <v>42</v>
      </c>
      <c r="H34" s="53">
        <f>IF($B$34="","",IF($G$34="","",$G$34-ContractHours))</f>
        <v>2</v>
      </c>
      <c r="I34" s="33">
        <f>IF($B$34="","",(4=1)*COUNTIFS(tblRota[Crew A],"D",tblRota[Weekend],"Yes")+(4=2)*COUNTIFS(tblRota[Crew B],"D",tblRota[Weekend],"Yes")+(4=3)*COUNTIFS(tblRota[Crew C],"D",tblRota[Weekend],"Yes")+(4=4)*COUNTIFS(tblRota[Crew D],"D",tblRota[Weekend],"Yes")+(4=1)*COUNTIFS(tblRota[Crew A],"N",tblRota[Weekend],"Yes")+(4=2)*COUNTIFS(tblRota[Crew B],"N",tblRota[Weekend],"Yes")+(4=3)*COUNTIFS(tblRota[Crew C],"N",tblRota[Weekend],"Yes")+(4=4)*COUNTIFS(tblRota[Crew D],"N",tblRota[Weekend],"Yes"))</f>
        <v>12</v>
      </c>
      <c r="J34" s="33">
        <f>IF($B$34="","",(4=1)*COUNTIFS(tblRota[Crew A],"D",tblRota[Holiday],"Yes")+(4=2)*COUNTIFS(tblRota[Crew B],"D",tblRota[Holiday],"Yes")+(4=3)*COUNTIFS(tblRota[Crew C],"D",tblRota[Holiday],"Yes")+(4=4)*COUNTIFS(tblRota[Crew D],"D",tblRota[Holiday],"Yes")+(4=1)*COUNTIFS(tblRota[Crew A],"N",tblRota[Holiday],"Yes")+(4=2)*COUNTIFS(tblRota[Crew B],"N",tblRota[Holiday],"Yes")+(4=3)*COUNTIFS(tblRota[Crew C],"N",tblRota[Holiday],"Yes")+(4=4)*COUNTIFS(tblRota[Crew D],"N",tblRota[Holiday],"Yes"))</f>
        <v>2</v>
      </c>
      <c r="K34" s="54">
        <f>ContractHours</f>
        <v>40</v>
      </c>
    </row>
    <row r="36" spans="2:11">
      <c r="G36" s="35" t="s">
        <v>155</v>
      </c>
      <c r="H36" s="35"/>
      <c r="I36" s="35"/>
      <c r="J36" s="35"/>
      <c r="K36" s="35"/>
    </row>
    <row r="37" spans="2:11" ht="32" customHeight="1">
      <c r="G37" s="51" t="s">
        <v>156</v>
      </c>
      <c r="H37" s="36" t="s">
        <v>157</v>
      </c>
      <c r="I37" s="36" t="s">
        <v>158</v>
      </c>
      <c r="J37" s="36" t="s">
        <v>159</v>
      </c>
      <c r="K37" s="36" t="s">
        <v>160</v>
      </c>
    </row>
    <row r="38" spans="2:11">
      <c r="G38" s="55">
        <f>PlanWeek1</f>
        <v>46300</v>
      </c>
      <c r="H38" s="33">
        <f>COUNTIFS(tblRota[Date],"&gt;="&amp;$G$38,tblRota[Date],"&lt;"&amp;$G$38+7)</f>
        <v>7</v>
      </c>
      <c r="I38" s="33">
        <f>SUMIFS(tblRota[Day absent (people)],tblRota[Date],"&gt;="&amp;$G$38,tblRota[Date],"&lt;"&amp;$G$38+7)+SUMIFS(tblRota[Night absent (people)],tblRota[Date],"&gt;="&amp;$G$38,tblRota[Date],"&lt;"&amp;$G$38+7)</f>
        <v>5</v>
      </c>
      <c r="J38" s="33">
        <f>SUMIFS(tblRota[Shifts short],tblRota[Date],"&gt;="&amp;$G$38,tblRota[Date],"&lt;"&amp;$G$38+7)</f>
        <v>2</v>
      </c>
      <c r="K38" s="33">
        <f>COUNTIFS(tblRota[Date],"&gt;="&amp;$G$38,tblRota[Date],"&lt;"&amp;$G$38+7,tblRota[Holiday],"Yes")</f>
        <v>0</v>
      </c>
    </row>
    <row r="39" spans="2:11">
      <c r="G39" s="55">
        <f>$G$38+7</f>
        <v>46307</v>
      </c>
      <c r="H39" s="33">
        <f>COUNTIFS(tblRota[Date],"&gt;="&amp;$G$39,tblRota[Date],"&lt;"&amp;$G$39+7)</f>
        <v>7</v>
      </c>
      <c r="I39" s="33">
        <f>SUMIFS(tblRota[Day absent (people)],tblRota[Date],"&gt;="&amp;$G$39,tblRota[Date],"&lt;"&amp;$G$39+7)+SUMIFS(tblRota[Night absent (people)],tblRota[Date],"&gt;="&amp;$G$39,tblRota[Date],"&lt;"&amp;$G$39+7)</f>
        <v>4</v>
      </c>
      <c r="J39" s="33">
        <f>SUMIFS(tblRota[Shifts short],tblRota[Date],"&gt;="&amp;$G$39,tblRota[Date],"&lt;"&amp;$G$39+7)</f>
        <v>0</v>
      </c>
      <c r="K39" s="33">
        <f>COUNTIFS(tblRota[Date],"&gt;="&amp;$G$39,tblRota[Date],"&lt;"&amp;$G$39+7,tblRota[Holiday],"Yes")</f>
        <v>0</v>
      </c>
    </row>
    <row r="40" spans="2:11">
      <c r="G40" s="55">
        <f>$G$39+7</f>
        <v>46314</v>
      </c>
      <c r="H40" s="33">
        <f>COUNTIFS(tblRota[Date],"&gt;="&amp;$G$40,tblRota[Date],"&lt;"&amp;$G$40+7)</f>
        <v>7</v>
      </c>
      <c r="I40" s="33">
        <f>SUMIFS(tblRota[Day absent (people)],tblRota[Date],"&gt;="&amp;$G$40,tblRota[Date],"&lt;"&amp;$G$40+7)+SUMIFS(tblRota[Night absent (people)],tblRota[Date],"&gt;="&amp;$G$40,tblRota[Date],"&lt;"&amp;$G$40+7)</f>
        <v>5</v>
      </c>
      <c r="J40" s="33">
        <f>SUMIFS(tblRota[Shifts short],tblRota[Date],"&gt;="&amp;$G$40,tblRota[Date],"&lt;"&amp;$G$40+7)</f>
        <v>2</v>
      </c>
      <c r="K40" s="33">
        <f>COUNTIFS(tblRota[Date],"&gt;="&amp;$G$40,tblRota[Date],"&lt;"&amp;$G$40+7,tblRota[Holiday],"Yes")</f>
        <v>0</v>
      </c>
    </row>
    <row r="41" spans="2:11">
      <c r="G41" s="55">
        <f>$G$40+7</f>
        <v>46321</v>
      </c>
      <c r="H41" s="33">
        <f>COUNTIFS(tblRota[Date],"&gt;="&amp;$G$41,tblRota[Date],"&lt;"&amp;$G$41+7)</f>
        <v>7</v>
      </c>
      <c r="I41" s="33">
        <f>SUMIFS(tblRota[Day absent (people)],tblRota[Date],"&gt;="&amp;$G$41,tblRota[Date],"&lt;"&amp;$G$41+7)+SUMIFS(tblRota[Night absent (people)],tblRota[Date],"&gt;="&amp;$G$41,tblRota[Date],"&lt;"&amp;$G$41+7)</f>
        <v>2</v>
      </c>
      <c r="J41" s="33">
        <f>SUMIFS(tblRota[Shifts short],tblRota[Date],"&gt;="&amp;$G$41,tblRota[Date],"&lt;"&amp;$G$41+7)</f>
        <v>0</v>
      </c>
      <c r="K41" s="33">
        <f>COUNTIFS(tblRota[Date],"&gt;="&amp;$G$41,tblRota[Date],"&lt;"&amp;$G$41+7,tblRota[Holiday],"Yes")</f>
        <v>0</v>
      </c>
    </row>
    <row r="42" spans="2:11">
      <c r="G42" s="55">
        <f>$G$41+7</f>
        <v>46328</v>
      </c>
      <c r="H42" s="33">
        <f>COUNTIFS(tblRota[Date],"&gt;="&amp;$G$42,tblRota[Date],"&lt;"&amp;$G$42+7)</f>
        <v>7</v>
      </c>
      <c r="I42" s="33">
        <f>SUMIFS(tblRota[Day absent (people)],tblRota[Date],"&gt;="&amp;$G$42,tblRota[Date],"&lt;"&amp;$G$42+7)+SUMIFS(tblRota[Night absent (people)],tblRota[Date],"&gt;="&amp;$G$42,tblRota[Date],"&lt;"&amp;$G$42+7)</f>
        <v>4</v>
      </c>
      <c r="J42" s="33">
        <f>SUMIFS(tblRota[Shifts short],tblRota[Date],"&gt;="&amp;$G$42,tblRota[Date],"&lt;"&amp;$G$42+7)</f>
        <v>2</v>
      </c>
      <c r="K42" s="33">
        <f>COUNTIFS(tblRota[Date],"&gt;="&amp;$G$42,tblRota[Date],"&lt;"&amp;$G$42+7,tblRota[Holiday],"Yes")</f>
        <v>0</v>
      </c>
    </row>
    <row r="43" spans="2:11">
      <c r="G43" s="55">
        <f>$G$42+7</f>
        <v>46335</v>
      </c>
      <c r="H43" s="33">
        <f>COUNTIFS(tblRota[Date],"&gt;="&amp;$G$43,tblRota[Date],"&lt;"&amp;$G$43+7)</f>
        <v>7</v>
      </c>
      <c r="I43" s="33">
        <f>SUMIFS(tblRota[Day absent (people)],tblRota[Date],"&gt;="&amp;$G$43,tblRota[Date],"&lt;"&amp;$G$43+7)+SUMIFS(tblRota[Night absent (people)],tblRota[Date],"&gt;="&amp;$G$43,tblRota[Date],"&lt;"&amp;$G$43+7)</f>
        <v>5</v>
      </c>
      <c r="J43" s="33">
        <f>SUMIFS(tblRota[Shifts short],tblRota[Date],"&gt;="&amp;$G$43,tblRota[Date],"&lt;"&amp;$G$43+7)</f>
        <v>2</v>
      </c>
      <c r="K43" s="33">
        <f>COUNTIFS(tblRota[Date],"&gt;="&amp;$G$43,tblRota[Date],"&lt;"&amp;$G$43+7,tblRota[Holiday],"Yes")</f>
        <v>0</v>
      </c>
    </row>
    <row r="44" spans="2:11">
      <c r="G44" s="55">
        <f>$G$43+7</f>
        <v>46342</v>
      </c>
      <c r="H44" s="33">
        <f>COUNTIFS(tblRota[Date],"&gt;="&amp;$G$44,tblRota[Date],"&lt;"&amp;$G$44+7)</f>
        <v>7</v>
      </c>
      <c r="I44" s="33">
        <f>SUMIFS(tblRota[Day absent (people)],tblRota[Date],"&gt;="&amp;$G$44,tblRota[Date],"&lt;"&amp;$G$44+7)+SUMIFS(tblRota[Night absent (people)],tblRota[Date],"&gt;="&amp;$G$44,tblRota[Date],"&lt;"&amp;$G$44+7)</f>
        <v>2</v>
      </c>
      <c r="J44" s="33">
        <f>SUMIFS(tblRota[Shifts short],tblRota[Date],"&gt;="&amp;$G$44,tblRota[Date],"&lt;"&amp;$G$44+7)</f>
        <v>1</v>
      </c>
      <c r="K44" s="33">
        <f>COUNTIFS(tblRota[Date],"&gt;="&amp;$G$44,tblRota[Date],"&lt;"&amp;$G$44+7,tblRota[Holiday],"Yes")</f>
        <v>0</v>
      </c>
    </row>
    <row r="45" spans="2:11">
      <c r="G45" s="55">
        <f>$G$44+7</f>
        <v>46349</v>
      </c>
      <c r="H45" s="33">
        <f>COUNTIFS(tblRota[Date],"&gt;="&amp;$G$45,tblRota[Date],"&lt;"&amp;$G$45+7)</f>
        <v>7</v>
      </c>
      <c r="I45" s="33">
        <f>SUMIFS(tblRota[Day absent (people)],tblRota[Date],"&gt;="&amp;$G$45,tblRota[Date],"&lt;"&amp;$G$45+7)+SUMIFS(tblRota[Night absent (people)],tblRota[Date],"&gt;="&amp;$G$45,tblRota[Date],"&lt;"&amp;$G$45+7)</f>
        <v>1</v>
      </c>
      <c r="J45" s="33">
        <f>SUMIFS(tblRota[Shifts short],tblRota[Date],"&gt;="&amp;$G$45,tblRota[Date],"&lt;"&amp;$G$45+7)</f>
        <v>0</v>
      </c>
      <c r="K45" s="33">
        <f>COUNTIFS(tblRota[Date],"&gt;="&amp;$G$45,tblRota[Date],"&lt;"&amp;$G$45+7,tblRota[Holiday],"Yes")</f>
        <v>0</v>
      </c>
    </row>
    <row r="46" spans="2:11">
      <c r="G46" s="55">
        <f>$G$45+7</f>
        <v>46356</v>
      </c>
      <c r="H46" s="33">
        <f>COUNTIFS(tblRota[Date],"&gt;="&amp;$G$46,tblRota[Date],"&lt;"&amp;$G$46+7)</f>
        <v>7</v>
      </c>
      <c r="I46" s="33">
        <f>SUMIFS(tblRota[Day absent (people)],tblRota[Date],"&gt;="&amp;$G$46,tblRota[Date],"&lt;"&amp;$G$46+7)+SUMIFS(tblRota[Night absent (people)],tblRota[Date],"&gt;="&amp;$G$46,tblRota[Date],"&lt;"&amp;$G$46+7)</f>
        <v>4</v>
      </c>
      <c r="J46" s="33">
        <f>SUMIFS(tblRota[Shifts short],tblRota[Date],"&gt;="&amp;$G$46,tblRota[Date],"&lt;"&amp;$G$46+7)</f>
        <v>1</v>
      </c>
      <c r="K46" s="33">
        <f>COUNTIFS(tblRota[Date],"&gt;="&amp;$G$46,tblRota[Date],"&lt;"&amp;$G$46+7,tblRota[Holiday],"Yes")</f>
        <v>0</v>
      </c>
    </row>
    <row r="47" spans="2:11">
      <c r="G47" s="55">
        <f>$G$46+7</f>
        <v>46363</v>
      </c>
      <c r="H47" s="33">
        <f>COUNTIFS(tblRota[Date],"&gt;="&amp;$G$47,tblRota[Date],"&lt;"&amp;$G$47+7)</f>
        <v>7</v>
      </c>
      <c r="I47" s="33">
        <f>SUMIFS(tblRota[Day absent (people)],tblRota[Date],"&gt;="&amp;$G$47,tblRota[Date],"&lt;"&amp;$G$47+7)+SUMIFS(tblRota[Night absent (people)],tblRota[Date],"&gt;="&amp;$G$47,tblRota[Date],"&lt;"&amp;$G$47+7)</f>
        <v>9</v>
      </c>
      <c r="J47" s="33">
        <f>SUMIFS(tblRota[Shifts short],tblRota[Date],"&gt;="&amp;$G$47,tblRota[Date],"&lt;"&amp;$G$47+7)</f>
        <v>2</v>
      </c>
      <c r="K47" s="33">
        <f>COUNTIFS(tblRota[Date],"&gt;="&amp;$G$47,tblRota[Date],"&lt;"&amp;$G$47+7,tblRota[Holiday],"Yes")</f>
        <v>0</v>
      </c>
    </row>
    <row r="48" spans="2:11">
      <c r="G48" s="55">
        <f>$G$47+7</f>
        <v>46370</v>
      </c>
      <c r="H48" s="33">
        <f>COUNTIFS(tblRota[Date],"&gt;="&amp;$G$48,tblRota[Date],"&lt;"&amp;$G$48+7)</f>
        <v>7</v>
      </c>
      <c r="I48" s="33">
        <f>SUMIFS(tblRota[Day absent (people)],tblRota[Date],"&gt;="&amp;$G$48,tblRota[Date],"&lt;"&amp;$G$48+7)+SUMIFS(tblRota[Night absent (people)],tblRota[Date],"&gt;="&amp;$G$48,tblRota[Date],"&lt;"&amp;$G$48+7)</f>
        <v>6</v>
      </c>
      <c r="J48" s="33">
        <f>SUMIFS(tblRota[Shifts short],tblRota[Date],"&gt;="&amp;$G$48,tblRota[Date],"&lt;"&amp;$G$48+7)</f>
        <v>3</v>
      </c>
      <c r="K48" s="33">
        <f>COUNTIFS(tblRota[Date],"&gt;="&amp;$G$48,tblRota[Date],"&lt;"&amp;$G$48+7,tblRota[Holiday],"Yes")</f>
        <v>0</v>
      </c>
    </row>
    <row r="49" spans="2:12">
      <c r="G49" s="55">
        <f>$G$48+7</f>
        <v>46377</v>
      </c>
      <c r="H49" s="33">
        <f>COUNTIFS(tblRota[Date],"&gt;="&amp;$G$49,tblRota[Date],"&lt;"&amp;$G$49+7)</f>
        <v>7</v>
      </c>
      <c r="I49" s="33">
        <f>SUMIFS(tblRota[Day absent (people)],tblRota[Date],"&gt;="&amp;$G$49,tblRota[Date],"&lt;"&amp;$G$49+7)+SUMIFS(tblRota[Night absent (people)],tblRota[Date],"&gt;="&amp;$G$49,tblRota[Date],"&lt;"&amp;$G$49+7)</f>
        <v>7</v>
      </c>
      <c r="J49" s="33">
        <f>SUMIFS(tblRota[Shifts short],tblRota[Date],"&gt;="&amp;$G$49,tblRota[Date],"&lt;"&amp;$G$49+7)</f>
        <v>3</v>
      </c>
      <c r="K49" s="33">
        <f>COUNTIFS(tblRota[Date],"&gt;="&amp;$G$49,tblRota[Date],"&lt;"&amp;$G$49+7,tblRota[Holiday],"Yes")</f>
        <v>2</v>
      </c>
    </row>
    <row r="51" spans="2:12" ht="8" customHeight="1"/>
    <row r="52" spans="2:12" ht="26.76" customHeight="1">
      <c r="B52" s="21" t="s">
        <v>161</v>
      </c>
      <c r="C52" s="21"/>
      <c r="D52" s="21"/>
      <c r="E52" s="21"/>
      <c r="F52" s="21"/>
      <c r="G52" s="21"/>
      <c r="H52" s="21"/>
      <c r="I52" s="21"/>
      <c r="J52" s="21"/>
      <c r="K52" s="21"/>
      <c r="L52" s="21"/>
    </row>
    <row r="53" spans="2:12">
      <c r="B53" s="56">
        <f>IF(COUNT(tblRota[Date])&gt;84,"The Rota has more than 84 days: the by-week block shows the first 12 weeks only.","")</f>
        <v/>
      </c>
      <c r="C53" s="56"/>
      <c r="D53" s="56"/>
      <c r="E53" s="56"/>
      <c r="F53" s="56"/>
      <c r="G53" s="56"/>
      <c r="H53" s="56"/>
      <c r="I53" s="56"/>
      <c r="J53" s="56"/>
      <c r="K53" s="56"/>
      <c r="L53" s="56"/>
    </row>
  </sheetData>
  <sheetProtection sheet="1" formatColumns="0" formatRows="0"/>
  <mergeCells count="24">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9:K29"/>
    <mergeCell ref="G36:K36"/>
    <mergeCell ref="B52:L52"/>
    <mergeCell ref="B53:L53"/>
  </mergeCells>
  <conditionalFormatting sqref="B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0">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- 4-Crew Shift Rotation Schedule&amp;R&amp;8&amp;A</oddHeader>
    <oddFooter>&amp;L&amp;8mfgcalcs.com - free manufacturing templates&amp;R&amp;8Page &amp;P of &amp;N</oddFooter>
  </headerFooter>
  <rowBreaks count="1" manualBreakCount="1">
    <brk id="28"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162</v>
      </c>
      <c r="C4" s="8"/>
      <c r="D4" s="8"/>
    </row>
    <row r="5" spans="1:4" ht="5" customHeight="1"/>
    <row r="6" spans="1:4" ht="55.8" customHeight="1">
      <c r="B6" s="10" t="s">
        <v>163</v>
      </c>
      <c r="C6" s="10"/>
      <c r="D6" s="10"/>
    </row>
    <row r="8" spans="1:4" ht="21" customHeight="1">
      <c r="B8" s="8" t="s">
        <v>164</v>
      </c>
      <c r="C8" s="8"/>
      <c r="D8" s="8"/>
    </row>
    <row r="9" spans="1:4" ht="5" customHeight="1"/>
    <row r="10" spans="1:4" ht="20" customHeight="1">
      <c r="B10" s="51" t="s">
        <v>165</v>
      </c>
      <c r="C10" s="51" t="s">
        <v>166</v>
      </c>
      <c r="D10" s="36" t="s">
        <v>167</v>
      </c>
    </row>
    <row r="11" spans="1:4" ht="30.4" customHeight="1">
      <c r="B11" s="57" t="s">
        <v>67</v>
      </c>
      <c r="C11" s="58" t="s">
        <v>168</v>
      </c>
      <c r="D11" s="59" t="s">
        <v>169</v>
      </c>
    </row>
    <row r="12" spans="1:4" ht="30.4" customHeight="1">
      <c r="B12" s="57" t="s">
        <v>170</v>
      </c>
      <c r="C12" s="58" t="s">
        <v>171</v>
      </c>
      <c r="D12" s="59" t="s">
        <v>172</v>
      </c>
    </row>
    <row r="13" spans="1:4" ht="30.4" customHeight="1">
      <c r="B13" s="57" t="s">
        <v>173</v>
      </c>
      <c r="C13" s="58" t="s">
        <v>174</v>
      </c>
      <c r="D13" s="59" t="s">
        <v>175</v>
      </c>
    </row>
    <row r="14" spans="1:4" ht="17.2" customHeight="1">
      <c r="B14" s="57" t="s">
        <v>176</v>
      </c>
      <c r="C14" s="58" t="s">
        <v>177</v>
      </c>
      <c r="D14" s="59" t="s">
        <v>79</v>
      </c>
    </row>
    <row r="15" spans="1:4" ht="17.2" customHeight="1">
      <c r="B15" s="57" t="s">
        <v>178</v>
      </c>
      <c r="C15" s="58" t="s">
        <v>179</v>
      </c>
      <c r="D15" s="59" t="s">
        <v>79</v>
      </c>
    </row>
    <row r="16" spans="1:4" ht="30.4" customHeight="1">
      <c r="B16" s="57" t="s">
        <v>127</v>
      </c>
      <c r="C16" s="58" t="s">
        <v>180</v>
      </c>
      <c r="D16" s="59" t="s">
        <v>181</v>
      </c>
    </row>
    <row r="17" spans="2:4" ht="30.4" customHeight="1">
      <c r="B17" s="57" t="s">
        <v>128</v>
      </c>
      <c r="C17" s="58" t="s">
        <v>182</v>
      </c>
      <c r="D17" s="59" t="s">
        <v>183</v>
      </c>
    </row>
    <row r="18" spans="2:4" ht="30.4" customHeight="1">
      <c r="B18" s="57" t="s">
        <v>129</v>
      </c>
      <c r="C18" s="58" t="s">
        <v>184</v>
      </c>
      <c r="D18" s="59" t="s">
        <v>185</v>
      </c>
    </row>
    <row r="19" spans="2:4" ht="17.2" customHeight="1">
      <c r="B19" s="57" t="s">
        <v>186</v>
      </c>
      <c r="C19" s="58" t="s">
        <v>187</v>
      </c>
      <c r="D19" s="59" t="s">
        <v>185</v>
      </c>
    </row>
    <row r="20" spans="2:4" ht="30.4" customHeight="1">
      <c r="B20" s="57" t="s">
        <v>188</v>
      </c>
      <c r="C20" s="58" t="s">
        <v>189</v>
      </c>
      <c r="D20" s="59" t="s">
        <v>89</v>
      </c>
    </row>
    <row r="21" spans="2:4" ht="30.4" customHeight="1">
      <c r="B21" s="57" t="s">
        <v>190</v>
      </c>
      <c r="C21" s="58" t="s">
        <v>191</v>
      </c>
      <c r="D21" s="59" t="s">
        <v>82</v>
      </c>
    </row>
    <row r="22" spans="2:4" ht="17.2" customHeight="1">
      <c r="B22" s="57" t="s">
        <v>192</v>
      </c>
      <c r="C22" s="58" t="s">
        <v>193</v>
      </c>
      <c r="D22" s="59" t="s">
        <v>82</v>
      </c>
    </row>
    <row r="23" spans="2:4" ht="17.2" customHeight="1">
      <c r="B23" s="57" t="s">
        <v>194</v>
      </c>
      <c r="C23" s="58" t="s">
        <v>195</v>
      </c>
      <c r="D23" s="59" t="s">
        <v>185</v>
      </c>
    </row>
    <row r="25" spans="2:4" ht="21" customHeight="1">
      <c r="B25" s="8" t="s">
        <v>196</v>
      </c>
      <c r="C25" s="8"/>
      <c r="D25" s="8"/>
    </row>
    <row r="26" spans="2:4" ht="5" customHeight="1"/>
    <row r="27" spans="2:4" ht="29.4" customHeight="1">
      <c r="B27" s="26" t="s">
        <v>53</v>
      </c>
      <c r="C27" s="10" t="s">
        <v>197</v>
      </c>
      <c r="D27" s="10"/>
    </row>
    <row r="28" spans="2:4" ht="29.4" customHeight="1">
      <c r="B28" s="26" t="s">
        <v>53</v>
      </c>
      <c r="C28" s="10" t="s">
        <v>198</v>
      </c>
      <c r="D28" s="10"/>
    </row>
    <row r="29" spans="2:4" ht="16.2" customHeight="1">
      <c r="B29" s="26" t="s">
        <v>53</v>
      </c>
      <c r="C29" s="10" t="s">
        <v>199</v>
      </c>
      <c r="D29" s="10"/>
    </row>
    <row r="31" spans="2:4" ht="21" customHeight="1">
      <c r="B31" s="8" t="s">
        <v>200</v>
      </c>
      <c r="C31" s="8"/>
      <c r="D31" s="8"/>
    </row>
    <row r="32" spans="2:4" ht="5" customHeight="1"/>
    <row r="33" spans="2:4" ht="29.4" customHeight="1">
      <c r="B33" s="26" t="s">
        <v>53</v>
      </c>
      <c r="C33" s="10" t="s">
        <v>201</v>
      </c>
      <c r="D33" s="10"/>
    </row>
    <row r="34" spans="2:4" ht="42.6" customHeight="1">
      <c r="B34" s="26" t="s">
        <v>53</v>
      </c>
      <c r="C34" s="10" t="s">
        <v>202</v>
      </c>
      <c r="D34" s="10"/>
    </row>
    <row r="35" spans="2:4" ht="29.4" customHeight="1">
      <c r="B35" s="26" t="s">
        <v>53</v>
      </c>
      <c r="C35" s="10" t="s">
        <v>203</v>
      </c>
      <c r="D35" s="10"/>
    </row>
    <row r="36" spans="2:4" ht="29.4" customHeight="1">
      <c r="B36" s="26" t="s">
        <v>53</v>
      </c>
      <c r="C36" s="10" t="s">
        <v>204</v>
      </c>
      <c r="D36" s="10"/>
    </row>
    <row r="38" spans="2:4" ht="21" customHeight="1">
      <c r="B38" s="8" t="s">
        <v>205</v>
      </c>
      <c r="C38" s="8"/>
      <c r="D38" s="8"/>
    </row>
    <row r="39" spans="2:4" ht="5" customHeight="1"/>
    <row r="40" spans="2:4" ht="55.8" customHeight="1">
      <c r="B40" s="10" t="s">
        <v>206</v>
      </c>
      <c r="C40" s="10"/>
      <c r="D40" s="10"/>
    </row>
    <row r="41" spans="2:4">
      <c r="B41" s="24" t="s">
        <v>207</v>
      </c>
      <c r="C41" s="24"/>
      <c r="D41" s="24"/>
    </row>
    <row r="43" spans="2:4" ht="21" customHeight="1">
      <c r="B43" s="8" t="s">
        <v>40</v>
      </c>
      <c r="C43" s="8"/>
      <c r="D43" s="8"/>
    </row>
    <row r="44" spans="2:4" ht="5" customHeight="1"/>
    <row r="45" spans="2:4" ht="42.6" customHeight="1">
      <c r="B45" s="10" t="s">
        <v>208</v>
      </c>
      <c r="C45" s="10"/>
      <c r="D45" s="10"/>
    </row>
    <row r="47" spans="2:4" ht="21" customHeight="1">
      <c r="B47" s="8" t="s">
        <v>209</v>
      </c>
      <c r="C47" s="8"/>
      <c r="D47" s="8"/>
    </row>
    <row r="48" spans="2:4" ht="5" customHeight="1"/>
    <row r="49" spans="2:4" ht="29.4" customHeight="1">
      <c r="B49" s="26" t="s">
        <v>53</v>
      </c>
      <c r="C49" s="10" t="s">
        <v>210</v>
      </c>
      <c r="D49" s="10"/>
    </row>
    <row r="50" spans="2:4" ht="29.4" customHeight="1">
      <c r="B50" s="26" t="s">
        <v>53</v>
      </c>
      <c r="C50" s="10" t="s">
        <v>211</v>
      </c>
      <c r="D50" s="10"/>
    </row>
    <row r="51" spans="2:4" ht="16.2" customHeight="1">
      <c r="B51" s="26" t="s">
        <v>53</v>
      </c>
      <c r="C51" s="10" t="s">
        <v>212</v>
      </c>
      <c r="D51" s="10"/>
    </row>
    <row r="52" spans="2:4">
      <c r="B52" s="21" t="s">
        <v>213</v>
      </c>
      <c r="C52" s="21"/>
      <c r="D52" s="21"/>
    </row>
    <row r="54" spans="2:4" ht="21" customHeight="1">
      <c r="B54" s="8" t="s">
        <v>214</v>
      </c>
      <c r="C54" s="8"/>
      <c r="D54" s="8"/>
    </row>
    <row r="55" spans="2:4" ht="5" customHeight="1"/>
    <row r="56" spans="2:4">
      <c r="B56" s="51" t="s">
        <v>48</v>
      </c>
      <c r="C56" s="51" t="s">
        <v>215</v>
      </c>
      <c r="D56" s="36" t="s">
        <v>112</v>
      </c>
    </row>
    <row r="57" spans="2:4" ht="16.2" customHeight="1">
      <c r="B57" s="60" t="s">
        <v>216</v>
      </c>
      <c r="C57" s="61" t="s">
        <v>217</v>
      </c>
      <c r="D57" s="62" t="s">
        <v>218</v>
      </c>
    </row>
    <row r="59" spans="2:4">
      <c r="B59" s="21" t="s">
        <v>59</v>
      </c>
      <c r="C59" s="21"/>
      <c r="D59" s="21"/>
    </row>
  </sheetData>
  <sheetProtection sheet="1" formatColumns="0" formatRows="0"/>
  <mergeCells count="26">
    <mergeCell ref="A1:D1"/>
    <mergeCell ref="B2:C2"/>
    <mergeCell ref="B4:D4"/>
    <mergeCell ref="B6:D6"/>
    <mergeCell ref="B8:D8"/>
    <mergeCell ref="B25:D25"/>
    <mergeCell ref="C27:D27"/>
    <mergeCell ref="C28:D28"/>
    <mergeCell ref="C29:D29"/>
    <mergeCell ref="B31:D31"/>
    <mergeCell ref="C33:D33"/>
    <mergeCell ref="C34:D34"/>
    <mergeCell ref="C35:D35"/>
    <mergeCell ref="C36:D36"/>
    <mergeCell ref="B38:D38"/>
    <mergeCell ref="B40:D40"/>
    <mergeCell ref="B41:D41"/>
    <mergeCell ref="B43:D43"/>
    <mergeCell ref="B45:D45"/>
    <mergeCell ref="B47:D47"/>
    <mergeCell ref="C49:D49"/>
    <mergeCell ref="C50:D50"/>
    <mergeCell ref="C51:D51"/>
    <mergeCell ref="B52:D52"/>
    <mergeCell ref="B54:D54"/>
    <mergeCell ref="B59:D59"/>
  </mergeCells>
  <hyperlinks>
    <hyperlink ref="D2" r:id="rId1" tooltip="Free manufacturing calculators and templates"/>
    <hyperlink ref="B41" r:id="rId2"/>
  </hyperlinks>
  <printOptions horizontalCentered="1"/>
  <pageMargins left="0.4" right="0.4" top="0.7" bottom="0.65" header="0.3" footer="0.3"/>
  <pageSetup fitToHeight="0" orientation="portrait"/>
  <headerFooter>
    <oddHeader>&amp;L&amp;8MFG Calcs - 4-Crew Shift Rotation Schedule&amp;R&amp;8&amp;A</oddHeader>
    <oddFooter>&amp;L&amp;8mfgcalcs.com - free manufacturing templates&amp;R&amp;8Page &amp;P of &amp;N</oddFooter>
  </headerFooter>
  <rowBreaks count="1" manualBreakCount="1">
    <brk id="29"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W116"/>
  <sheetViews>
    <sheetView showGridLines="0" workbookViewId="0"/>
  </sheetViews>
  <sheetFormatPr defaultRowHeight="15"/>
  <cols>
    <col min="1" max="1" width="2.7109375" customWidth="1"/>
    <col min="2" max="19" width="12.7109375" customWidth="1"/>
    <col min="20" max="20" width="8.28515625" customWidth="1"/>
    <col min="21" max="21" width="8.7109375" customWidth="1"/>
    <col min="22" max="22" width="20.7109375" customWidth="1"/>
    <col min="23" max="23" width="22.7109375" customWidth="1"/>
  </cols>
  <sheetData>
    <row r="1" spans="1:23" ht="30" customHeight="1">
      <c r="A1" s="1" t="s">
        <v>0</v>
      </c>
      <c r="B1" s="1"/>
      <c r="C1" s="1"/>
      <c r="D1" s="1"/>
      <c r="E1" s="1"/>
      <c r="F1" s="1"/>
      <c r="G1" s="1"/>
      <c r="H1" s="1"/>
      <c r="I1" s="1"/>
      <c r="J1" s="1"/>
      <c r="K1" s="1"/>
      <c r="L1" s="1"/>
      <c r="M1" s="1"/>
      <c r="N1" s="1"/>
      <c r="O1" s="1"/>
      <c r="P1" s="1"/>
      <c r="Q1" s="1"/>
      <c r="R1" s="1"/>
      <c r="S1" s="1"/>
      <c r="T1" s="1"/>
      <c r="U1" s="1"/>
      <c r="V1" s="1"/>
      <c r="W1" s="1"/>
    </row>
    <row r="2" spans="1:23" ht="21" customHeight="1">
      <c r="B2" s="2" t="s">
        <v>26</v>
      </c>
      <c r="C2" s="2"/>
      <c r="D2" s="2"/>
      <c r="E2" s="2"/>
      <c r="F2" s="2"/>
      <c r="G2" s="2"/>
      <c r="H2" s="2"/>
      <c r="I2" s="2"/>
      <c r="J2" s="2"/>
      <c r="K2" s="2"/>
      <c r="L2" s="2"/>
      <c r="M2" s="2"/>
      <c r="N2" s="2"/>
      <c r="O2" s="2"/>
      <c r="P2" s="2"/>
      <c r="Q2" s="2"/>
      <c r="R2" s="2"/>
      <c r="S2" s="2"/>
      <c r="T2" s="2"/>
      <c r="U2" s="2"/>
      <c r="V2" s="2"/>
      <c r="W2" s="3" t="s">
        <v>2</v>
      </c>
    </row>
    <row r="3" spans="1:23" ht="6" customHeight="1"/>
    <row r="4" spans="1:23" ht="30" customHeight="1">
      <c r="B4" s="63" t="s">
        <v>219</v>
      </c>
      <c r="C4" s="63"/>
      <c r="D4" s="22" t="str">
        <f>IF(COUNTIF($K$11:$K$41,"PASS")=31,"PASS","FAIL")</f>
        <v>PASS</v>
      </c>
      <c r="E4" s="22"/>
      <c r="F4" s="23" t="str">
        <f>COUNTIF($K$11:$K$41,"PASS")&amp;" of 31 checks pass"</f>
        <v>31 of 31 checks pass</v>
      </c>
      <c r="G4" s="23"/>
      <c r="H4" s="23"/>
      <c r="I4" s="23"/>
      <c r="J4" s="23"/>
    </row>
    <row r="6" spans="1:23" ht="29.4" customHeight="1">
      <c r="B6" s="10" t="s">
        <v>220</v>
      </c>
      <c r="C6" s="10"/>
      <c r="D6" s="10"/>
      <c r="E6" s="10"/>
      <c r="F6" s="10"/>
      <c r="G6" s="10"/>
      <c r="H6" s="10"/>
      <c r="I6" s="10"/>
      <c r="J6" s="10"/>
      <c r="K6" s="10"/>
      <c r="L6" s="10"/>
    </row>
    <row r="8" spans="1:23" ht="21" customHeight="1">
      <c r="B8" s="8" t="s">
        <v>221</v>
      </c>
      <c r="C8" s="8"/>
      <c r="D8" s="8"/>
      <c r="E8" s="8"/>
      <c r="F8" s="8"/>
      <c r="G8" s="8"/>
      <c r="H8" s="8"/>
      <c r="I8" s="8"/>
      <c r="J8" s="8"/>
      <c r="K8" s="8"/>
      <c r="L8" s="8"/>
    </row>
    <row r="9" spans="1:23" ht="5" customHeight="1"/>
    <row r="10" spans="1:23" ht="30" customHeight="1">
      <c r="B10" s="36" t="s">
        <v>222</v>
      </c>
      <c r="C10" s="51" t="s">
        <v>131</v>
      </c>
      <c r="D10" s="51"/>
      <c r="E10" s="51"/>
      <c r="F10" s="51"/>
      <c r="G10" s="36" t="s">
        <v>223</v>
      </c>
      <c r="H10" s="36" t="s">
        <v>224</v>
      </c>
      <c r="I10" s="36" t="s">
        <v>225</v>
      </c>
      <c r="J10" s="36" t="s">
        <v>226</v>
      </c>
      <c r="K10" s="36" t="s">
        <v>227</v>
      </c>
    </row>
    <row r="11" spans="1:23" ht="16.2" customHeight="1">
      <c r="B11" s="64">
        <v>1</v>
      </c>
      <c r="C11" s="61" t="s">
        <v>228</v>
      </c>
      <c r="D11" s="61"/>
      <c r="E11" s="61"/>
      <c r="F11" s="61"/>
      <c r="G11" s="60" t="s">
        <v>99</v>
      </c>
      <c r="H11" s="65" t="str">
        <f>$G$96</f>
        <v>D</v>
      </c>
      <c r="I11" s="65"/>
      <c r="J11" s="62" t="s">
        <v>229</v>
      </c>
      <c r="K11" s="38" t="str">
        <f>IF($H$11&amp;""=$G$11&amp;"","PASS","FAIL")</f>
        <v>PASS</v>
      </c>
    </row>
    <row r="12" spans="1:23" ht="16.2" customHeight="1">
      <c r="B12" s="64">
        <v>2</v>
      </c>
      <c r="C12" s="61" t="s">
        <v>230</v>
      </c>
      <c r="D12" s="61"/>
      <c r="E12" s="61"/>
      <c r="F12" s="61"/>
      <c r="G12" s="60" t="s">
        <v>95</v>
      </c>
      <c r="H12" s="65" t="str">
        <f>$J$96</f>
        <v>B</v>
      </c>
      <c r="I12" s="65"/>
      <c r="J12" s="62" t="s">
        <v>229</v>
      </c>
      <c r="K12" s="38" t="str">
        <f>IF($H$12&amp;""=$G$12&amp;"","PASS","FAIL")</f>
        <v>PASS</v>
      </c>
    </row>
    <row r="13" spans="1:23" ht="16.2" customHeight="1">
      <c r="B13" s="64">
        <v>3</v>
      </c>
      <c r="C13" s="61" t="s">
        <v>231</v>
      </c>
      <c r="D13" s="61"/>
      <c r="E13" s="61"/>
      <c r="F13" s="61"/>
      <c r="G13" s="60" t="s">
        <v>93</v>
      </c>
      <c r="H13" s="65" t="str">
        <f>$K$96</f>
        <v>A</v>
      </c>
      <c r="I13" s="65"/>
      <c r="J13" s="62" t="s">
        <v>229</v>
      </c>
      <c r="K13" s="38" t="str">
        <f>IF($H$13&amp;""=$G$13&amp;"","PASS","FAIL")</f>
        <v>PASS</v>
      </c>
    </row>
    <row r="14" spans="1:23" ht="16.2" customHeight="1">
      <c r="B14" s="64">
        <v>4</v>
      </c>
      <c r="C14" s="61" t="s">
        <v>232</v>
      </c>
      <c r="D14" s="61"/>
      <c r="E14" s="61"/>
      <c r="F14" s="61"/>
      <c r="G14" s="66">
        <v>1</v>
      </c>
      <c r="H14" s="67">
        <f>$R$96</f>
        <v>1</v>
      </c>
      <c r="I14" s="68">
        <f>IF(AND(ISNUMBER($G$14),ISNUMBER($H$14)),ABS($H$14-$G$14),"")</f>
        <v>0</v>
      </c>
      <c r="J14" s="69">
        <v>1E-09</v>
      </c>
      <c r="K14" s="38" t="str">
        <f>IF(AND(ISNUMBER($G$14),ISNUMBER($H$14)),IF(ABS($H$14-$G$14)&lt;=$J$14,"PASS","FAIL"),"FAIL")</f>
        <v>PASS</v>
      </c>
    </row>
    <row r="15" spans="1:23" ht="16.2" customHeight="1">
      <c r="B15" s="64">
        <v>5</v>
      </c>
      <c r="C15" s="61" t="s">
        <v>233</v>
      </c>
      <c r="D15" s="61"/>
      <c r="E15" s="61"/>
      <c r="F15" s="61"/>
      <c r="G15" s="60" t="s">
        <v>234</v>
      </c>
      <c r="H15" s="65" t="str">
        <f>$S$96</f>
        <v>On target</v>
      </c>
      <c r="I15" s="65"/>
      <c r="J15" s="62" t="s">
        <v>229</v>
      </c>
      <c r="K15" s="38" t="str">
        <f>IF($H$15&amp;""=$G$15&amp;"","PASS","FAIL")</f>
        <v>PASS</v>
      </c>
    </row>
    <row r="16" spans="1:23" ht="16.2" customHeight="1">
      <c r="B16" s="64">
        <v>6</v>
      </c>
      <c r="C16" s="61" t="s">
        <v>235</v>
      </c>
      <c r="D16" s="61"/>
      <c r="E16" s="61"/>
      <c r="F16" s="61"/>
      <c r="G16" s="60" t="s">
        <v>111</v>
      </c>
      <c r="H16" s="65" t="str">
        <f>$G$99</f>
        <v>O</v>
      </c>
      <c r="I16" s="65"/>
      <c r="J16" s="62" t="s">
        <v>229</v>
      </c>
      <c r="K16" s="38" t="str">
        <f>IF($H$16&amp;""=$G$16&amp;"","PASS","FAIL")</f>
        <v>PASS</v>
      </c>
    </row>
    <row r="17" spans="2:11" ht="16.2" customHeight="1">
      <c r="B17" s="64">
        <v>7</v>
      </c>
      <c r="C17" s="61" t="s">
        <v>236</v>
      </c>
      <c r="D17" s="61"/>
      <c r="E17" s="61"/>
      <c r="F17" s="61"/>
      <c r="G17" s="60" t="s">
        <v>97</v>
      </c>
      <c r="H17" s="65" t="str">
        <f>$J$99</f>
        <v>C</v>
      </c>
      <c r="I17" s="65"/>
      <c r="J17" s="62" t="s">
        <v>229</v>
      </c>
      <c r="K17" s="38" t="str">
        <f>IF($H$17&amp;""=$G$17&amp;"","PASS","FAIL")</f>
        <v>PASS</v>
      </c>
    </row>
    <row r="18" spans="2:11" ht="16.2" customHeight="1">
      <c r="B18" s="64">
        <v>8</v>
      </c>
      <c r="C18" s="61" t="s">
        <v>237</v>
      </c>
      <c r="D18" s="61"/>
      <c r="E18" s="61"/>
      <c r="F18" s="61"/>
      <c r="G18" s="60" t="s">
        <v>93</v>
      </c>
      <c r="H18" s="65" t="str">
        <f>$K$99</f>
        <v>A</v>
      </c>
      <c r="I18" s="65"/>
      <c r="J18" s="62" t="s">
        <v>229</v>
      </c>
      <c r="K18" s="38" t="str">
        <f>IF($H$18&amp;""=$G$18&amp;"","PASS","FAIL")</f>
        <v>PASS</v>
      </c>
    </row>
    <row r="19" spans="2:11" ht="16.2" customHeight="1">
      <c r="B19" s="64">
        <v>9</v>
      </c>
      <c r="C19" s="61" t="s">
        <v>238</v>
      </c>
      <c r="D19" s="61"/>
      <c r="E19" s="61"/>
      <c r="F19" s="61"/>
      <c r="G19" s="66">
        <v>0.9</v>
      </c>
      <c r="H19" s="67">
        <f>$R$99</f>
        <v>0.9</v>
      </c>
      <c r="I19" s="68">
        <f>IF(AND(ISNUMBER($G$19),ISNUMBER($H$19)),ABS($H$19-$G$19),"")</f>
        <v>0</v>
      </c>
      <c r="J19" s="69">
        <v>1E-09</v>
      </c>
      <c r="K19" s="38" t="str">
        <f>IF(AND(ISNUMBER($G$19),ISNUMBER($H$19)),IF(ABS($H$19-$G$19)&lt;=$J$19,"PASS","FAIL"),"FAIL")</f>
        <v>PASS</v>
      </c>
    </row>
    <row r="20" spans="2:11" ht="16.2" customHeight="1">
      <c r="B20" s="64">
        <v>10</v>
      </c>
      <c r="C20" s="61" t="s">
        <v>239</v>
      </c>
      <c r="D20" s="61"/>
      <c r="E20" s="61"/>
      <c r="F20" s="61"/>
      <c r="G20" s="60" t="s">
        <v>240</v>
      </c>
      <c r="H20" s="65" t="str">
        <f>$S$99</f>
        <v>Below target</v>
      </c>
      <c r="I20" s="65"/>
      <c r="J20" s="62" t="s">
        <v>229</v>
      </c>
      <c r="K20" s="38" t="str">
        <f>IF($H$20&amp;""=$G$20&amp;"","PASS","FAIL")</f>
        <v>PASS</v>
      </c>
    </row>
    <row r="21" spans="2:11" ht="16.2" customHeight="1">
      <c r="B21" s="64">
        <v>11</v>
      </c>
      <c r="C21" s="61" t="s">
        <v>241</v>
      </c>
      <c r="D21" s="61"/>
      <c r="E21" s="61"/>
      <c r="F21" s="61"/>
      <c r="G21" s="60" t="s">
        <v>99</v>
      </c>
      <c r="H21" s="65" t="str">
        <f>$G$106</f>
        <v>D</v>
      </c>
      <c r="I21" s="65"/>
      <c r="J21" s="62" t="s">
        <v>229</v>
      </c>
      <c r="K21" s="38" t="str">
        <f>IF($H$21&amp;""=$G$21&amp;"","PASS","FAIL")</f>
        <v>PASS</v>
      </c>
    </row>
    <row r="22" spans="2:11" ht="16.2" customHeight="1">
      <c r="B22" s="64">
        <v>12</v>
      </c>
      <c r="C22" s="61" t="s">
        <v>242</v>
      </c>
      <c r="D22" s="61"/>
      <c r="E22" s="61"/>
      <c r="F22" s="61"/>
      <c r="G22" s="60" t="s">
        <v>95</v>
      </c>
      <c r="H22" s="65" t="str">
        <f>$J$106</f>
        <v>B</v>
      </c>
      <c r="I22" s="65"/>
      <c r="J22" s="62" t="s">
        <v>229</v>
      </c>
      <c r="K22" s="38" t="str">
        <f>IF($H$22&amp;""=$G$22&amp;"","PASS","FAIL")</f>
        <v>PASS</v>
      </c>
    </row>
    <row r="23" spans="2:11" ht="16.2" customHeight="1">
      <c r="B23" s="64">
        <v>13</v>
      </c>
      <c r="C23" s="61" t="s">
        <v>243</v>
      </c>
      <c r="D23" s="61"/>
      <c r="E23" s="61"/>
      <c r="F23" s="61"/>
      <c r="G23" s="60" t="s">
        <v>99</v>
      </c>
      <c r="H23" s="65" t="str">
        <f>$K$106</f>
        <v>D</v>
      </c>
      <c r="I23" s="65"/>
      <c r="J23" s="62" t="s">
        <v>229</v>
      </c>
      <c r="K23" s="38" t="str">
        <f>IF($H$23&amp;""=$G$23&amp;"","PASS","FAIL")</f>
        <v>PASS</v>
      </c>
    </row>
    <row r="24" spans="2:11" ht="16.2" customHeight="1">
      <c r="B24" s="64">
        <v>14</v>
      </c>
      <c r="C24" s="61" t="s">
        <v>244</v>
      </c>
      <c r="D24" s="61"/>
      <c r="E24" s="61"/>
      <c r="F24" s="61"/>
      <c r="G24" s="66">
        <v>0.9</v>
      </c>
      <c r="H24" s="67">
        <f>$R$106</f>
        <v>0.9</v>
      </c>
      <c r="I24" s="68">
        <f>IF(AND(ISNUMBER($G$24),ISNUMBER($H$24)),ABS($H$24-$G$24),"")</f>
        <v>0</v>
      </c>
      <c r="J24" s="69">
        <v>1E-09</v>
      </c>
      <c r="K24" s="38" t="str">
        <f>IF(AND(ISNUMBER($G$24),ISNUMBER($H$24)),IF(ABS($H$24-$G$24)&lt;=$J$24,"PASS","FAIL"),"FAIL")</f>
        <v>PASS</v>
      </c>
    </row>
    <row r="25" spans="2:11" ht="16.2" customHeight="1">
      <c r="B25" s="64">
        <v>15</v>
      </c>
      <c r="C25" s="61" t="s">
        <v>245</v>
      </c>
      <c r="D25" s="61"/>
      <c r="E25" s="61"/>
      <c r="F25" s="61"/>
      <c r="G25" s="60" t="s">
        <v>240</v>
      </c>
      <c r="H25" s="65" t="str">
        <f>$S$106</f>
        <v>Below target</v>
      </c>
      <c r="I25" s="65"/>
      <c r="J25" s="62" t="s">
        <v>229</v>
      </c>
      <c r="K25" s="38" t="str">
        <f>IF($H$25&amp;""=$G$25&amp;"","PASS","FAIL")</f>
        <v>PASS</v>
      </c>
    </row>
    <row r="26" spans="2:11" ht="16.2" customHeight="1">
      <c r="B26" s="64">
        <v>16</v>
      </c>
      <c r="C26" s="61" t="s">
        <v>246</v>
      </c>
      <c r="D26" s="61"/>
      <c r="E26" s="61"/>
      <c r="F26" s="61"/>
      <c r="G26" s="70">
        <v>1</v>
      </c>
      <c r="H26" s="33">
        <f>$T$98</f>
        <v>1</v>
      </c>
      <c r="I26" s="68">
        <f>IF(AND(ISNUMBER($G$26),ISNUMBER($H$26)),ABS($H$26-$G$26),"")</f>
        <v>0</v>
      </c>
      <c r="J26" s="69">
        <v>1E-09</v>
      </c>
      <c r="K26" s="38" t="str">
        <f>IF(AND(ISNUMBER($G$26),ISNUMBER($H$26)),IF(ABS($H$26-$G$26)&lt;=$J$26,"PASS","FAIL"),"FAIL")</f>
        <v>PASS</v>
      </c>
    </row>
    <row r="27" spans="2:11" ht="16.2" customHeight="1">
      <c r="B27" s="64">
        <v>17</v>
      </c>
      <c r="C27" s="61" t="s">
        <v>247</v>
      </c>
      <c r="D27" s="61"/>
      <c r="E27" s="61"/>
      <c r="F27" s="61"/>
      <c r="G27" s="60" t="s">
        <v>248</v>
      </c>
      <c r="H27" s="65" t="str">
        <f>$V$103</f>
        <v>Absent &gt; crew size</v>
      </c>
      <c r="I27" s="65"/>
      <c r="J27" s="62" t="s">
        <v>229</v>
      </c>
      <c r="K27" s="38" t="str">
        <f>IF($H$27&amp;""=$G$27&amp;"","PASS","FAIL")</f>
        <v>PASS</v>
      </c>
    </row>
    <row r="28" spans="2:11" ht="16.2" customHeight="1">
      <c r="B28" s="64">
        <v>18</v>
      </c>
      <c r="C28" s="61" t="s">
        <v>249</v>
      </c>
      <c r="D28" s="61"/>
      <c r="E28" s="61"/>
      <c r="F28" s="61"/>
      <c r="G28" s="60" t="s">
        <v>250</v>
      </c>
      <c r="H28" s="65" t="str">
        <f>$V$97</f>
        <v>OK</v>
      </c>
      <c r="I28" s="65"/>
      <c r="J28" s="62" t="s">
        <v>229</v>
      </c>
      <c r="K28" s="38" t="str">
        <f>IF($H$28&amp;""=$G$28&amp;"","PASS","FAIL")</f>
        <v>PASS</v>
      </c>
    </row>
    <row r="29" spans="2:11" ht="16.2" customHeight="1">
      <c r="B29" s="64">
        <v>19</v>
      </c>
      <c r="C29" s="61" t="s">
        <v>251</v>
      </c>
      <c r="D29" s="61"/>
      <c r="E29" s="61"/>
      <c r="F29" s="61"/>
      <c r="G29" s="70">
        <v>3</v>
      </c>
      <c r="H29" s="33">
        <f>$D$113</f>
        <v>3</v>
      </c>
      <c r="I29" s="68">
        <f>IF(AND(ISNUMBER($G$29),ISNUMBER($H$29)),ABS($H$29-$G$29),"")</f>
        <v>0</v>
      </c>
      <c r="J29" s="69">
        <v>1E-09</v>
      </c>
      <c r="K29" s="38" t="str">
        <f>IF(AND(ISNUMBER($G$29),ISNUMBER($H$29)),IF(ABS($H$29-$G$29)&lt;=$J$29,"PASS","FAIL"),"FAIL")</f>
        <v>PASS</v>
      </c>
    </row>
    <row r="30" spans="2:11" ht="16.2" customHeight="1">
      <c r="B30" s="64">
        <v>20</v>
      </c>
      <c r="C30" s="61" t="s">
        <v>252</v>
      </c>
      <c r="D30" s="61"/>
      <c r="E30" s="61"/>
      <c r="F30" s="61"/>
      <c r="G30" s="70">
        <v>7</v>
      </c>
      <c r="H30" s="33">
        <f>$E$113</f>
        <v>7</v>
      </c>
      <c r="I30" s="68">
        <f>IF(AND(ISNUMBER($G$30),ISNUMBER($H$30)),ABS($H$30-$G$30),"")</f>
        <v>0</v>
      </c>
      <c r="J30" s="69">
        <v>1E-09</v>
      </c>
      <c r="K30" s="38" t="str">
        <f>IF(AND(ISNUMBER($G$30),ISNUMBER($H$30)),IF(ABS($H$30-$G$30)&lt;=$J$30,"PASS","FAIL"),"FAIL")</f>
        <v>PASS</v>
      </c>
    </row>
    <row r="31" spans="2:11" ht="16.2" customHeight="1">
      <c r="B31" s="64">
        <v>21</v>
      </c>
      <c r="C31" s="61" t="s">
        <v>253</v>
      </c>
      <c r="D31" s="61"/>
      <c r="E31" s="61"/>
      <c r="F31" s="61"/>
      <c r="G31" s="70">
        <v>7</v>
      </c>
      <c r="H31" s="33">
        <f>$D$114</f>
        <v>7</v>
      </c>
      <c r="I31" s="68">
        <f>IF(AND(ISNUMBER($G$31),ISNUMBER($H$31)),ABS($H$31-$G$31),"")</f>
        <v>0</v>
      </c>
      <c r="J31" s="69">
        <v>1E-09</v>
      </c>
      <c r="K31" s="38" t="str">
        <f>IF(AND(ISNUMBER($G$31),ISNUMBER($H$31)),IF(ABS($H$31-$G$31)&lt;=$J$31,"PASS","FAIL"),"FAIL")</f>
        <v>PASS</v>
      </c>
    </row>
    <row r="32" spans="2:11" ht="16.2" customHeight="1">
      <c r="B32" s="64">
        <v>22</v>
      </c>
      <c r="C32" s="61" t="s">
        <v>254</v>
      </c>
      <c r="D32" s="61"/>
      <c r="E32" s="61"/>
      <c r="F32" s="61"/>
      <c r="G32" s="70">
        <v>3</v>
      </c>
      <c r="H32" s="33">
        <f>$E$114</f>
        <v>3</v>
      </c>
      <c r="I32" s="68">
        <f>IF(AND(ISNUMBER($G$32),ISNUMBER($H$32)),ABS($H$32-$G$32),"")</f>
        <v>0</v>
      </c>
      <c r="J32" s="69">
        <v>1E-09</v>
      </c>
      <c r="K32" s="38" t="str">
        <f>IF(AND(ISNUMBER($G$32),ISNUMBER($H$32)),IF(ABS($H$32-$G$32)&lt;=$J$32,"PASS","FAIL"),"FAIL")</f>
        <v>PASS</v>
      </c>
    </row>
    <row r="33" spans="2:12" ht="16.2" customHeight="1">
      <c r="B33" s="64">
        <v>23</v>
      </c>
      <c r="C33" s="61" t="s">
        <v>255</v>
      </c>
      <c r="D33" s="61"/>
      <c r="E33" s="61"/>
      <c r="F33" s="61"/>
      <c r="G33" s="70">
        <v>4</v>
      </c>
      <c r="H33" s="33">
        <f>$D$115</f>
        <v>4</v>
      </c>
      <c r="I33" s="68">
        <f>IF(AND(ISNUMBER($G$33),ISNUMBER($H$33)),ABS($H$33-$G$33),"")</f>
        <v>0</v>
      </c>
      <c r="J33" s="69">
        <v>1E-09</v>
      </c>
      <c r="K33" s="38" t="str">
        <f>IF(AND(ISNUMBER($G$33),ISNUMBER($H$33)),IF(ABS($H$33-$G$33)&lt;=$J$33,"PASS","FAIL"),"FAIL")</f>
        <v>PASS</v>
      </c>
    </row>
    <row r="34" spans="2:12" ht="16.2" customHeight="1">
      <c r="B34" s="64">
        <v>24</v>
      </c>
      <c r="C34" s="61" t="s">
        <v>256</v>
      </c>
      <c r="D34" s="61"/>
      <c r="E34" s="61"/>
      <c r="F34" s="61"/>
      <c r="G34" s="70">
        <v>0</v>
      </c>
      <c r="H34" s="33">
        <f>$E$115</f>
        <v>0</v>
      </c>
      <c r="I34" s="68">
        <f>IF(AND(ISNUMBER($G$34),ISNUMBER($H$34)),ABS($H$34-$G$34),"")</f>
        <v>0</v>
      </c>
      <c r="J34" s="69">
        <v>1E-09</v>
      </c>
      <c r="K34" s="38" t="str">
        <f>IF(AND(ISNUMBER($G$34),ISNUMBER($H$34)),IF(ABS($H$34-$G$34)&lt;=$J$34,"PASS","FAIL"),"FAIL")</f>
        <v>PASS</v>
      </c>
    </row>
    <row r="35" spans="2:12" ht="16.2" customHeight="1">
      <c r="B35" s="64">
        <v>25</v>
      </c>
      <c r="C35" s="61" t="s">
        <v>257</v>
      </c>
      <c r="D35" s="61"/>
      <c r="E35" s="61"/>
      <c r="F35" s="61"/>
      <c r="G35" s="70">
        <v>0</v>
      </c>
      <c r="H35" s="33">
        <f>$D$116</f>
        <v>0</v>
      </c>
      <c r="I35" s="68">
        <f>IF(AND(ISNUMBER($G$35),ISNUMBER($H$35)),ABS($H$35-$G$35),"")</f>
        <v>0</v>
      </c>
      <c r="J35" s="69">
        <v>1E-09</v>
      </c>
      <c r="K35" s="38" t="str">
        <f>IF(AND(ISNUMBER($G$35),ISNUMBER($H$35)),IF(ABS($H$35-$G$35)&lt;=$J$35,"PASS","FAIL"),"FAIL")</f>
        <v>PASS</v>
      </c>
    </row>
    <row r="36" spans="2:12" ht="16.2" customHeight="1">
      <c r="B36" s="64">
        <v>26</v>
      </c>
      <c r="C36" s="61" t="s">
        <v>258</v>
      </c>
      <c r="D36" s="61"/>
      <c r="E36" s="61"/>
      <c r="F36" s="61"/>
      <c r="G36" s="70">
        <v>4</v>
      </c>
      <c r="H36" s="33">
        <f>$E$116</f>
        <v>4</v>
      </c>
      <c r="I36" s="68">
        <f>IF(AND(ISNUMBER($G$36),ISNUMBER($H$36)),ABS($H$36-$G$36),"")</f>
        <v>0</v>
      </c>
      <c r="J36" s="69">
        <v>1E-09</v>
      </c>
      <c r="K36" s="38" t="str">
        <f>IF(AND(ISNUMBER($G$36),ISNUMBER($H$36)),IF(ABS($H$36-$G$36)&lt;=$J$36,"PASS","FAIL"),"FAIL")</f>
        <v>PASS</v>
      </c>
    </row>
    <row r="37" spans="2:12" ht="16.2" customHeight="1">
      <c r="B37" s="64">
        <v>27</v>
      </c>
      <c r="C37" s="61" t="s">
        <v>259</v>
      </c>
      <c r="D37" s="61"/>
      <c r="E37" s="61"/>
      <c r="F37" s="61"/>
      <c r="G37" s="71">
        <v>60</v>
      </c>
      <c r="H37" s="72">
        <f>$G$113</f>
        <v>60</v>
      </c>
      <c r="I37" s="68">
        <f>IF(AND(ISNUMBER($G$37),ISNUMBER($H$37)),ABS($H$37-$G$37),"")</f>
        <v>0</v>
      </c>
      <c r="J37" s="69">
        <v>1E-09</v>
      </c>
      <c r="K37" s="38" t="str">
        <f>IF(AND(ISNUMBER($G$37),ISNUMBER($H$37)),IF(ABS($H$37-$G$37)&lt;=$J$37,"PASS","FAIL"),"FAIL")</f>
        <v>PASS</v>
      </c>
    </row>
    <row r="38" spans="2:12" ht="16.2" customHeight="1">
      <c r="B38" s="64">
        <v>28</v>
      </c>
      <c r="C38" s="61" t="s">
        <v>260</v>
      </c>
      <c r="D38" s="61"/>
      <c r="E38" s="61"/>
      <c r="F38" s="61"/>
      <c r="G38" s="70">
        <v>2</v>
      </c>
      <c r="H38" s="33">
        <f>$I$113</f>
        <v>2</v>
      </c>
      <c r="I38" s="68">
        <f>IF(AND(ISNUMBER($G$38),ISNUMBER($H$38)),ABS($H$38-$G$38),"")</f>
        <v>0</v>
      </c>
      <c r="J38" s="69">
        <v>1E-09</v>
      </c>
      <c r="K38" s="38" t="str">
        <f>IF(AND(ISNUMBER($G$38),ISNUMBER($H$38)),IF(ABS($H$38-$G$38)&lt;=$J$38,"PASS","FAIL"),"FAIL")</f>
        <v>PASS</v>
      </c>
    </row>
    <row r="39" spans="2:12" ht="16.2" customHeight="1">
      <c r="B39" s="64">
        <v>29</v>
      </c>
      <c r="C39" s="61" t="s">
        <v>261</v>
      </c>
      <c r="D39" s="61"/>
      <c r="E39" s="61"/>
      <c r="F39" s="61"/>
      <c r="G39" s="70">
        <v>1</v>
      </c>
      <c r="H39" s="33">
        <f>$J$115</f>
        <v>1</v>
      </c>
      <c r="I39" s="68">
        <f>IF(AND(ISNUMBER($G$39),ISNUMBER($H$39)),ABS($H$39-$G$39),"")</f>
        <v>0</v>
      </c>
      <c r="J39" s="69">
        <v>1E-09</v>
      </c>
      <c r="K39" s="38" t="str">
        <f>IF(AND(ISNUMBER($G$39),ISNUMBER($H$39)),IF(ABS($H$39-$G$39)&lt;=$J$39,"PASS","FAIL"),"FAIL")</f>
        <v>PASS</v>
      </c>
    </row>
    <row r="40" spans="2:12" ht="16.2" customHeight="1">
      <c r="B40" s="64">
        <v>30</v>
      </c>
      <c r="C40" s="61" t="s">
        <v>262</v>
      </c>
      <c r="D40" s="61"/>
      <c r="E40" s="61"/>
      <c r="F40" s="61"/>
      <c r="G40" s="70">
        <v>8</v>
      </c>
      <c r="H40" s="33">
        <f>SUM(tblVerifyRota[Shifts short])</f>
        <v>8</v>
      </c>
      <c r="I40" s="68">
        <f>IF(AND(ISNUMBER($G$40),ISNUMBER($H$40)),ABS($H$40-$G$40),"")</f>
        <v>0</v>
      </c>
      <c r="J40" s="69">
        <v>1E-09</v>
      </c>
      <c r="K40" s="38" t="str">
        <f>IF(AND(ISNUMBER($G$40),ISNUMBER($H$40)),IF(ABS($H$40-$G$40)&lt;=$J$40,"PASS","FAIL"),"FAIL")</f>
        <v>PASS</v>
      </c>
    </row>
    <row r="41" spans="2:12" ht="16.2" customHeight="1">
      <c r="B41" s="64">
        <v>31</v>
      </c>
      <c r="C41" s="61" t="s">
        <v>263</v>
      </c>
      <c r="D41" s="61"/>
      <c r="E41" s="61"/>
      <c r="F41" s="61"/>
      <c r="G41" s="71">
        <v>42</v>
      </c>
      <c r="H41" s="72">
        <f>IF(COUNT($G$113:$G$116)=0,"",AVERAGE($G$113:$G$116))</f>
        <v>42</v>
      </c>
      <c r="I41" s="68">
        <f>IF(AND(ISNUMBER($G$41),ISNUMBER($H$41)),ABS($H$41-$G$41),"")</f>
        <v>0</v>
      </c>
      <c r="J41" s="69">
        <v>1E-09</v>
      </c>
      <c r="K41" s="38" t="str">
        <f>IF(AND(ISNUMBER($G$41),ISNUMBER($H$41)),IF(ABS($H$41-$G$41)&lt;=$J$41,"PASS","FAIL"),"FAIL")</f>
        <v>PASS</v>
      </c>
    </row>
    <row r="43" spans="2:12" ht="21" customHeight="1">
      <c r="B43" s="8" t="s">
        <v>264</v>
      </c>
      <c r="C43" s="8"/>
      <c r="D43" s="8"/>
      <c r="E43" s="8"/>
      <c r="F43" s="8"/>
      <c r="G43" s="8"/>
      <c r="H43" s="8"/>
      <c r="I43" s="8"/>
      <c r="J43" s="8"/>
      <c r="K43" s="8"/>
      <c r="L43" s="8"/>
    </row>
    <row r="44" spans="2:12" ht="5" customHeight="1"/>
    <row r="45" spans="2:12">
      <c r="B45" s="21" t="s">
        <v>265</v>
      </c>
      <c r="C45" s="21"/>
      <c r="D45" s="21"/>
      <c r="E45" s="21"/>
      <c r="F45" s="21"/>
      <c r="G45" s="21"/>
      <c r="H45" s="21"/>
      <c r="I45" s="21"/>
      <c r="J45" s="21"/>
      <c r="K45" s="21"/>
      <c r="L45" s="21"/>
    </row>
    <row r="46" spans="2:12">
      <c r="B46" s="35" t="s">
        <v>266</v>
      </c>
      <c r="C46" s="35"/>
      <c r="D46" s="35"/>
      <c r="E46" s="35"/>
      <c r="F46" s="35"/>
    </row>
    <row r="47" spans="2:12">
      <c r="B47" s="27" t="s">
        <v>77</v>
      </c>
      <c r="C47" s="27"/>
      <c r="D47" s="27"/>
      <c r="E47" s="73">
        <v>46027</v>
      </c>
      <c r="F47" s="7"/>
    </row>
    <row r="48" spans="2:12">
      <c r="B48" s="27" t="s">
        <v>267</v>
      </c>
      <c r="C48" s="27"/>
      <c r="D48" s="27"/>
      <c r="E48" s="70">
        <v>1</v>
      </c>
      <c r="F48" s="7"/>
    </row>
    <row r="49" spans="2:12">
      <c r="B49" s="27" t="s">
        <v>268</v>
      </c>
      <c r="C49" s="27"/>
      <c r="D49" s="27"/>
      <c r="E49" s="70">
        <v>28</v>
      </c>
      <c r="F49" s="7"/>
    </row>
    <row r="50" spans="2:12">
      <c r="B50" s="27" t="s">
        <v>65</v>
      </c>
      <c r="C50" s="27"/>
      <c r="D50" s="27"/>
      <c r="E50" s="70">
        <v>7</v>
      </c>
      <c r="F50" s="7"/>
    </row>
    <row r="51" spans="2:12">
      <c r="B51" s="27" t="s">
        <v>269</v>
      </c>
      <c r="C51" s="27"/>
      <c r="D51" s="27"/>
      <c r="E51" s="54">
        <v>12</v>
      </c>
      <c r="F51" s="7"/>
    </row>
    <row r="52" spans="2:12">
      <c r="B52" s="27" t="s">
        <v>78</v>
      </c>
      <c r="C52" s="27"/>
      <c r="D52" s="27"/>
      <c r="E52" s="70">
        <v>10</v>
      </c>
      <c r="F52" s="7"/>
    </row>
    <row r="53" spans="2:12">
      <c r="B53" s="27" t="s">
        <v>80</v>
      </c>
      <c r="C53" s="27"/>
      <c r="D53" s="27"/>
      <c r="E53" s="74">
        <v>1</v>
      </c>
      <c r="F53" s="7"/>
    </row>
    <row r="54" spans="2:12">
      <c r="B54" s="27" t="s">
        <v>81</v>
      </c>
      <c r="C54" s="27"/>
      <c r="D54" s="27"/>
      <c r="E54" s="54">
        <v>40</v>
      </c>
      <c r="F54" s="7"/>
    </row>
    <row r="56" spans="2:12">
      <c r="B56" s="35" t="s">
        <v>270</v>
      </c>
      <c r="C56" s="35"/>
      <c r="D56" s="35"/>
      <c r="E56" s="35"/>
      <c r="F56" s="35"/>
      <c r="G56" s="35"/>
      <c r="H56" s="35"/>
      <c r="I56" s="35"/>
      <c r="J56" s="35"/>
      <c r="K56" s="35"/>
      <c r="L56" s="35"/>
    </row>
    <row r="57" spans="2:12" ht="20" customHeight="1">
      <c r="B57" s="36" t="s">
        <v>60</v>
      </c>
      <c r="C57" s="36" t="s">
        <v>61</v>
      </c>
      <c r="D57" s="36" t="s">
        <v>62</v>
      </c>
    </row>
    <row r="58" spans="2:12">
      <c r="B58" s="60" t="s">
        <v>93</v>
      </c>
      <c r="C58" s="60" t="s">
        <v>135</v>
      </c>
      <c r="D58" s="70">
        <v>11</v>
      </c>
    </row>
    <row r="59" spans="2:12">
      <c r="B59" s="60" t="s">
        <v>95</v>
      </c>
      <c r="C59" s="60" t="s">
        <v>135</v>
      </c>
      <c r="D59" s="70">
        <v>10</v>
      </c>
    </row>
    <row r="60" spans="2:12">
      <c r="B60" s="60" t="s">
        <v>97</v>
      </c>
      <c r="C60" s="60" t="s">
        <v>135</v>
      </c>
      <c r="D60" s="70">
        <v>10</v>
      </c>
    </row>
    <row r="61" spans="2:12">
      <c r="B61" s="60" t="s">
        <v>99</v>
      </c>
      <c r="C61" s="60" t="s">
        <v>135</v>
      </c>
      <c r="D61" s="70">
        <v>12</v>
      </c>
    </row>
    <row r="63" spans="2:12">
      <c r="B63" s="35" t="s">
        <v>271</v>
      </c>
      <c r="C63" s="35"/>
      <c r="D63" s="35"/>
      <c r="E63" s="35"/>
      <c r="F63" s="35"/>
      <c r="G63" s="35"/>
      <c r="H63" s="35"/>
      <c r="I63" s="35"/>
      <c r="J63" s="35"/>
      <c r="K63" s="35"/>
      <c r="L63" s="35"/>
    </row>
    <row r="64" spans="2:12" ht="20" customHeight="1">
      <c r="B64" s="36" t="s">
        <v>67</v>
      </c>
      <c r="C64" s="36" t="s">
        <v>68</v>
      </c>
      <c r="D64" s="36" t="s">
        <v>69</v>
      </c>
      <c r="E64" s="36" t="s">
        <v>70</v>
      </c>
      <c r="F64" s="36" t="s">
        <v>71</v>
      </c>
      <c r="G64" s="36" t="s">
        <v>72</v>
      </c>
    </row>
    <row r="65" spans="2:7">
      <c r="B65" s="70">
        <v>1</v>
      </c>
      <c r="C65" s="60" t="s">
        <v>110</v>
      </c>
      <c r="D65" s="60" t="s">
        <v>99</v>
      </c>
      <c r="E65" s="60" t="s">
        <v>99</v>
      </c>
      <c r="F65" s="60" t="s">
        <v>99</v>
      </c>
      <c r="G65" s="38" t="str">
        <f>CHOOSE($E$48,tblVerifyPatterns[[#This Row],[DuPont]],tblVerifyPatterns[[#This Row],[2-2-3 Panama]],tblVerifyPatterns[[#This Row],[4-on-4-off]],tblVerifyPatterns[[#This Row],[3-on-3-off]])</f>
        <v>N</v>
      </c>
    </row>
    <row r="66" spans="2:7">
      <c r="B66" s="70">
        <v>2</v>
      </c>
      <c r="C66" s="60" t="s">
        <v>110</v>
      </c>
      <c r="D66" s="60" t="s">
        <v>99</v>
      </c>
      <c r="E66" s="60" t="s">
        <v>99</v>
      </c>
      <c r="F66" s="60" t="s">
        <v>99</v>
      </c>
      <c r="G66" s="38" t="str">
        <f>CHOOSE($E$48,tblVerifyPatterns[[#This Row],[DuPont]],tblVerifyPatterns[[#This Row],[2-2-3 Panama]],tblVerifyPatterns[[#This Row],[4-on-4-off]],tblVerifyPatterns[[#This Row],[3-on-3-off]])</f>
        <v>N</v>
      </c>
    </row>
    <row r="67" spans="2:7">
      <c r="B67" s="70">
        <v>3</v>
      </c>
      <c r="C67" s="60" t="s">
        <v>110</v>
      </c>
      <c r="D67" s="60" t="s">
        <v>111</v>
      </c>
      <c r="E67" s="60" t="s">
        <v>99</v>
      </c>
      <c r="F67" s="60" t="s">
        <v>99</v>
      </c>
      <c r="G67" s="38" t="str">
        <f>CHOOSE($E$48,tblVerifyPatterns[[#This Row],[DuPont]],tblVerifyPatterns[[#This Row],[2-2-3 Panama]],tblVerifyPatterns[[#This Row],[4-on-4-off]],tblVerifyPatterns[[#This Row],[3-on-3-off]])</f>
        <v>N</v>
      </c>
    </row>
    <row r="68" spans="2:7">
      <c r="B68" s="70">
        <v>4</v>
      </c>
      <c r="C68" s="60" t="s">
        <v>110</v>
      </c>
      <c r="D68" s="60" t="s">
        <v>111</v>
      </c>
      <c r="E68" s="60" t="s">
        <v>99</v>
      </c>
      <c r="F68" s="60" t="s">
        <v>111</v>
      </c>
      <c r="G68" s="38" t="str">
        <f>CHOOSE($E$48,tblVerifyPatterns[[#This Row],[DuPont]],tblVerifyPatterns[[#This Row],[2-2-3 Panama]],tblVerifyPatterns[[#This Row],[4-on-4-off]],tblVerifyPatterns[[#This Row],[3-on-3-off]])</f>
        <v>N</v>
      </c>
    </row>
    <row r="69" spans="2:7">
      <c r="B69" s="70">
        <v>5</v>
      </c>
      <c r="C69" s="60" t="s">
        <v>111</v>
      </c>
      <c r="D69" s="60" t="s">
        <v>99</v>
      </c>
      <c r="E69" s="60" t="s">
        <v>111</v>
      </c>
      <c r="F69" s="60" t="s">
        <v>111</v>
      </c>
      <c r="G69" s="38" t="str">
        <f>CHOOSE($E$48,tblVerifyPatterns[[#This Row],[DuPont]],tblVerifyPatterns[[#This Row],[2-2-3 Panama]],tblVerifyPatterns[[#This Row],[4-on-4-off]],tblVerifyPatterns[[#This Row],[3-on-3-off]])</f>
        <v>O</v>
      </c>
    </row>
    <row r="70" spans="2:7">
      <c r="B70" s="70">
        <v>6</v>
      </c>
      <c r="C70" s="60" t="s">
        <v>111</v>
      </c>
      <c r="D70" s="60" t="s">
        <v>99</v>
      </c>
      <c r="E70" s="60" t="s">
        <v>111</v>
      </c>
      <c r="F70" s="60" t="s">
        <v>111</v>
      </c>
      <c r="G70" s="38" t="str">
        <f>CHOOSE($E$48,tblVerifyPatterns[[#This Row],[DuPont]],tblVerifyPatterns[[#This Row],[2-2-3 Panama]],tblVerifyPatterns[[#This Row],[4-on-4-off]],tblVerifyPatterns[[#This Row],[3-on-3-off]])</f>
        <v>O</v>
      </c>
    </row>
    <row r="71" spans="2:7">
      <c r="B71" s="70">
        <v>7</v>
      </c>
      <c r="C71" s="60" t="s">
        <v>111</v>
      </c>
      <c r="D71" s="60" t="s">
        <v>99</v>
      </c>
      <c r="E71" s="60" t="s">
        <v>111</v>
      </c>
      <c r="F71" s="60" t="s">
        <v>110</v>
      </c>
      <c r="G71" s="38" t="str">
        <f>CHOOSE($E$48,tblVerifyPatterns[[#This Row],[DuPont]],tblVerifyPatterns[[#This Row],[2-2-3 Panama]],tblVerifyPatterns[[#This Row],[4-on-4-off]],tblVerifyPatterns[[#This Row],[3-on-3-off]])</f>
        <v>O</v>
      </c>
    </row>
    <row r="72" spans="2:7">
      <c r="B72" s="70">
        <v>8</v>
      </c>
      <c r="C72" s="60" t="s">
        <v>99</v>
      </c>
      <c r="D72" s="60" t="s">
        <v>111</v>
      </c>
      <c r="E72" s="60" t="s">
        <v>111</v>
      </c>
      <c r="F72" s="60" t="s">
        <v>110</v>
      </c>
      <c r="G72" s="38" t="str">
        <f>CHOOSE($E$48,tblVerifyPatterns[[#This Row],[DuPont]],tblVerifyPatterns[[#This Row],[2-2-3 Panama]],tblVerifyPatterns[[#This Row],[4-on-4-off]],tblVerifyPatterns[[#This Row],[3-on-3-off]])</f>
        <v>D</v>
      </c>
    </row>
    <row r="73" spans="2:7">
      <c r="B73" s="70">
        <v>9</v>
      </c>
      <c r="C73" s="60" t="s">
        <v>99</v>
      </c>
      <c r="D73" s="60" t="s">
        <v>111</v>
      </c>
      <c r="E73" s="60" t="s">
        <v>110</v>
      </c>
      <c r="F73" s="60" t="s">
        <v>110</v>
      </c>
      <c r="G73" s="38" t="str">
        <f>CHOOSE($E$48,tblVerifyPatterns[[#This Row],[DuPont]],tblVerifyPatterns[[#This Row],[2-2-3 Panama]],tblVerifyPatterns[[#This Row],[4-on-4-off]],tblVerifyPatterns[[#This Row],[3-on-3-off]])</f>
        <v>D</v>
      </c>
    </row>
    <row r="74" spans="2:7">
      <c r="B74" s="70">
        <v>10</v>
      </c>
      <c r="C74" s="60" t="s">
        <v>99</v>
      </c>
      <c r="D74" s="60" t="s">
        <v>99</v>
      </c>
      <c r="E74" s="60" t="s">
        <v>110</v>
      </c>
      <c r="F74" s="60" t="s">
        <v>111</v>
      </c>
      <c r="G74" s="38" t="str">
        <f>CHOOSE($E$48,tblVerifyPatterns[[#This Row],[DuPont]],tblVerifyPatterns[[#This Row],[2-2-3 Panama]],tblVerifyPatterns[[#This Row],[4-on-4-off]],tblVerifyPatterns[[#This Row],[3-on-3-off]])</f>
        <v>D</v>
      </c>
    </row>
    <row r="75" spans="2:7">
      <c r="B75" s="70">
        <v>11</v>
      </c>
      <c r="C75" s="60" t="s">
        <v>111</v>
      </c>
      <c r="D75" s="60" t="s">
        <v>99</v>
      </c>
      <c r="E75" s="60" t="s">
        <v>110</v>
      </c>
      <c r="F75" s="60" t="s">
        <v>111</v>
      </c>
      <c r="G75" s="38" t="str">
        <f>CHOOSE($E$48,tblVerifyPatterns[[#This Row],[DuPont]],tblVerifyPatterns[[#This Row],[2-2-3 Panama]],tblVerifyPatterns[[#This Row],[4-on-4-off]],tblVerifyPatterns[[#This Row],[3-on-3-off]])</f>
        <v>O</v>
      </c>
    </row>
    <row r="76" spans="2:7">
      <c r="B76" s="70">
        <v>12</v>
      </c>
      <c r="C76" s="60" t="s">
        <v>110</v>
      </c>
      <c r="D76" s="60" t="s">
        <v>111</v>
      </c>
      <c r="E76" s="60" t="s">
        <v>110</v>
      </c>
      <c r="F76" s="60" t="s">
        <v>111</v>
      </c>
      <c r="G76" s="38" t="str">
        <f>CHOOSE($E$48,tblVerifyPatterns[[#This Row],[DuPont]],tblVerifyPatterns[[#This Row],[2-2-3 Panama]],tblVerifyPatterns[[#This Row],[4-on-4-off]],tblVerifyPatterns[[#This Row],[3-on-3-off]])</f>
        <v>N</v>
      </c>
    </row>
    <row r="77" spans="2:7">
      <c r="B77" s="70">
        <v>13</v>
      </c>
      <c r="C77" s="60" t="s">
        <v>110</v>
      </c>
      <c r="D77" s="60" t="s">
        <v>111</v>
      </c>
      <c r="E77" s="60" t="s">
        <v>111</v>
      </c>
      <c r="F77" s="60"/>
      <c r="G77" s="38" t="str">
        <f>CHOOSE($E$48,tblVerifyPatterns[[#This Row],[DuPont]],tblVerifyPatterns[[#This Row],[2-2-3 Panama]],tblVerifyPatterns[[#This Row],[4-on-4-off]],tblVerifyPatterns[[#This Row],[3-on-3-off]])</f>
        <v>N</v>
      </c>
    </row>
    <row r="78" spans="2:7">
      <c r="B78" s="70">
        <v>14</v>
      </c>
      <c r="C78" s="60" t="s">
        <v>110</v>
      </c>
      <c r="D78" s="60" t="s">
        <v>111</v>
      </c>
      <c r="E78" s="60" t="s">
        <v>111</v>
      </c>
      <c r="F78" s="60"/>
      <c r="G78" s="38" t="str">
        <f>CHOOSE($E$48,tblVerifyPatterns[[#This Row],[DuPont]],tblVerifyPatterns[[#This Row],[2-2-3 Panama]],tblVerifyPatterns[[#This Row],[4-on-4-off]],tblVerifyPatterns[[#This Row],[3-on-3-off]])</f>
        <v>N</v>
      </c>
    </row>
    <row r="79" spans="2:7">
      <c r="B79" s="70">
        <v>15</v>
      </c>
      <c r="C79" s="60" t="s">
        <v>111</v>
      </c>
      <c r="D79" s="60" t="s">
        <v>110</v>
      </c>
      <c r="E79" s="60" t="s">
        <v>111</v>
      </c>
      <c r="F79" s="60"/>
      <c r="G79" s="38" t="str">
        <f>CHOOSE($E$48,tblVerifyPatterns[[#This Row],[DuPont]],tblVerifyPatterns[[#This Row],[2-2-3 Panama]],tblVerifyPatterns[[#This Row],[4-on-4-off]],tblVerifyPatterns[[#This Row],[3-on-3-off]])</f>
        <v>O</v>
      </c>
    </row>
    <row r="80" spans="2:7">
      <c r="B80" s="70">
        <v>16</v>
      </c>
      <c r="C80" s="60" t="s">
        <v>111</v>
      </c>
      <c r="D80" s="60" t="s">
        <v>110</v>
      </c>
      <c r="E80" s="60" t="s">
        <v>111</v>
      </c>
      <c r="F80" s="60"/>
      <c r="G80" s="38" t="str">
        <f>CHOOSE($E$48,tblVerifyPatterns[[#This Row],[DuPont]],tblVerifyPatterns[[#This Row],[2-2-3 Panama]],tblVerifyPatterns[[#This Row],[4-on-4-off]],tblVerifyPatterns[[#This Row],[3-on-3-off]])</f>
        <v>O</v>
      </c>
    </row>
    <row r="81" spans="2:23">
      <c r="B81" s="70">
        <v>17</v>
      </c>
      <c r="C81" s="60" t="s">
        <v>111</v>
      </c>
      <c r="D81" s="60" t="s">
        <v>111</v>
      </c>
      <c r="E81" s="60"/>
      <c r="F81" s="60"/>
      <c r="G81" s="38" t="str">
        <f>CHOOSE($E$48,tblVerifyPatterns[[#This Row],[DuPont]],tblVerifyPatterns[[#This Row],[2-2-3 Panama]],tblVerifyPatterns[[#This Row],[4-on-4-off]],tblVerifyPatterns[[#This Row],[3-on-3-off]])</f>
        <v>O</v>
      </c>
    </row>
    <row r="82" spans="2:23">
      <c r="B82" s="70">
        <v>18</v>
      </c>
      <c r="C82" s="60" t="s">
        <v>99</v>
      </c>
      <c r="D82" s="60" t="s">
        <v>111</v>
      </c>
      <c r="E82" s="60"/>
      <c r="F82" s="60"/>
      <c r="G82" s="38" t="str">
        <f>CHOOSE($E$48,tblVerifyPatterns[[#This Row],[DuPont]],tblVerifyPatterns[[#This Row],[2-2-3 Panama]],tblVerifyPatterns[[#This Row],[4-on-4-off]],tblVerifyPatterns[[#This Row],[3-on-3-off]])</f>
        <v>D</v>
      </c>
    </row>
    <row r="83" spans="2:23">
      <c r="B83" s="70">
        <v>19</v>
      </c>
      <c r="C83" s="60" t="s">
        <v>99</v>
      </c>
      <c r="D83" s="60" t="s">
        <v>110</v>
      </c>
      <c r="E83" s="60"/>
      <c r="F83" s="60"/>
      <c r="G83" s="38" t="str">
        <f>CHOOSE($E$48,tblVerifyPatterns[[#This Row],[DuPont]],tblVerifyPatterns[[#This Row],[2-2-3 Panama]],tblVerifyPatterns[[#This Row],[4-on-4-off]],tblVerifyPatterns[[#This Row],[3-on-3-off]])</f>
        <v>D</v>
      </c>
    </row>
    <row r="84" spans="2:23">
      <c r="B84" s="70">
        <v>20</v>
      </c>
      <c r="C84" s="60" t="s">
        <v>99</v>
      </c>
      <c r="D84" s="60" t="s">
        <v>110</v>
      </c>
      <c r="E84" s="60"/>
      <c r="F84" s="60"/>
      <c r="G84" s="38" t="str">
        <f>CHOOSE($E$48,tblVerifyPatterns[[#This Row],[DuPont]],tblVerifyPatterns[[#This Row],[2-2-3 Panama]],tblVerifyPatterns[[#This Row],[4-on-4-off]],tblVerifyPatterns[[#This Row],[3-on-3-off]])</f>
        <v>D</v>
      </c>
    </row>
    <row r="85" spans="2:23">
      <c r="B85" s="70">
        <v>21</v>
      </c>
      <c r="C85" s="60" t="s">
        <v>99</v>
      </c>
      <c r="D85" s="60" t="s">
        <v>110</v>
      </c>
      <c r="E85" s="60"/>
      <c r="F85" s="60"/>
      <c r="G85" s="38" t="str">
        <f>CHOOSE($E$48,tblVerifyPatterns[[#This Row],[DuPont]],tblVerifyPatterns[[#This Row],[2-2-3 Panama]],tblVerifyPatterns[[#This Row],[4-on-4-off]],tblVerifyPatterns[[#This Row],[3-on-3-off]])</f>
        <v>D</v>
      </c>
    </row>
    <row r="86" spans="2:23">
      <c r="B86" s="70">
        <v>22</v>
      </c>
      <c r="C86" s="60" t="s">
        <v>111</v>
      </c>
      <c r="D86" s="60" t="s">
        <v>111</v>
      </c>
      <c r="E86" s="60"/>
      <c r="F86" s="60"/>
      <c r="G86" s="38" t="str">
        <f>CHOOSE($E$48,tblVerifyPatterns[[#This Row],[DuPont]],tblVerifyPatterns[[#This Row],[2-2-3 Panama]],tblVerifyPatterns[[#This Row],[4-on-4-off]],tblVerifyPatterns[[#This Row],[3-on-3-off]])</f>
        <v>O</v>
      </c>
    </row>
    <row r="87" spans="2:23">
      <c r="B87" s="70">
        <v>23</v>
      </c>
      <c r="C87" s="60" t="s">
        <v>111</v>
      </c>
      <c r="D87" s="60" t="s">
        <v>111</v>
      </c>
      <c r="E87" s="60"/>
      <c r="F87" s="60"/>
      <c r="G87" s="38" t="str">
        <f>CHOOSE($E$48,tblVerifyPatterns[[#This Row],[DuPont]],tblVerifyPatterns[[#This Row],[2-2-3 Panama]],tblVerifyPatterns[[#This Row],[4-on-4-off]],tblVerifyPatterns[[#This Row],[3-on-3-off]])</f>
        <v>O</v>
      </c>
    </row>
    <row r="88" spans="2:23">
      <c r="B88" s="70">
        <v>24</v>
      </c>
      <c r="C88" s="60" t="s">
        <v>111</v>
      </c>
      <c r="D88" s="60" t="s">
        <v>110</v>
      </c>
      <c r="E88" s="60"/>
      <c r="F88" s="60"/>
      <c r="G88" s="38" t="str">
        <f>CHOOSE($E$48,tblVerifyPatterns[[#This Row],[DuPont]],tblVerifyPatterns[[#This Row],[2-2-3 Panama]],tblVerifyPatterns[[#This Row],[4-on-4-off]],tblVerifyPatterns[[#This Row],[3-on-3-off]])</f>
        <v>O</v>
      </c>
    </row>
    <row r="89" spans="2:23">
      <c r="B89" s="70">
        <v>25</v>
      </c>
      <c r="C89" s="60" t="s">
        <v>111</v>
      </c>
      <c r="D89" s="60" t="s">
        <v>110</v>
      </c>
      <c r="E89" s="60"/>
      <c r="F89" s="60"/>
      <c r="G89" s="38" t="str">
        <f>CHOOSE($E$48,tblVerifyPatterns[[#This Row],[DuPont]],tblVerifyPatterns[[#This Row],[2-2-3 Panama]],tblVerifyPatterns[[#This Row],[4-on-4-off]],tblVerifyPatterns[[#This Row],[3-on-3-off]])</f>
        <v>O</v>
      </c>
    </row>
    <row r="90" spans="2:23">
      <c r="B90" s="70">
        <v>26</v>
      </c>
      <c r="C90" s="60" t="s">
        <v>111</v>
      </c>
      <c r="D90" s="60" t="s">
        <v>111</v>
      </c>
      <c r="E90" s="60"/>
      <c r="F90" s="60"/>
      <c r="G90" s="38" t="str">
        <f>CHOOSE($E$48,tblVerifyPatterns[[#This Row],[DuPont]],tblVerifyPatterns[[#This Row],[2-2-3 Panama]],tblVerifyPatterns[[#This Row],[4-on-4-off]],tblVerifyPatterns[[#This Row],[3-on-3-off]])</f>
        <v>O</v>
      </c>
    </row>
    <row r="91" spans="2:23">
      <c r="B91" s="70">
        <v>27</v>
      </c>
      <c r="C91" s="60" t="s">
        <v>111</v>
      </c>
      <c r="D91" s="60" t="s">
        <v>111</v>
      </c>
      <c r="E91" s="60"/>
      <c r="F91" s="60"/>
      <c r="G91" s="38" t="str">
        <f>CHOOSE($E$48,tblVerifyPatterns[[#This Row],[DuPont]],tblVerifyPatterns[[#This Row],[2-2-3 Panama]],tblVerifyPatterns[[#This Row],[4-on-4-off]],tblVerifyPatterns[[#This Row],[3-on-3-off]])</f>
        <v>O</v>
      </c>
    </row>
    <row r="92" spans="2:23">
      <c r="B92" s="70">
        <v>28</v>
      </c>
      <c r="C92" s="60" t="s">
        <v>111</v>
      </c>
      <c r="D92" s="60" t="s">
        <v>111</v>
      </c>
      <c r="E92" s="60"/>
      <c r="F92" s="60"/>
      <c r="G92" s="38" t="str">
        <f>CHOOSE($E$48,tblVerifyPatterns[[#This Row],[DuPont]],tblVerifyPatterns[[#This Row],[2-2-3 Panama]],tblVerifyPatterns[[#This Row],[4-on-4-off]],tblVerifyPatterns[[#This Row],[3-on-3-off]])</f>
        <v>O</v>
      </c>
    </row>
    <row r="94" spans="2:23">
      <c r="B94" s="35" t="s">
        <v>272</v>
      </c>
      <c r="C94" s="35"/>
      <c r="D94" s="35"/>
      <c r="E94" s="35"/>
      <c r="F94" s="35"/>
      <c r="G94" s="35"/>
      <c r="H94" s="35"/>
      <c r="I94" s="35"/>
      <c r="J94" s="35"/>
      <c r="K94" s="35"/>
      <c r="L94" s="35"/>
    </row>
    <row r="95" spans="2:23" ht="45.5" customHeight="1">
      <c r="B95" s="36" t="s">
        <v>112</v>
      </c>
      <c r="C95" s="36" t="s">
        <v>113</v>
      </c>
      <c r="D95" s="36" t="s">
        <v>114</v>
      </c>
      <c r="E95" s="36" t="s">
        <v>67</v>
      </c>
      <c r="F95" s="36" t="s">
        <v>115</v>
      </c>
      <c r="G95" s="36" t="s">
        <v>116</v>
      </c>
      <c r="H95" s="36" t="s">
        <v>117</v>
      </c>
      <c r="I95" s="36" t="s">
        <v>118</v>
      </c>
      <c r="J95" s="36" t="s">
        <v>119</v>
      </c>
      <c r="K95" s="36" t="s">
        <v>120</v>
      </c>
      <c r="L95" s="36" t="s">
        <v>121</v>
      </c>
      <c r="M95" s="36" t="s">
        <v>122</v>
      </c>
      <c r="N95" s="36" t="s">
        <v>123</v>
      </c>
      <c r="O95" s="36" t="s">
        <v>124</v>
      </c>
      <c r="P95" s="36" t="s">
        <v>125</v>
      </c>
      <c r="Q95" s="36" t="s">
        <v>126</v>
      </c>
      <c r="R95" s="36" t="s">
        <v>127</v>
      </c>
      <c r="S95" s="36" t="s">
        <v>128</v>
      </c>
      <c r="T95" s="36" t="s">
        <v>129</v>
      </c>
      <c r="U95" s="36" t="s">
        <v>130</v>
      </c>
      <c r="V95" s="36" t="s">
        <v>131</v>
      </c>
      <c r="W95" s="36" t="s">
        <v>132</v>
      </c>
    </row>
    <row r="96" spans="2:23">
      <c r="B96" s="73">
        <v>46027</v>
      </c>
      <c r="C96" s="38" t="str">
        <f>IF(tblVerifyRota[[#This Row],[Date]]="","",CHOOSE(WEEKDAY(tblVerifyRota[[#This Row],[Date]],2),"Mon","Tue","Wed","Thu","Fri","Sat","Sun"))</f>
        <v>Mon</v>
      </c>
      <c r="D96" s="60" t="s">
        <v>134</v>
      </c>
      <c r="E96" s="33">
        <f>IF(tblVerifyRota[[#This Row],[Date]]="","",MOD(tblVerifyRota[[#This Row],[Date]]-$E$47,$E$49)+1)</f>
        <v>1</v>
      </c>
      <c r="F96" s="38" t="str">
        <f>IF(tblVerifyRota[[#This Row],[Date]]="","",IF(tblVerifyRota[[#This Row],[Cycle day]]="","",INDEX(tblVerifyPatterns[Active],MOD(tblVerifyRota[[#This Row],[Date]]-$E$47+$E$50*0,$E$49)+1)))</f>
        <v>N</v>
      </c>
      <c r="G96" s="38" t="str">
        <f>IF(tblVerifyRota[[#This Row],[Date]]="","",IF(tblVerifyRota[[#This Row],[Cycle day]]="","",INDEX(tblVerifyPatterns[Active],MOD(tblVerifyRota[[#This Row],[Date]]-$E$47+$E$50*1,$E$49)+1)))</f>
        <v>D</v>
      </c>
      <c r="H96" s="38" t="str">
        <f>IF(tblVerifyRota[[#This Row],[Date]]="","",IF(tblVerifyRota[[#This Row],[Cycle day]]="","",INDEX(tblVerifyPatterns[Active],MOD(tblVerifyRota[[#This Row],[Date]]-$E$47+$E$50*2,$E$49)+1)))</f>
        <v>O</v>
      </c>
      <c r="I96" s="38" t="str">
        <f>IF(tblVerifyRota[[#This Row],[Date]]="","",IF(tblVerifyRota[[#This Row],[Cycle day]]="","",INDEX(tblVerifyPatterns[Active],MOD(tblVerifyRota[[#This Row],[Date]]-$E$47+$E$50*3,$E$49)+1)))</f>
        <v>O</v>
      </c>
      <c r="J96" s="38" t="str">
        <f>IF(tblVerifyRota[[#This Row],[Date]]="","",IF(tblVerifyRota[[#This Row],[Crew A]]="D","A",IF(tblVerifyRota[[#This Row],[Crew B]]="D","B",IF(tblVerifyRota[[#This Row],[Crew C]]="D","C",IF(tblVerifyRota[[#This Row],[Crew D]]="D","D","")))))</f>
        <v>B</v>
      </c>
      <c r="K96" s="38" t="str">
        <f>IF(tblVerifyRota[[#This Row],[Date]]="","",IF(tblVerifyRota[[#This Row],[Crew A]]="N","A",IF(tblVerifyRota[[#This Row],[Crew B]]="N","B",IF(tblVerifyRota[[#This Row],[Crew C]]="N","C",IF(tblVerifyRota[[#This Row],[Crew D]]="N","D","")))))</f>
        <v>A</v>
      </c>
      <c r="L96" s="70">
        <v>0</v>
      </c>
      <c r="M96" s="70">
        <v>0</v>
      </c>
      <c r="N96" s="33">
        <f>IF(tblVerifyRota[[#This Row],[Date]]="","",IFERROR(INDEX(tblVerifyCrews[People],MATCH(tblVerifyRota[[#This Row],[Day crew]],tblVerifyCrews[Crew],0)),0)-tblVerifyRota[[#This Row],[Day absent (people)]])</f>
        <v>10</v>
      </c>
      <c r="O96" s="33">
        <f>IF(tblVerifyRota[[#This Row],[Date]]="","",IFERROR(INDEX(tblVerifyCrews[People],MATCH(tblVerifyRota[[#This Row],[Night crew]],tblVerifyCrews[Crew],0)),0)-tblVerifyRota[[#This Row],[Night absent (people)]])</f>
        <v>11</v>
      </c>
      <c r="P96" s="33">
        <f>IF(tblVerifyRota[[#This Row],[Date]]="","",MIN(tblVerifyRota[[#This Row],[Day on shift (people)]],tblVerifyRota[[#This Row],[Night on shift (people)]]))</f>
        <v>10</v>
      </c>
      <c r="Q96" s="33">
        <f>IF(tblVerifyRota[[#This Row],[Date]]="","",$E$52)</f>
        <v>10</v>
      </c>
      <c r="R96" s="39">
        <f>IF(tblVerifyRota[[#This Row],[Date]]="","",IF(tblVerifyRota[[#This Row],[Required (people)]]&gt;0,tblVerifyRota[[#This Row],[Fewest on shift (people)]]/tblVerifyRota[[#This Row],[Required (people)]],""))</f>
        <v>1</v>
      </c>
      <c r="S96" s="38" t="str">
        <f>IF(NOT(ISNUMBER(tblVerifyRota[[#This Row],[Lowest coverage]])),"",IF(tblVerifyRota[[#This Row],[Lowest coverage]]&gt;=$E$53,"On target",IF(tblVerifyRota[[#This Row],[Lowest coverage]]&gt;=$E$53*(1-0.05),"Near target","Below target")))</f>
        <v>On target</v>
      </c>
      <c r="T96" s="33">
        <f>IF(tblVerifyRota[[#This Row],[Date]]="","",(tblVerifyRota[[#This Row],[Day on shift (people)]]&lt;tblVerifyRota[[#This Row],[Required (people)]])+(tblVerifyRota[[#This Row],[Night on shift (people)]]&lt;tblVerifyRota[[#This Row],[Required (people)]]))</f>
        <v>0</v>
      </c>
      <c r="U96" s="38" t="str">
        <f>IF(tblVerifyRota[[#This Row],[Date]]="","",IF(WEEKDAY(tblVerifyRota[[#This Row],[Date]],2)&gt;5,"Yes","No"))</f>
        <v>No</v>
      </c>
      <c r="V96" s="40" t="str">
        <f>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f>
        <v>OK</v>
      </c>
      <c r="W96" s="60" t="s">
        <v>135</v>
      </c>
    </row>
    <row r="97" spans="2:23">
      <c r="B97" s="73">
        <v>46028</v>
      </c>
      <c r="C97" s="38" t="str">
        <f>IF(tblVerifyRota[[#This Row],[Date]]="","",CHOOSE(WEEKDAY(tblVerifyRota[[#This Row],[Date]],2),"Mon","Tue","Wed","Thu","Fri","Sat","Sun"))</f>
        <v>Tue</v>
      </c>
      <c r="D97" s="60" t="s">
        <v>134</v>
      </c>
      <c r="E97" s="33">
        <f>IF(tblVerifyRota[[#This Row],[Date]]="","",MOD(tblVerifyRota[[#This Row],[Date]]-$E$47,$E$49)+1)</f>
        <v>2</v>
      </c>
      <c r="F97" s="38" t="str">
        <f>IF(tblVerifyRota[[#This Row],[Date]]="","",IF(tblVerifyRota[[#This Row],[Cycle day]]="","",INDEX(tblVerifyPatterns[Active],MOD(tblVerifyRota[[#This Row],[Date]]-$E$47+$E$50*0,$E$49)+1)))</f>
        <v>N</v>
      </c>
      <c r="G97" s="38" t="str">
        <f>IF(tblVerifyRota[[#This Row],[Date]]="","",IF(tblVerifyRota[[#This Row],[Cycle day]]="","",INDEX(tblVerifyPatterns[Active],MOD(tblVerifyRota[[#This Row],[Date]]-$E$47+$E$50*1,$E$49)+1)))</f>
        <v>D</v>
      </c>
      <c r="H97" s="38" t="str">
        <f>IF(tblVerifyRota[[#This Row],[Date]]="","",IF(tblVerifyRota[[#This Row],[Cycle day]]="","",INDEX(tblVerifyPatterns[Active],MOD(tblVerifyRota[[#This Row],[Date]]-$E$47+$E$50*2,$E$49)+1)))</f>
        <v>O</v>
      </c>
      <c r="I97" s="38" t="str">
        <f>IF(tblVerifyRota[[#This Row],[Date]]="","",IF(tblVerifyRota[[#This Row],[Cycle day]]="","",INDEX(tblVerifyPatterns[Active],MOD(tblVerifyRota[[#This Row],[Date]]-$E$47+$E$50*3,$E$49)+1)))</f>
        <v>O</v>
      </c>
      <c r="J97" s="38" t="str">
        <f>IF(tblVerifyRota[[#This Row],[Date]]="","",IF(tblVerifyRota[[#This Row],[Crew A]]="D","A",IF(tblVerifyRota[[#This Row],[Crew B]]="D","B",IF(tblVerifyRota[[#This Row],[Crew C]]="D","C",IF(tblVerifyRota[[#This Row],[Crew D]]="D","D","")))))</f>
        <v>B</v>
      </c>
      <c r="K97" s="38" t="str">
        <f>IF(tblVerifyRota[[#This Row],[Date]]="","",IF(tblVerifyRota[[#This Row],[Crew A]]="N","A",IF(tblVerifyRota[[#This Row],[Crew B]]="N","B",IF(tblVerifyRota[[#This Row],[Crew C]]="N","C",IF(tblVerifyRota[[#This Row],[Crew D]]="N","D","")))))</f>
        <v>A</v>
      </c>
      <c r="L97" s="70">
        <v>1</v>
      </c>
      <c r="M97" s="70">
        <v>0</v>
      </c>
      <c r="N97" s="33">
        <f>IF(tblVerifyRota[[#This Row],[Date]]="","",IFERROR(INDEX(tblVerifyCrews[People],MATCH(tblVerifyRota[[#This Row],[Day crew]],tblVerifyCrews[Crew],0)),0)-tblVerifyRota[[#This Row],[Day absent (people)]])</f>
        <v>9</v>
      </c>
      <c r="O97" s="33">
        <f>IF(tblVerifyRota[[#This Row],[Date]]="","",IFERROR(INDEX(tblVerifyCrews[People],MATCH(tblVerifyRota[[#This Row],[Night crew]],tblVerifyCrews[Crew],0)),0)-tblVerifyRota[[#This Row],[Night absent (people)]])</f>
        <v>11</v>
      </c>
      <c r="P97" s="33">
        <f>IF(tblVerifyRota[[#This Row],[Date]]="","",MIN(tblVerifyRota[[#This Row],[Day on shift (people)]],tblVerifyRota[[#This Row],[Night on shift (people)]]))</f>
        <v>9</v>
      </c>
      <c r="Q97" s="33">
        <f>IF(tblVerifyRota[[#This Row],[Date]]="","",$E$52)</f>
        <v>10</v>
      </c>
      <c r="R97" s="39">
        <f>IF(tblVerifyRota[[#This Row],[Date]]="","",IF(tblVerifyRota[[#This Row],[Required (people)]]&gt;0,tblVerifyRota[[#This Row],[Fewest on shift (people)]]/tblVerifyRota[[#This Row],[Required (people)]],""))</f>
        <v>0.9</v>
      </c>
      <c r="S97" s="38" t="str">
        <f>IF(NOT(ISNUMBER(tblVerifyRota[[#This Row],[Lowest coverage]])),"",IF(tblVerifyRota[[#This Row],[Lowest coverage]]&gt;=$E$53,"On target",IF(tblVerifyRota[[#This Row],[Lowest coverage]]&gt;=$E$53*(1-0.05),"Near target","Below target")))</f>
        <v>Below target</v>
      </c>
      <c r="T97" s="33">
        <f>IF(tblVerifyRota[[#This Row],[Date]]="","",(tblVerifyRota[[#This Row],[Day on shift (people)]]&lt;tblVerifyRota[[#This Row],[Required (people)]])+(tblVerifyRota[[#This Row],[Night on shift (people)]]&lt;tblVerifyRota[[#This Row],[Required (people)]]))</f>
        <v>1</v>
      </c>
      <c r="U97" s="38" t="str">
        <f>IF(tblVerifyRota[[#This Row],[Date]]="","",IF(WEEKDAY(tblVerifyRota[[#This Row],[Date]],2)&gt;5,"Yes","No"))</f>
        <v>No</v>
      </c>
      <c r="V97" s="40" t="str">
        <f>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f>
        <v>OK</v>
      </c>
      <c r="W97" s="60" t="s">
        <v>135</v>
      </c>
    </row>
    <row r="98" spans="2:23">
      <c r="B98" s="73">
        <v>46029</v>
      </c>
      <c r="C98" s="38" t="str">
        <f>IF(tblVerifyRota[[#This Row],[Date]]="","",CHOOSE(WEEKDAY(tblVerifyRota[[#This Row],[Date]],2),"Mon","Tue","Wed","Thu","Fri","Sat","Sun"))</f>
        <v>Wed</v>
      </c>
      <c r="D98" s="60" t="s">
        <v>134</v>
      </c>
      <c r="E98" s="33">
        <f>IF(tblVerifyRota[[#This Row],[Date]]="","",MOD(tblVerifyRota[[#This Row],[Date]]-$E$47,$E$49)+1)</f>
        <v>3</v>
      </c>
      <c r="F98" s="38" t="str">
        <f>IF(tblVerifyRota[[#This Row],[Date]]="","",IF(tblVerifyRota[[#This Row],[Cycle day]]="","",INDEX(tblVerifyPatterns[Active],MOD(tblVerifyRota[[#This Row],[Date]]-$E$47+$E$50*0,$E$49)+1)))</f>
        <v>N</v>
      </c>
      <c r="G98" s="38" t="str">
        <f>IF(tblVerifyRota[[#This Row],[Date]]="","",IF(tblVerifyRota[[#This Row],[Cycle day]]="","",INDEX(tblVerifyPatterns[Active],MOD(tblVerifyRota[[#This Row],[Date]]-$E$47+$E$50*1,$E$49)+1)))</f>
        <v>D</v>
      </c>
      <c r="H98" s="38" t="str">
        <f>IF(tblVerifyRota[[#This Row],[Date]]="","",IF(tblVerifyRota[[#This Row],[Cycle day]]="","",INDEX(tblVerifyPatterns[Active],MOD(tblVerifyRota[[#This Row],[Date]]-$E$47+$E$50*2,$E$49)+1)))</f>
        <v>O</v>
      </c>
      <c r="I98" s="38" t="str">
        <f>IF(tblVerifyRota[[#This Row],[Date]]="","",IF(tblVerifyRota[[#This Row],[Cycle day]]="","",INDEX(tblVerifyPatterns[Active],MOD(tblVerifyRota[[#This Row],[Date]]-$E$47+$E$50*3,$E$49)+1)))</f>
        <v>O</v>
      </c>
      <c r="J98" s="38" t="str">
        <f>IF(tblVerifyRota[[#This Row],[Date]]="","",IF(tblVerifyRota[[#This Row],[Crew A]]="D","A",IF(tblVerifyRota[[#This Row],[Crew B]]="D","B",IF(tblVerifyRota[[#This Row],[Crew C]]="D","C",IF(tblVerifyRota[[#This Row],[Crew D]]="D","D","")))))</f>
        <v>B</v>
      </c>
      <c r="K98" s="38" t="str">
        <f>IF(tblVerifyRota[[#This Row],[Date]]="","",IF(tblVerifyRota[[#This Row],[Crew A]]="N","A",IF(tblVerifyRota[[#This Row],[Crew B]]="N","B",IF(tblVerifyRota[[#This Row],[Crew C]]="N","C",IF(tblVerifyRota[[#This Row],[Crew D]]="N","D","")))))</f>
        <v>A</v>
      </c>
      <c r="L98" s="70">
        <v>0</v>
      </c>
      <c r="M98" s="70">
        <v>2</v>
      </c>
      <c r="N98" s="33">
        <f>IF(tblVerifyRota[[#This Row],[Date]]="","",IFERROR(INDEX(tblVerifyCrews[People],MATCH(tblVerifyRota[[#This Row],[Day crew]],tblVerifyCrews[Crew],0)),0)-tblVerifyRota[[#This Row],[Day absent (people)]])</f>
        <v>10</v>
      </c>
      <c r="O98" s="33">
        <f>IF(tblVerifyRota[[#This Row],[Date]]="","",IFERROR(INDEX(tblVerifyCrews[People],MATCH(tblVerifyRota[[#This Row],[Night crew]],tblVerifyCrews[Crew],0)),0)-tblVerifyRota[[#This Row],[Night absent (people)]])</f>
        <v>9</v>
      </c>
      <c r="P98" s="33">
        <f>IF(tblVerifyRota[[#This Row],[Date]]="","",MIN(tblVerifyRota[[#This Row],[Day on shift (people)]],tblVerifyRota[[#This Row],[Night on shift (people)]]))</f>
        <v>9</v>
      </c>
      <c r="Q98" s="33">
        <f>IF(tblVerifyRota[[#This Row],[Date]]="","",$E$52)</f>
        <v>10</v>
      </c>
      <c r="R98" s="39">
        <f>IF(tblVerifyRota[[#This Row],[Date]]="","",IF(tblVerifyRota[[#This Row],[Required (people)]]&gt;0,tblVerifyRota[[#This Row],[Fewest on shift (people)]]/tblVerifyRota[[#This Row],[Required (people)]],""))</f>
        <v>0.9</v>
      </c>
      <c r="S98" s="38" t="str">
        <f>IF(NOT(ISNUMBER(tblVerifyRota[[#This Row],[Lowest coverage]])),"",IF(tblVerifyRota[[#This Row],[Lowest coverage]]&gt;=$E$53,"On target",IF(tblVerifyRota[[#This Row],[Lowest coverage]]&gt;=$E$53*(1-0.05),"Near target","Below target")))</f>
        <v>Below target</v>
      </c>
      <c r="T98" s="33">
        <f>IF(tblVerifyRota[[#This Row],[Date]]="","",(tblVerifyRota[[#This Row],[Day on shift (people)]]&lt;tblVerifyRota[[#This Row],[Required (people)]])+(tblVerifyRota[[#This Row],[Night on shift (people)]]&lt;tblVerifyRota[[#This Row],[Required (people)]]))</f>
        <v>1</v>
      </c>
      <c r="U98" s="38" t="str">
        <f>IF(tblVerifyRota[[#This Row],[Date]]="","",IF(WEEKDAY(tblVerifyRota[[#This Row],[Date]],2)&gt;5,"Yes","No"))</f>
        <v>No</v>
      </c>
      <c r="V98" s="40" t="str">
        <f>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f>
        <v>OK</v>
      </c>
      <c r="W98" s="60" t="s">
        <v>135</v>
      </c>
    </row>
    <row r="99" spans="2:23">
      <c r="B99" s="73">
        <v>46030</v>
      </c>
      <c r="C99" s="38" t="str">
        <f>IF(tblVerifyRota[[#This Row],[Date]]="","",CHOOSE(WEEKDAY(tblVerifyRota[[#This Row],[Date]],2),"Mon","Tue","Wed","Thu","Fri","Sat","Sun"))</f>
        <v>Thu</v>
      </c>
      <c r="D99" s="60" t="s">
        <v>134</v>
      </c>
      <c r="E99" s="33">
        <f>IF(tblVerifyRota[[#This Row],[Date]]="","",MOD(tblVerifyRota[[#This Row],[Date]]-$E$47,$E$49)+1)</f>
        <v>4</v>
      </c>
      <c r="F99" s="38" t="str">
        <f>IF(tblVerifyRota[[#This Row],[Date]]="","",IF(tblVerifyRota[[#This Row],[Cycle day]]="","",INDEX(tblVerifyPatterns[Active],MOD(tblVerifyRota[[#This Row],[Date]]-$E$47+$E$50*0,$E$49)+1)))</f>
        <v>N</v>
      </c>
      <c r="G99" s="38" t="str">
        <f>IF(tblVerifyRota[[#This Row],[Date]]="","",IF(tblVerifyRota[[#This Row],[Cycle day]]="","",INDEX(tblVerifyPatterns[Active],MOD(tblVerifyRota[[#This Row],[Date]]-$E$47+$E$50*1,$E$49)+1)))</f>
        <v>O</v>
      </c>
      <c r="H99" s="38" t="str">
        <f>IF(tblVerifyRota[[#This Row],[Date]]="","",IF(tblVerifyRota[[#This Row],[Cycle day]]="","",INDEX(tblVerifyPatterns[Active],MOD(tblVerifyRota[[#This Row],[Date]]-$E$47+$E$50*2,$E$49)+1)))</f>
        <v>D</v>
      </c>
      <c r="I99" s="38" t="str">
        <f>IF(tblVerifyRota[[#This Row],[Date]]="","",IF(tblVerifyRota[[#This Row],[Cycle day]]="","",INDEX(tblVerifyPatterns[Active],MOD(tblVerifyRota[[#This Row],[Date]]-$E$47+$E$50*3,$E$49)+1)))</f>
        <v>O</v>
      </c>
      <c r="J99" s="38" t="str">
        <f>IF(tblVerifyRota[[#This Row],[Date]]="","",IF(tblVerifyRota[[#This Row],[Crew A]]="D","A",IF(tblVerifyRota[[#This Row],[Crew B]]="D","B",IF(tblVerifyRota[[#This Row],[Crew C]]="D","C",IF(tblVerifyRota[[#This Row],[Crew D]]="D","D","")))))</f>
        <v>C</v>
      </c>
      <c r="K99" s="38" t="str">
        <f>IF(tblVerifyRota[[#This Row],[Date]]="","",IF(tblVerifyRota[[#This Row],[Crew A]]="N","A",IF(tblVerifyRota[[#This Row],[Crew B]]="N","B",IF(tblVerifyRota[[#This Row],[Crew C]]="N","C",IF(tblVerifyRota[[#This Row],[Crew D]]="N","D","")))))</f>
        <v>A</v>
      </c>
      <c r="L99" s="70">
        <v>1</v>
      </c>
      <c r="M99" s="70">
        <v>1</v>
      </c>
      <c r="N99" s="33">
        <f>IF(tblVerifyRota[[#This Row],[Date]]="","",IFERROR(INDEX(tblVerifyCrews[People],MATCH(tblVerifyRota[[#This Row],[Day crew]],tblVerifyCrews[Crew],0)),0)-tblVerifyRota[[#This Row],[Day absent (people)]])</f>
        <v>9</v>
      </c>
      <c r="O99" s="33">
        <f>IF(tblVerifyRota[[#This Row],[Date]]="","",IFERROR(INDEX(tblVerifyCrews[People],MATCH(tblVerifyRota[[#This Row],[Night crew]],tblVerifyCrews[Crew],0)),0)-tblVerifyRota[[#This Row],[Night absent (people)]])</f>
        <v>10</v>
      </c>
      <c r="P99" s="33">
        <f>IF(tblVerifyRota[[#This Row],[Date]]="","",MIN(tblVerifyRota[[#This Row],[Day on shift (people)]],tblVerifyRota[[#This Row],[Night on shift (people)]]))</f>
        <v>9</v>
      </c>
      <c r="Q99" s="33">
        <f>IF(tblVerifyRota[[#This Row],[Date]]="","",$E$52)</f>
        <v>10</v>
      </c>
      <c r="R99" s="39">
        <f>IF(tblVerifyRota[[#This Row],[Date]]="","",IF(tblVerifyRota[[#This Row],[Required (people)]]&gt;0,tblVerifyRota[[#This Row],[Fewest on shift (people)]]/tblVerifyRota[[#This Row],[Required (people)]],""))</f>
        <v>0.9</v>
      </c>
      <c r="S99" s="38" t="str">
        <f>IF(NOT(ISNUMBER(tblVerifyRota[[#This Row],[Lowest coverage]])),"",IF(tblVerifyRota[[#This Row],[Lowest coverage]]&gt;=$E$53,"On target",IF(tblVerifyRota[[#This Row],[Lowest coverage]]&gt;=$E$53*(1-0.05),"Near target","Below target")))</f>
        <v>Below target</v>
      </c>
      <c r="T99" s="33">
        <f>IF(tblVerifyRota[[#This Row],[Date]]="","",(tblVerifyRota[[#This Row],[Day on shift (people)]]&lt;tblVerifyRota[[#This Row],[Required (people)]])+(tblVerifyRota[[#This Row],[Night on shift (people)]]&lt;tblVerifyRota[[#This Row],[Required (people)]]))</f>
        <v>1</v>
      </c>
      <c r="U99" s="38" t="str">
        <f>IF(tblVerifyRota[[#This Row],[Date]]="","",IF(WEEKDAY(tblVerifyRota[[#This Row],[Date]],2)&gt;5,"Yes","No"))</f>
        <v>No</v>
      </c>
      <c r="V99" s="40" t="str">
        <f>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f>
        <v>OK</v>
      </c>
      <c r="W99" s="60" t="s">
        <v>135</v>
      </c>
    </row>
    <row r="100" spans="2:23">
      <c r="B100" s="73">
        <v>46031</v>
      </c>
      <c r="C100" s="38" t="str">
        <f>IF(tblVerifyRota[[#This Row],[Date]]="","",CHOOSE(WEEKDAY(tblVerifyRota[[#This Row],[Date]],2),"Mon","Tue","Wed","Thu","Fri","Sat","Sun"))</f>
        <v>Fri</v>
      </c>
      <c r="D100" s="60" t="s">
        <v>134</v>
      </c>
      <c r="E100" s="33">
        <f>IF(tblVerifyRota[[#This Row],[Date]]="","",MOD(tblVerifyRota[[#This Row],[Date]]-$E$47,$E$49)+1)</f>
        <v>5</v>
      </c>
      <c r="F100" s="38" t="str">
        <f>IF(tblVerifyRota[[#This Row],[Date]]="","",IF(tblVerifyRota[[#This Row],[Cycle day]]="","",INDEX(tblVerifyPatterns[Active],MOD(tblVerifyRota[[#This Row],[Date]]-$E$47+$E$50*0,$E$49)+1)))</f>
        <v>O</v>
      </c>
      <c r="G100" s="38" t="str">
        <f>IF(tblVerifyRota[[#This Row],[Date]]="","",IF(tblVerifyRota[[#This Row],[Cycle day]]="","",INDEX(tblVerifyPatterns[Active],MOD(tblVerifyRota[[#This Row],[Date]]-$E$47+$E$50*1,$E$49)+1)))</f>
        <v>N</v>
      </c>
      <c r="H100" s="38" t="str">
        <f>IF(tblVerifyRota[[#This Row],[Date]]="","",IF(tblVerifyRota[[#This Row],[Cycle day]]="","",INDEX(tblVerifyPatterns[Active],MOD(tblVerifyRota[[#This Row],[Date]]-$E$47+$E$50*2,$E$49)+1)))</f>
        <v>D</v>
      </c>
      <c r="I100" s="38" t="str">
        <f>IF(tblVerifyRota[[#This Row],[Date]]="","",IF(tblVerifyRota[[#This Row],[Cycle day]]="","",INDEX(tblVerifyPatterns[Active],MOD(tblVerifyRota[[#This Row],[Date]]-$E$47+$E$50*3,$E$49)+1)))</f>
        <v>O</v>
      </c>
      <c r="J100" s="38" t="str">
        <f>IF(tblVerifyRota[[#This Row],[Date]]="","",IF(tblVerifyRota[[#This Row],[Crew A]]="D","A",IF(tblVerifyRota[[#This Row],[Crew B]]="D","B",IF(tblVerifyRota[[#This Row],[Crew C]]="D","C",IF(tblVerifyRota[[#This Row],[Crew D]]="D","D","")))))</f>
        <v>C</v>
      </c>
      <c r="K100" s="38" t="str">
        <f>IF(tblVerifyRota[[#This Row],[Date]]="","",IF(tblVerifyRota[[#This Row],[Crew A]]="N","A",IF(tblVerifyRota[[#This Row],[Crew B]]="N","B",IF(tblVerifyRota[[#This Row],[Crew C]]="N","C",IF(tblVerifyRota[[#This Row],[Crew D]]="N","D","")))))</f>
        <v>B</v>
      </c>
      <c r="L100" s="70">
        <v>0</v>
      </c>
      <c r="M100" s="70">
        <v>0</v>
      </c>
      <c r="N100" s="33">
        <f>IF(tblVerifyRota[[#This Row],[Date]]="","",IFERROR(INDEX(tblVerifyCrews[People],MATCH(tblVerifyRota[[#This Row],[Day crew]],tblVerifyCrews[Crew],0)),0)-tblVerifyRota[[#This Row],[Day absent (people)]])</f>
        <v>10</v>
      </c>
      <c r="O100" s="33">
        <f>IF(tblVerifyRota[[#This Row],[Date]]="","",IFERROR(INDEX(tblVerifyCrews[People],MATCH(tblVerifyRota[[#This Row],[Night crew]],tblVerifyCrews[Crew],0)),0)-tblVerifyRota[[#This Row],[Night absent (people)]])</f>
        <v>10</v>
      </c>
      <c r="P100" s="33">
        <f>IF(tblVerifyRota[[#This Row],[Date]]="","",MIN(tblVerifyRota[[#This Row],[Day on shift (people)]],tblVerifyRota[[#This Row],[Night on shift (people)]]))</f>
        <v>10</v>
      </c>
      <c r="Q100" s="33">
        <f>IF(tblVerifyRota[[#This Row],[Date]]="","",$E$52)</f>
        <v>10</v>
      </c>
      <c r="R100" s="39">
        <f>IF(tblVerifyRota[[#This Row],[Date]]="","",IF(tblVerifyRota[[#This Row],[Required (people)]]&gt;0,tblVerifyRota[[#This Row],[Fewest on shift (people)]]/tblVerifyRota[[#This Row],[Required (people)]],""))</f>
        <v>1</v>
      </c>
      <c r="S100" s="38" t="str">
        <f>IF(NOT(ISNUMBER(tblVerifyRota[[#This Row],[Lowest coverage]])),"",IF(tblVerifyRota[[#This Row],[Lowest coverage]]&gt;=$E$53,"On target",IF(tblVerifyRota[[#This Row],[Lowest coverage]]&gt;=$E$53*(1-0.05),"Near target","Below target")))</f>
        <v>On target</v>
      </c>
      <c r="T100" s="33">
        <f>IF(tblVerifyRota[[#This Row],[Date]]="","",(tblVerifyRota[[#This Row],[Day on shift (people)]]&lt;tblVerifyRota[[#This Row],[Required (people)]])+(tblVerifyRota[[#This Row],[Night on shift (people)]]&lt;tblVerifyRota[[#This Row],[Required (people)]]))</f>
        <v>0</v>
      </c>
      <c r="U100" s="38" t="str">
        <f>IF(tblVerifyRota[[#This Row],[Date]]="","",IF(WEEKDAY(tblVerifyRota[[#This Row],[Date]],2)&gt;5,"Yes","No"))</f>
        <v>No</v>
      </c>
      <c r="V100" s="40" t="str">
        <f>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f>
        <v>OK</v>
      </c>
      <c r="W100" s="60" t="s">
        <v>135</v>
      </c>
    </row>
    <row r="101" spans="2:23">
      <c r="B101" s="73">
        <v>46032</v>
      </c>
      <c r="C101" s="38" t="str">
        <f>IF(tblVerifyRota[[#This Row],[Date]]="","",CHOOSE(WEEKDAY(tblVerifyRota[[#This Row],[Date]],2),"Mon","Tue","Wed","Thu","Fri","Sat","Sun"))</f>
        <v>Sat</v>
      </c>
      <c r="D101" s="60" t="s">
        <v>134</v>
      </c>
      <c r="E101" s="33">
        <f>IF(tblVerifyRota[[#This Row],[Date]]="","",MOD(tblVerifyRota[[#This Row],[Date]]-$E$47,$E$49)+1)</f>
        <v>6</v>
      </c>
      <c r="F101" s="38" t="str">
        <f>IF(tblVerifyRota[[#This Row],[Date]]="","",IF(tblVerifyRota[[#This Row],[Cycle day]]="","",INDEX(tblVerifyPatterns[Active],MOD(tblVerifyRota[[#This Row],[Date]]-$E$47+$E$50*0,$E$49)+1)))</f>
        <v>O</v>
      </c>
      <c r="G101" s="38" t="str">
        <f>IF(tblVerifyRota[[#This Row],[Date]]="","",IF(tblVerifyRota[[#This Row],[Cycle day]]="","",INDEX(tblVerifyPatterns[Active],MOD(tblVerifyRota[[#This Row],[Date]]-$E$47+$E$50*1,$E$49)+1)))</f>
        <v>N</v>
      </c>
      <c r="H101" s="38" t="str">
        <f>IF(tblVerifyRota[[#This Row],[Date]]="","",IF(tblVerifyRota[[#This Row],[Cycle day]]="","",INDEX(tblVerifyPatterns[Active],MOD(tblVerifyRota[[#This Row],[Date]]-$E$47+$E$50*2,$E$49)+1)))</f>
        <v>D</v>
      </c>
      <c r="I101" s="38" t="str">
        <f>IF(tblVerifyRota[[#This Row],[Date]]="","",IF(tblVerifyRota[[#This Row],[Cycle day]]="","",INDEX(tblVerifyPatterns[Active],MOD(tblVerifyRota[[#This Row],[Date]]-$E$47+$E$50*3,$E$49)+1)))</f>
        <v>O</v>
      </c>
      <c r="J101" s="38" t="str">
        <f>IF(tblVerifyRota[[#This Row],[Date]]="","",IF(tblVerifyRota[[#This Row],[Crew A]]="D","A",IF(tblVerifyRota[[#This Row],[Crew B]]="D","B",IF(tblVerifyRota[[#This Row],[Crew C]]="D","C",IF(tblVerifyRota[[#This Row],[Crew D]]="D","D","")))))</f>
        <v>C</v>
      </c>
      <c r="K101" s="38" t="str">
        <f>IF(tblVerifyRota[[#This Row],[Date]]="","",IF(tblVerifyRota[[#This Row],[Crew A]]="N","A",IF(tblVerifyRota[[#This Row],[Crew B]]="N","B",IF(tblVerifyRota[[#This Row],[Crew C]]="N","C",IF(tblVerifyRota[[#This Row],[Crew D]]="N","D","")))))</f>
        <v>B</v>
      </c>
      <c r="L101" s="70">
        <v>2</v>
      </c>
      <c r="M101" s="70">
        <v>0</v>
      </c>
      <c r="N101" s="33">
        <f>IF(tblVerifyRota[[#This Row],[Date]]="","",IFERROR(INDEX(tblVerifyCrews[People],MATCH(tblVerifyRota[[#This Row],[Day crew]],tblVerifyCrews[Crew],0)),0)-tblVerifyRota[[#This Row],[Day absent (people)]])</f>
        <v>8</v>
      </c>
      <c r="O101" s="33">
        <f>IF(tblVerifyRota[[#This Row],[Date]]="","",IFERROR(INDEX(tblVerifyCrews[People],MATCH(tblVerifyRota[[#This Row],[Night crew]],tblVerifyCrews[Crew],0)),0)-tblVerifyRota[[#This Row],[Night absent (people)]])</f>
        <v>10</v>
      </c>
      <c r="P101" s="33">
        <f>IF(tblVerifyRota[[#This Row],[Date]]="","",MIN(tblVerifyRota[[#This Row],[Day on shift (people)]],tblVerifyRota[[#This Row],[Night on shift (people)]]))</f>
        <v>8</v>
      </c>
      <c r="Q101" s="33">
        <f>IF(tblVerifyRota[[#This Row],[Date]]="","",$E$52)</f>
        <v>10</v>
      </c>
      <c r="R101" s="39">
        <f>IF(tblVerifyRota[[#This Row],[Date]]="","",IF(tblVerifyRota[[#This Row],[Required (people)]]&gt;0,tblVerifyRota[[#This Row],[Fewest on shift (people)]]/tblVerifyRota[[#This Row],[Required (people)]],""))</f>
        <v>0.8</v>
      </c>
      <c r="S101" s="38" t="str">
        <f>IF(NOT(ISNUMBER(tblVerifyRota[[#This Row],[Lowest coverage]])),"",IF(tblVerifyRota[[#This Row],[Lowest coverage]]&gt;=$E$53,"On target",IF(tblVerifyRota[[#This Row],[Lowest coverage]]&gt;=$E$53*(1-0.05),"Near target","Below target")))</f>
        <v>Below target</v>
      </c>
      <c r="T101" s="33">
        <f>IF(tblVerifyRota[[#This Row],[Date]]="","",(tblVerifyRota[[#This Row],[Day on shift (people)]]&lt;tblVerifyRota[[#This Row],[Required (people)]])+(tblVerifyRota[[#This Row],[Night on shift (people)]]&lt;tblVerifyRota[[#This Row],[Required (people)]]))</f>
        <v>1</v>
      </c>
      <c r="U101" s="38" t="str">
        <f>IF(tblVerifyRota[[#This Row],[Date]]="","",IF(WEEKDAY(tblVerifyRota[[#This Row],[Date]],2)&gt;5,"Yes","No"))</f>
        <v>Yes</v>
      </c>
      <c r="V101" s="40" t="str">
        <f>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f>
        <v>OK</v>
      </c>
      <c r="W101" s="60" t="s">
        <v>135</v>
      </c>
    </row>
    <row r="102" spans="2:23">
      <c r="B102" s="73">
        <v>46033</v>
      </c>
      <c r="C102" s="38" t="str">
        <f>IF(tblVerifyRota[[#This Row],[Date]]="","",CHOOSE(WEEKDAY(tblVerifyRota[[#This Row],[Date]],2),"Mon","Tue","Wed","Thu","Fri","Sat","Sun"))</f>
        <v>Sun</v>
      </c>
      <c r="D102" s="60" t="s">
        <v>137</v>
      </c>
      <c r="E102" s="33">
        <f>IF(tblVerifyRota[[#This Row],[Date]]="","",MOD(tblVerifyRota[[#This Row],[Date]]-$E$47,$E$49)+1)</f>
        <v>7</v>
      </c>
      <c r="F102" s="38" t="str">
        <f>IF(tblVerifyRota[[#This Row],[Date]]="","",IF(tblVerifyRota[[#This Row],[Cycle day]]="","",INDEX(tblVerifyPatterns[Active],MOD(tblVerifyRota[[#This Row],[Date]]-$E$47+$E$50*0,$E$49)+1)))</f>
        <v>O</v>
      </c>
      <c r="G102" s="38" t="str">
        <f>IF(tblVerifyRota[[#This Row],[Date]]="","",IF(tblVerifyRota[[#This Row],[Cycle day]]="","",INDEX(tblVerifyPatterns[Active],MOD(tblVerifyRota[[#This Row],[Date]]-$E$47+$E$50*1,$E$49)+1)))</f>
        <v>N</v>
      </c>
      <c r="H102" s="38" t="str">
        <f>IF(tblVerifyRota[[#This Row],[Date]]="","",IF(tblVerifyRota[[#This Row],[Cycle day]]="","",INDEX(tblVerifyPatterns[Active],MOD(tblVerifyRota[[#This Row],[Date]]-$E$47+$E$50*2,$E$49)+1)))</f>
        <v>D</v>
      </c>
      <c r="I102" s="38" t="str">
        <f>IF(tblVerifyRota[[#This Row],[Date]]="","",IF(tblVerifyRota[[#This Row],[Cycle day]]="","",INDEX(tblVerifyPatterns[Active],MOD(tblVerifyRota[[#This Row],[Date]]-$E$47+$E$50*3,$E$49)+1)))</f>
        <v>O</v>
      </c>
      <c r="J102" s="38" t="str">
        <f>IF(tblVerifyRota[[#This Row],[Date]]="","",IF(tblVerifyRota[[#This Row],[Crew A]]="D","A",IF(tblVerifyRota[[#This Row],[Crew B]]="D","B",IF(tblVerifyRota[[#This Row],[Crew C]]="D","C",IF(tblVerifyRota[[#This Row],[Crew D]]="D","D","")))))</f>
        <v>C</v>
      </c>
      <c r="K102" s="38" t="str">
        <f>IF(tblVerifyRota[[#This Row],[Date]]="","",IF(tblVerifyRota[[#This Row],[Crew A]]="N","A",IF(tblVerifyRota[[#This Row],[Crew B]]="N","B",IF(tblVerifyRota[[#This Row],[Crew C]]="N","C",IF(tblVerifyRota[[#This Row],[Crew D]]="N","D","")))))</f>
        <v>B</v>
      </c>
      <c r="L102" s="70">
        <v>0</v>
      </c>
      <c r="M102" s="70">
        <v>1</v>
      </c>
      <c r="N102" s="33">
        <f>IF(tblVerifyRota[[#This Row],[Date]]="","",IFERROR(INDEX(tblVerifyCrews[People],MATCH(tblVerifyRota[[#This Row],[Day crew]],tblVerifyCrews[Crew],0)),0)-tblVerifyRota[[#This Row],[Day absent (people)]])</f>
        <v>10</v>
      </c>
      <c r="O102" s="33">
        <f>IF(tblVerifyRota[[#This Row],[Date]]="","",IFERROR(INDEX(tblVerifyCrews[People],MATCH(tblVerifyRota[[#This Row],[Night crew]],tblVerifyCrews[Crew],0)),0)-tblVerifyRota[[#This Row],[Night absent (people)]])</f>
        <v>9</v>
      </c>
      <c r="P102" s="33">
        <f>IF(tblVerifyRota[[#This Row],[Date]]="","",MIN(tblVerifyRota[[#This Row],[Day on shift (people)]],tblVerifyRota[[#This Row],[Night on shift (people)]]))</f>
        <v>9</v>
      </c>
      <c r="Q102" s="33">
        <f>IF(tblVerifyRota[[#This Row],[Date]]="","",$E$52)</f>
        <v>10</v>
      </c>
      <c r="R102" s="39">
        <f>IF(tblVerifyRota[[#This Row],[Date]]="","",IF(tblVerifyRota[[#This Row],[Required (people)]]&gt;0,tblVerifyRota[[#This Row],[Fewest on shift (people)]]/tblVerifyRota[[#This Row],[Required (people)]],""))</f>
        <v>0.9</v>
      </c>
      <c r="S102" s="38" t="str">
        <f>IF(NOT(ISNUMBER(tblVerifyRota[[#This Row],[Lowest coverage]])),"",IF(tblVerifyRota[[#This Row],[Lowest coverage]]&gt;=$E$53,"On target",IF(tblVerifyRota[[#This Row],[Lowest coverage]]&gt;=$E$53*(1-0.05),"Near target","Below target")))</f>
        <v>Below target</v>
      </c>
      <c r="T102" s="33">
        <f>IF(tblVerifyRota[[#This Row],[Date]]="","",(tblVerifyRota[[#This Row],[Day on shift (people)]]&lt;tblVerifyRota[[#This Row],[Required (people)]])+(tblVerifyRota[[#This Row],[Night on shift (people)]]&lt;tblVerifyRota[[#This Row],[Required (people)]]))</f>
        <v>1</v>
      </c>
      <c r="U102" s="38" t="str">
        <f>IF(tblVerifyRota[[#This Row],[Date]]="","",IF(WEEKDAY(tblVerifyRota[[#This Row],[Date]],2)&gt;5,"Yes","No"))</f>
        <v>Yes</v>
      </c>
      <c r="V102" s="40" t="str">
        <f>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f>
        <v>OK</v>
      </c>
      <c r="W102" s="60" t="s">
        <v>135</v>
      </c>
    </row>
    <row r="103" spans="2:23">
      <c r="B103" s="73">
        <v>46034</v>
      </c>
      <c r="C103" s="38" t="str">
        <f>IF(tblVerifyRota[[#This Row],[Date]]="","",CHOOSE(WEEKDAY(tblVerifyRota[[#This Row],[Date]],2),"Mon","Tue","Wed","Thu","Fri","Sat","Sun"))</f>
        <v>Mon</v>
      </c>
      <c r="D103" s="60" t="s">
        <v>134</v>
      </c>
      <c r="E103" s="33">
        <f>IF(tblVerifyRota[[#This Row],[Date]]="","",MOD(tblVerifyRota[[#This Row],[Date]]-$E$47,$E$49)+1)</f>
        <v>8</v>
      </c>
      <c r="F103" s="38" t="str">
        <f>IF(tblVerifyRota[[#This Row],[Date]]="","",IF(tblVerifyRota[[#This Row],[Cycle day]]="","",INDEX(tblVerifyPatterns[Active],MOD(tblVerifyRota[[#This Row],[Date]]-$E$47+$E$50*0,$E$49)+1)))</f>
        <v>D</v>
      </c>
      <c r="G103" s="38" t="str">
        <f>IF(tblVerifyRota[[#This Row],[Date]]="","",IF(tblVerifyRota[[#This Row],[Cycle day]]="","",INDEX(tblVerifyPatterns[Active],MOD(tblVerifyRota[[#This Row],[Date]]-$E$47+$E$50*1,$E$49)+1)))</f>
        <v>O</v>
      </c>
      <c r="H103" s="38" t="str">
        <f>IF(tblVerifyRota[[#This Row],[Date]]="","",IF(tblVerifyRota[[#This Row],[Cycle day]]="","",INDEX(tblVerifyPatterns[Active],MOD(tblVerifyRota[[#This Row],[Date]]-$E$47+$E$50*2,$E$49)+1)))</f>
        <v>O</v>
      </c>
      <c r="I103" s="38" t="str">
        <f>IF(tblVerifyRota[[#This Row],[Date]]="","",IF(tblVerifyRota[[#This Row],[Cycle day]]="","",INDEX(tblVerifyPatterns[Active],MOD(tblVerifyRota[[#This Row],[Date]]-$E$47+$E$50*3,$E$49)+1)))</f>
        <v>N</v>
      </c>
      <c r="J103" s="38" t="str">
        <f>IF(tblVerifyRota[[#This Row],[Date]]="","",IF(tblVerifyRota[[#This Row],[Crew A]]="D","A",IF(tblVerifyRota[[#This Row],[Crew B]]="D","B",IF(tblVerifyRota[[#This Row],[Crew C]]="D","C",IF(tblVerifyRota[[#This Row],[Crew D]]="D","D","")))))</f>
        <v>A</v>
      </c>
      <c r="K103" s="38" t="str">
        <f>IF(tblVerifyRota[[#This Row],[Date]]="","",IF(tblVerifyRota[[#This Row],[Crew A]]="N","A",IF(tblVerifyRota[[#This Row],[Crew B]]="N","B",IF(tblVerifyRota[[#This Row],[Crew C]]="N","C",IF(tblVerifyRota[[#This Row],[Crew D]]="N","D","")))))</f>
        <v>D</v>
      </c>
      <c r="L103" s="70">
        <v>13</v>
      </c>
      <c r="M103" s="70">
        <v>0</v>
      </c>
      <c r="N103" s="33">
        <f>IF(tblVerifyRota[[#This Row],[Date]]="","",IFERROR(INDEX(tblVerifyCrews[People],MATCH(tblVerifyRota[[#This Row],[Day crew]],tblVerifyCrews[Crew],0)),0)-tblVerifyRota[[#This Row],[Day absent (people)]])</f>
        <v>-2</v>
      </c>
      <c r="O103" s="33">
        <f>IF(tblVerifyRota[[#This Row],[Date]]="","",IFERROR(INDEX(tblVerifyCrews[People],MATCH(tblVerifyRota[[#This Row],[Night crew]],tblVerifyCrews[Crew],0)),0)-tblVerifyRota[[#This Row],[Night absent (people)]])</f>
        <v>12</v>
      </c>
      <c r="P103" s="33">
        <f>IF(tblVerifyRota[[#This Row],[Date]]="","",MIN(tblVerifyRota[[#This Row],[Day on shift (people)]],tblVerifyRota[[#This Row],[Night on shift (people)]]))</f>
        <v>-2</v>
      </c>
      <c r="Q103" s="33">
        <f>IF(tblVerifyRota[[#This Row],[Date]]="","",$E$52)</f>
        <v>10</v>
      </c>
      <c r="R103" s="39">
        <f>IF(tblVerifyRota[[#This Row],[Date]]="","",IF(tblVerifyRota[[#This Row],[Required (people)]]&gt;0,tblVerifyRota[[#This Row],[Fewest on shift (people)]]/tblVerifyRota[[#This Row],[Required (people)]],""))</f>
        <v>-0.2</v>
      </c>
      <c r="S103" s="38" t="str">
        <f>IF(NOT(ISNUMBER(tblVerifyRota[[#This Row],[Lowest coverage]])),"",IF(tblVerifyRota[[#This Row],[Lowest coverage]]&gt;=$E$53,"On target",IF(tblVerifyRota[[#This Row],[Lowest coverage]]&gt;=$E$53*(1-0.05),"Near target","Below target")))</f>
        <v>Below target</v>
      </c>
      <c r="T103" s="33">
        <f>IF(tblVerifyRota[[#This Row],[Date]]="","",(tblVerifyRota[[#This Row],[Day on shift (people)]]&lt;tblVerifyRota[[#This Row],[Required (people)]])+(tblVerifyRota[[#This Row],[Night on shift (people)]]&lt;tblVerifyRota[[#This Row],[Required (people)]]))</f>
        <v>1</v>
      </c>
      <c r="U103" s="38" t="str">
        <f>IF(tblVerifyRota[[#This Row],[Date]]="","",IF(WEEKDAY(tblVerifyRota[[#This Row],[Date]],2)&gt;5,"Yes","No"))</f>
        <v>No</v>
      </c>
      <c r="V103" s="40" t="str">
        <f>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f>
        <v>Absent &gt; crew size</v>
      </c>
      <c r="W103" s="60" t="s">
        <v>135</v>
      </c>
    </row>
    <row r="104" spans="2:23">
      <c r="B104" s="73">
        <v>46035</v>
      </c>
      <c r="C104" s="38" t="str">
        <f>IF(tblVerifyRota[[#This Row],[Date]]="","",CHOOSE(WEEKDAY(tblVerifyRota[[#This Row],[Date]],2),"Mon","Tue","Wed","Thu","Fri","Sat","Sun"))</f>
        <v>Tue</v>
      </c>
      <c r="D104" s="60" t="s">
        <v>134</v>
      </c>
      <c r="E104" s="33">
        <f>IF(tblVerifyRota[[#This Row],[Date]]="","",MOD(tblVerifyRota[[#This Row],[Date]]-$E$47,$E$49)+1)</f>
        <v>9</v>
      </c>
      <c r="F104" s="38" t="str">
        <f>IF(tblVerifyRota[[#This Row],[Date]]="","",IF(tblVerifyRota[[#This Row],[Cycle day]]="","",INDEX(tblVerifyPatterns[Active],MOD(tblVerifyRota[[#This Row],[Date]]-$E$47+$E$50*0,$E$49)+1)))</f>
        <v>D</v>
      </c>
      <c r="G104" s="38" t="str">
        <f>IF(tblVerifyRota[[#This Row],[Date]]="","",IF(tblVerifyRota[[#This Row],[Cycle day]]="","",INDEX(tblVerifyPatterns[Active],MOD(tblVerifyRota[[#This Row],[Date]]-$E$47+$E$50*1,$E$49)+1)))</f>
        <v>O</v>
      </c>
      <c r="H104" s="38" t="str">
        <f>IF(tblVerifyRota[[#This Row],[Date]]="","",IF(tblVerifyRota[[#This Row],[Cycle day]]="","",INDEX(tblVerifyPatterns[Active],MOD(tblVerifyRota[[#This Row],[Date]]-$E$47+$E$50*2,$E$49)+1)))</f>
        <v>O</v>
      </c>
      <c r="I104" s="38" t="str">
        <f>IF(tblVerifyRota[[#This Row],[Date]]="","",IF(tblVerifyRota[[#This Row],[Cycle day]]="","",INDEX(tblVerifyPatterns[Active],MOD(tblVerifyRota[[#This Row],[Date]]-$E$47+$E$50*3,$E$49)+1)))</f>
        <v>N</v>
      </c>
      <c r="J104" s="38" t="str">
        <f>IF(tblVerifyRota[[#This Row],[Date]]="","",IF(tblVerifyRota[[#This Row],[Crew A]]="D","A",IF(tblVerifyRota[[#This Row],[Crew B]]="D","B",IF(tblVerifyRota[[#This Row],[Crew C]]="D","C",IF(tblVerifyRota[[#This Row],[Crew D]]="D","D","")))))</f>
        <v>A</v>
      </c>
      <c r="K104" s="38" t="str">
        <f>IF(tblVerifyRota[[#This Row],[Date]]="","",IF(tblVerifyRota[[#This Row],[Crew A]]="N","A",IF(tblVerifyRota[[#This Row],[Crew B]]="N","B",IF(tblVerifyRota[[#This Row],[Crew C]]="N","C",IF(tblVerifyRota[[#This Row],[Crew D]]="N","D","")))))</f>
        <v>D</v>
      </c>
      <c r="L104" s="70">
        <v>0</v>
      </c>
      <c r="M104" s="70">
        <v>0</v>
      </c>
      <c r="N104" s="33">
        <f>IF(tblVerifyRota[[#This Row],[Date]]="","",IFERROR(INDEX(tblVerifyCrews[People],MATCH(tblVerifyRota[[#This Row],[Day crew]],tblVerifyCrews[Crew],0)),0)-tblVerifyRota[[#This Row],[Day absent (people)]])</f>
        <v>11</v>
      </c>
      <c r="O104" s="33">
        <f>IF(tblVerifyRota[[#This Row],[Date]]="","",IFERROR(INDEX(tblVerifyCrews[People],MATCH(tblVerifyRota[[#This Row],[Night crew]],tblVerifyCrews[Crew],0)),0)-tblVerifyRota[[#This Row],[Night absent (people)]])</f>
        <v>12</v>
      </c>
      <c r="P104" s="33">
        <f>IF(tblVerifyRota[[#This Row],[Date]]="","",MIN(tblVerifyRota[[#This Row],[Day on shift (people)]],tblVerifyRota[[#This Row],[Night on shift (people)]]))</f>
        <v>11</v>
      </c>
      <c r="Q104" s="33">
        <f>IF(tblVerifyRota[[#This Row],[Date]]="","",$E$52)</f>
        <v>10</v>
      </c>
      <c r="R104" s="39">
        <f>IF(tblVerifyRota[[#This Row],[Date]]="","",IF(tblVerifyRota[[#This Row],[Required (people)]]&gt;0,tblVerifyRota[[#This Row],[Fewest on shift (people)]]/tblVerifyRota[[#This Row],[Required (people)]],""))</f>
        <v>1.1</v>
      </c>
      <c r="S104" s="38" t="str">
        <f>IF(NOT(ISNUMBER(tblVerifyRota[[#This Row],[Lowest coverage]])),"",IF(tblVerifyRota[[#This Row],[Lowest coverage]]&gt;=$E$53,"On target",IF(tblVerifyRota[[#This Row],[Lowest coverage]]&gt;=$E$53*(1-0.05),"Near target","Below target")))</f>
        <v>On target</v>
      </c>
      <c r="T104" s="33">
        <f>IF(tblVerifyRota[[#This Row],[Date]]="","",(tblVerifyRota[[#This Row],[Day on shift (people)]]&lt;tblVerifyRota[[#This Row],[Required (people)]])+(tblVerifyRota[[#This Row],[Night on shift (people)]]&lt;tblVerifyRota[[#This Row],[Required (people)]]))</f>
        <v>0</v>
      </c>
      <c r="U104" s="38" t="str">
        <f>IF(tblVerifyRota[[#This Row],[Date]]="","",IF(WEEKDAY(tblVerifyRota[[#This Row],[Date]],2)&gt;5,"Yes","No"))</f>
        <v>No</v>
      </c>
      <c r="V104" s="40" t="str">
        <f>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f>
        <v>OK</v>
      </c>
      <c r="W104" s="60" t="s">
        <v>135</v>
      </c>
    </row>
    <row r="105" spans="2:23">
      <c r="B105" s="73">
        <v>46036</v>
      </c>
      <c r="C105" s="38" t="str">
        <f>IF(tblVerifyRota[[#This Row],[Date]]="","",CHOOSE(WEEKDAY(tblVerifyRota[[#This Row],[Date]],2),"Mon","Tue","Wed","Thu","Fri","Sat","Sun"))</f>
        <v>Wed</v>
      </c>
      <c r="D105" s="60" t="s">
        <v>134</v>
      </c>
      <c r="E105" s="33">
        <f>IF(tblVerifyRota[[#This Row],[Date]]="","",MOD(tblVerifyRota[[#This Row],[Date]]-$E$47,$E$49)+1)</f>
        <v>10</v>
      </c>
      <c r="F105" s="38" t="str">
        <f>IF(tblVerifyRota[[#This Row],[Date]]="","",IF(tblVerifyRota[[#This Row],[Cycle day]]="","",INDEX(tblVerifyPatterns[Active],MOD(tblVerifyRota[[#This Row],[Date]]-$E$47+$E$50*0,$E$49)+1)))</f>
        <v>D</v>
      </c>
      <c r="G105" s="38" t="str">
        <f>IF(tblVerifyRota[[#This Row],[Date]]="","",IF(tblVerifyRota[[#This Row],[Cycle day]]="","",INDEX(tblVerifyPatterns[Active],MOD(tblVerifyRota[[#This Row],[Date]]-$E$47+$E$50*1,$E$49)+1)))</f>
        <v>O</v>
      </c>
      <c r="H105" s="38" t="str">
        <f>IF(tblVerifyRota[[#This Row],[Date]]="","",IF(tblVerifyRota[[#This Row],[Cycle day]]="","",INDEX(tblVerifyPatterns[Active],MOD(tblVerifyRota[[#This Row],[Date]]-$E$47+$E$50*2,$E$49)+1)))</f>
        <v>O</v>
      </c>
      <c r="I105" s="38" t="str">
        <f>IF(tblVerifyRota[[#This Row],[Date]]="","",IF(tblVerifyRota[[#This Row],[Cycle day]]="","",INDEX(tblVerifyPatterns[Active],MOD(tblVerifyRota[[#This Row],[Date]]-$E$47+$E$50*3,$E$49)+1)))</f>
        <v>N</v>
      </c>
      <c r="J105" s="38" t="str">
        <f>IF(tblVerifyRota[[#This Row],[Date]]="","",IF(tblVerifyRota[[#This Row],[Crew A]]="D","A",IF(tblVerifyRota[[#This Row],[Crew B]]="D","B",IF(tblVerifyRota[[#This Row],[Crew C]]="D","C",IF(tblVerifyRota[[#This Row],[Crew D]]="D","D","")))))</f>
        <v>A</v>
      </c>
      <c r="K105" s="38" t="str">
        <f>IF(tblVerifyRota[[#This Row],[Date]]="","",IF(tblVerifyRota[[#This Row],[Crew A]]="N","A",IF(tblVerifyRota[[#This Row],[Crew B]]="N","B",IF(tblVerifyRota[[#This Row],[Crew C]]="N","C",IF(tblVerifyRota[[#This Row],[Crew D]]="N","D","")))))</f>
        <v>D</v>
      </c>
      <c r="L105" s="70">
        <v>0</v>
      </c>
      <c r="M105" s="70">
        <v>0</v>
      </c>
      <c r="N105" s="33">
        <f>IF(tblVerifyRota[[#This Row],[Date]]="","",IFERROR(INDEX(tblVerifyCrews[People],MATCH(tblVerifyRota[[#This Row],[Day crew]],tblVerifyCrews[Crew],0)),0)-tblVerifyRota[[#This Row],[Day absent (people)]])</f>
        <v>11</v>
      </c>
      <c r="O105" s="33">
        <f>IF(tblVerifyRota[[#This Row],[Date]]="","",IFERROR(INDEX(tblVerifyCrews[People],MATCH(tblVerifyRota[[#This Row],[Night crew]],tblVerifyCrews[Crew],0)),0)-tblVerifyRota[[#This Row],[Night absent (people)]])</f>
        <v>12</v>
      </c>
      <c r="P105" s="33">
        <f>IF(tblVerifyRota[[#This Row],[Date]]="","",MIN(tblVerifyRota[[#This Row],[Day on shift (people)]],tblVerifyRota[[#This Row],[Night on shift (people)]]))</f>
        <v>11</v>
      </c>
      <c r="Q105" s="33">
        <f>IF(tblVerifyRota[[#This Row],[Date]]="","",$E$52)</f>
        <v>10</v>
      </c>
      <c r="R105" s="39">
        <f>IF(tblVerifyRota[[#This Row],[Date]]="","",IF(tblVerifyRota[[#This Row],[Required (people)]]&gt;0,tblVerifyRota[[#This Row],[Fewest on shift (people)]]/tblVerifyRota[[#This Row],[Required (people)]],""))</f>
        <v>1.1</v>
      </c>
      <c r="S105" s="38" t="str">
        <f>IF(NOT(ISNUMBER(tblVerifyRota[[#This Row],[Lowest coverage]])),"",IF(tblVerifyRota[[#This Row],[Lowest coverage]]&gt;=$E$53,"On target",IF(tblVerifyRota[[#This Row],[Lowest coverage]]&gt;=$E$53*(1-0.05),"Near target","Below target")))</f>
        <v>On target</v>
      </c>
      <c r="T105" s="33">
        <f>IF(tblVerifyRota[[#This Row],[Date]]="","",(tblVerifyRota[[#This Row],[Day on shift (people)]]&lt;tblVerifyRota[[#This Row],[Required (people)]])+(tblVerifyRota[[#This Row],[Night on shift (people)]]&lt;tblVerifyRota[[#This Row],[Required (people)]]))</f>
        <v>0</v>
      </c>
      <c r="U105" s="38" t="str">
        <f>IF(tblVerifyRota[[#This Row],[Date]]="","",IF(WEEKDAY(tblVerifyRota[[#This Row],[Date]],2)&gt;5,"Yes","No"))</f>
        <v>No</v>
      </c>
      <c r="V105" s="40" t="str">
        <f>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f>
        <v>OK</v>
      </c>
      <c r="W105" s="60" t="s">
        <v>135</v>
      </c>
    </row>
    <row r="106" spans="2:23">
      <c r="B106" s="73">
        <v>46037</v>
      </c>
      <c r="C106" s="38" t="str">
        <f>IF(tblVerifyRota[[#This Row],[Date]]="","",CHOOSE(WEEKDAY(tblVerifyRota[[#This Row],[Date]],2),"Mon","Tue","Wed","Thu","Fri","Sat","Sun"))</f>
        <v>Thu</v>
      </c>
      <c r="D106" s="60" t="s">
        <v>134</v>
      </c>
      <c r="E106" s="33">
        <f>IF(tblVerifyRota[[#This Row],[Date]]="","",MOD(tblVerifyRota[[#This Row],[Date]]-$E$47,$E$49)+1)</f>
        <v>11</v>
      </c>
      <c r="F106" s="38" t="str">
        <f>IF(tblVerifyRota[[#This Row],[Date]]="","",IF(tblVerifyRota[[#This Row],[Cycle day]]="","",INDEX(tblVerifyPatterns[Active],MOD(tblVerifyRota[[#This Row],[Date]]-$E$47+$E$50*0,$E$49)+1)))</f>
        <v>O</v>
      </c>
      <c r="G106" s="38" t="str">
        <f>IF(tblVerifyRota[[#This Row],[Date]]="","",IF(tblVerifyRota[[#This Row],[Cycle day]]="","",INDEX(tblVerifyPatterns[Active],MOD(tblVerifyRota[[#This Row],[Date]]-$E$47+$E$50*1,$E$49)+1)))</f>
        <v>D</v>
      </c>
      <c r="H106" s="38" t="str">
        <f>IF(tblVerifyRota[[#This Row],[Date]]="","",IF(tblVerifyRota[[#This Row],[Cycle day]]="","",INDEX(tblVerifyPatterns[Active],MOD(tblVerifyRota[[#This Row],[Date]]-$E$47+$E$50*2,$E$49)+1)))</f>
        <v>O</v>
      </c>
      <c r="I106" s="38" t="str">
        <f>IF(tblVerifyRota[[#This Row],[Date]]="","",IF(tblVerifyRota[[#This Row],[Cycle day]]="","",INDEX(tblVerifyPatterns[Active],MOD(tblVerifyRota[[#This Row],[Date]]-$E$47+$E$50*3,$E$49)+1)))</f>
        <v>N</v>
      </c>
      <c r="J106" s="38" t="str">
        <f>IF(tblVerifyRota[[#This Row],[Date]]="","",IF(tblVerifyRota[[#This Row],[Crew A]]="D","A",IF(tblVerifyRota[[#This Row],[Crew B]]="D","B",IF(tblVerifyRota[[#This Row],[Crew C]]="D","C",IF(tblVerifyRota[[#This Row],[Crew D]]="D","D","")))))</f>
        <v>B</v>
      </c>
      <c r="K106" s="38" t="str">
        <f>IF(tblVerifyRota[[#This Row],[Date]]="","",IF(tblVerifyRota[[#This Row],[Crew A]]="N","A",IF(tblVerifyRota[[#This Row],[Crew B]]="N","B",IF(tblVerifyRota[[#This Row],[Crew C]]="N","C",IF(tblVerifyRota[[#This Row],[Crew D]]="N","D","")))))</f>
        <v>D</v>
      </c>
      <c r="L106" s="70">
        <v>1</v>
      </c>
      <c r="M106" s="70">
        <v>0</v>
      </c>
      <c r="N106" s="33">
        <f>IF(tblVerifyRota[[#This Row],[Date]]="","",IFERROR(INDEX(tblVerifyCrews[People],MATCH(tblVerifyRota[[#This Row],[Day crew]],tblVerifyCrews[Crew],0)),0)-tblVerifyRota[[#This Row],[Day absent (people)]])</f>
        <v>9</v>
      </c>
      <c r="O106" s="33">
        <f>IF(tblVerifyRota[[#This Row],[Date]]="","",IFERROR(INDEX(tblVerifyCrews[People],MATCH(tblVerifyRota[[#This Row],[Night crew]],tblVerifyCrews[Crew],0)),0)-tblVerifyRota[[#This Row],[Night absent (people)]])</f>
        <v>12</v>
      </c>
      <c r="P106" s="33">
        <f>IF(tblVerifyRota[[#This Row],[Date]]="","",MIN(tblVerifyRota[[#This Row],[Day on shift (people)]],tblVerifyRota[[#This Row],[Night on shift (people)]]))</f>
        <v>9</v>
      </c>
      <c r="Q106" s="33">
        <f>IF(tblVerifyRota[[#This Row],[Date]]="","",$E$52)</f>
        <v>10</v>
      </c>
      <c r="R106" s="39">
        <f>IF(tblVerifyRota[[#This Row],[Date]]="","",IF(tblVerifyRota[[#This Row],[Required (people)]]&gt;0,tblVerifyRota[[#This Row],[Fewest on shift (people)]]/tblVerifyRota[[#This Row],[Required (people)]],""))</f>
        <v>0.9</v>
      </c>
      <c r="S106" s="38" t="str">
        <f>IF(NOT(ISNUMBER(tblVerifyRota[[#This Row],[Lowest coverage]])),"",IF(tblVerifyRota[[#This Row],[Lowest coverage]]&gt;=$E$53,"On target",IF(tblVerifyRota[[#This Row],[Lowest coverage]]&gt;=$E$53*(1-0.05),"Near target","Below target")))</f>
        <v>Below target</v>
      </c>
      <c r="T106" s="33">
        <f>IF(tblVerifyRota[[#This Row],[Date]]="","",(tblVerifyRota[[#This Row],[Day on shift (people)]]&lt;tblVerifyRota[[#This Row],[Required (people)]])+(tblVerifyRota[[#This Row],[Night on shift (people)]]&lt;tblVerifyRota[[#This Row],[Required (people)]]))</f>
        <v>1</v>
      </c>
      <c r="U106" s="38" t="str">
        <f>IF(tblVerifyRota[[#This Row],[Date]]="","",IF(WEEKDAY(tblVerifyRota[[#This Row],[Date]],2)&gt;5,"Yes","No"))</f>
        <v>No</v>
      </c>
      <c r="V106" s="40" t="str">
        <f>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f>
        <v>OK</v>
      </c>
      <c r="W106" s="60" t="s">
        <v>135</v>
      </c>
    </row>
    <row r="107" spans="2:23">
      <c r="B107" s="73">
        <v>46038</v>
      </c>
      <c r="C107" s="38" t="str">
        <f>IF(tblVerifyRota[[#This Row],[Date]]="","",CHOOSE(WEEKDAY(tblVerifyRota[[#This Row],[Date]],2),"Mon","Tue","Wed","Thu","Fri","Sat","Sun"))</f>
        <v>Fri</v>
      </c>
      <c r="D107" s="60" t="s">
        <v>134</v>
      </c>
      <c r="E107" s="33">
        <f>IF(tblVerifyRota[[#This Row],[Date]]="","",MOD(tblVerifyRota[[#This Row],[Date]]-$E$47,$E$49)+1)</f>
        <v>12</v>
      </c>
      <c r="F107" s="38" t="str">
        <f>IF(tblVerifyRota[[#This Row],[Date]]="","",IF(tblVerifyRota[[#This Row],[Cycle day]]="","",INDEX(tblVerifyPatterns[Active],MOD(tblVerifyRota[[#This Row],[Date]]-$E$47+$E$50*0,$E$49)+1)))</f>
        <v>N</v>
      </c>
      <c r="G107" s="38" t="str">
        <f>IF(tblVerifyRota[[#This Row],[Date]]="","",IF(tblVerifyRota[[#This Row],[Cycle day]]="","",INDEX(tblVerifyPatterns[Active],MOD(tblVerifyRota[[#This Row],[Date]]-$E$47+$E$50*1,$E$49)+1)))</f>
        <v>D</v>
      </c>
      <c r="H107" s="38" t="str">
        <f>IF(tblVerifyRota[[#This Row],[Date]]="","",IF(tblVerifyRota[[#This Row],[Cycle day]]="","",INDEX(tblVerifyPatterns[Active],MOD(tblVerifyRota[[#This Row],[Date]]-$E$47+$E$50*2,$E$49)+1)))</f>
        <v>O</v>
      </c>
      <c r="I107" s="38" t="str">
        <f>IF(tblVerifyRota[[#This Row],[Date]]="","",IF(tblVerifyRota[[#This Row],[Cycle day]]="","",INDEX(tblVerifyPatterns[Active],MOD(tblVerifyRota[[#This Row],[Date]]-$E$47+$E$50*3,$E$49)+1)))</f>
        <v>O</v>
      </c>
      <c r="J107" s="38" t="str">
        <f>IF(tblVerifyRota[[#This Row],[Date]]="","",IF(tblVerifyRota[[#This Row],[Crew A]]="D","A",IF(tblVerifyRota[[#This Row],[Crew B]]="D","B",IF(tblVerifyRota[[#This Row],[Crew C]]="D","C",IF(tblVerifyRota[[#This Row],[Crew D]]="D","D","")))))</f>
        <v>B</v>
      </c>
      <c r="K107" s="38" t="str">
        <f>IF(tblVerifyRota[[#This Row],[Date]]="","",IF(tblVerifyRota[[#This Row],[Crew A]]="N","A",IF(tblVerifyRota[[#This Row],[Crew B]]="N","B",IF(tblVerifyRota[[#This Row],[Crew C]]="N","C",IF(tblVerifyRota[[#This Row],[Crew D]]="N","D","")))))</f>
        <v>A</v>
      </c>
      <c r="L107" s="70">
        <v>0</v>
      </c>
      <c r="M107" s="70">
        <v>0</v>
      </c>
      <c r="N107" s="33">
        <f>IF(tblVerifyRota[[#This Row],[Date]]="","",IFERROR(INDEX(tblVerifyCrews[People],MATCH(tblVerifyRota[[#This Row],[Day crew]],tblVerifyCrews[Crew],0)),0)-tblVerifyRota[[#This Row],[Day absent (people)]])</f>
        <v>10</v>
      </c>
      <c r="O107" s="33">
        <f>IF(tblVerifyRota[[#This Row],[Date]]="","",IFERROR(INDEX(tblVerifyCrews[People],MATCH(tblVerifyRota[[#This Row],[Night crew]],tblVerifyCrews[Crew],0)),0)-tblVerifyRota[[#This Row],[Night absent (people)]])</f>
        <v>11</v>
      </c>
      <c r="P107" s="33">
        <f>IF(tblVerifyRota[[#This Row],[Date]]="","",MIN(tblVerifyRota[[#This Row],[Day on shift (people)]],tblVerifyRota[[#This Row],[Night on shift (people)]]))</f>
        <v>10</v>
      </c>
      <c r="Q107" s="33">
        <f>IF(tblVerifyRota[[#This Row],[Date]]="","",$E$52)</f>
        <v>10</v>
      </c>
      <c r="R107" s="39">
        <f>IF(tblVerifyRota[[#This Row],[Date]]="","",IF(tblVerifyRota[[#This Row],[Required (people)]]&gt;0,tblVerifyRota[[#This Row],[Fewest on shift (people)]]/tblVerifyRota[[#This Row],[Required (people)]],""))</f>
        <v>1</v>
      </c>
      <c r="S107" s="38" t="str">
        <f>IF(NOT(ISNUMBER(tblVerifyRota[[#This Row],[Lowest coverage]])),"",IF(tblVerifyRota[[#This Row],[Lowest coverage]]&gt;=$E$53,"On target",IF(tblVerifyRota[[#This Row],[Lowest coverage]]&gt;=$E$53*(1-0.05),"Near target","Below target")))</f>
        <v>On target</v>
      </c>
      <c r="T107" s="33">
        <f>IF(tblVerifyRota[[#This Row],[Date]]="","",(tblVerifyRota[[#This Row],[Day on shift (people)]]&lt;tblVerifyRota[[#This Row],[Required (people)]])+(tblVerifyRota[[#This Row],[Night on shift (people)]]&lt;tblVerifyRota[[#This Row],[Required (people)]]))</f>
        <v>0</v>
      </c>
      <c r="U107" s="38" t="str">
        <f>IF(tblVerifyRota[[#This Row],[Date]]="","",IF(WEEKDAY(tblVerifyRota[[#This Row],[Date]],2)&gt;5,"Yes","No"))</f>
        <v>No</v>
      </c>
      <c r="V107" s="40" t="str">
        <f>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f>
        <v>OK</v>
      </c>
      <c r="W107" s="60" t="s">
        <v>135</v>
      </c>
    </row>
    <row r="108" spans="2:23">
      <c r="B108" s="73">
        <v>46039</v>
      </c>
      <c r="C108" s="38" t="str">
        <f>IF(tblVerifyRota[[#This Row],[Date]]="","",CHOOSE(WEEKDAY(tblVerifyRota[[#This Row],[Date]],2),"Mon","Tue","Wed","Thu","Fri","Sat","Sun"))</f>
        <v>Sat</v>
      </c>
      <c r="D108" s="60" t="s">
        <v>134</v>
      </c>
      <c r="E108" s="33">
        <f>IF(tblVerifyRota[[#This Row],[Date]]="","",MOD(tblVerifyRota[[#This Row],[Date]]-$E$47,$E$49)+1)</f>
        <v>13</v>
      </c>
      <c r="F108" s="38" t="str">
        <f>IF(tblVerifyRota[[#This Row],[Date]]="","",IF(tblVerifyRota[[#This Row],[Cycle day]]="","",INDEX(tblVerifyPatterns[Active],MOD(tblVerifyRota[[#This Row],[Date]]-$E$47+$E$50*0,$E$49)+1)))</f>
        <v>N</v>
      </c>
      <c r="G108" s="38" t="str">
        <f>IF(tblVerifyRota[[#This Row],[Date]]="","",IF(tblVerifyRota[[#This Row],[Cycle day]]="","",INDEX(tblVerifyPatterns[Active],MOD(tblVerifyRota[[#This Row],[Date]]-$E$47+$E$50*1,$E$49)+1)))</f>
        <v>D</v>
      </c>
      <c r="H108" s="38" t="str">
        <f>IF(tblVerifyRota[[#This Row],[Date]]="","",IF(tblVerifyRota[[#This Row],[Cycle day]]="","",INDEX(tblVerifyPatterns[Active],MOD(tblVerifyRota[[#This Row],[Date]]-$E$47+$E$50*2,$E$49)+1)))</f>
        <v>O</v>
      </c>
      <c r="I108" s="38" t="str">
        <f>IF(tblVerifyRota[[#This Row],[Date]]="","",IF(tblVerifyRota[[#This Row],[Cycle day]]="","",INDEX(tblVerifyPatterns[Active],MOD(tblVerifyRota[[#This Row],[Date]]-$E$47+$E$50*3,$E$49)+1)))</f>
        <v>O</v>
      </c>
      <c r="J108" s="38" t="str">
        <f>IF(tblVerifyRota[[#This Row],[Date]]="","",IF(tblVerifyRota[[#This Row],[Crew A]]="D","A",IF(tblVerifyRota[[#This Row],[Crew B]]="D","B",IF(tblVerifyRota[[#This Row],[Crew C]]="D","C",IF(tblVerifyRota[[#This Row],[Crew D]]="D","D","")))))</f>
        <v>B</v>
      </c>
      <c r="K108" s="38" t="str">
        <f>IF(tblVerifyRota[[#This Row],[Date]]="","",IF(tblVerifyRota[[#This Row],[Crew A]]="N","A",IF(tblVerifyRota[[#This Row],[Crew B]]="N","B",IF(tblVerifyRota[[#This Row],[Crew C]]="N","C",IF(tblVerifyRota[[#This Row],[Crew D]]="N","D","")))))</f>
        <v>A</v>
      </c>
      <c r="L108" s="70">
        <v>0</v>
      </c>
      <c r="M108" s="70">
        <v>0</v>
      </c>
      <c r="N108" s="33">
        <f>IF(tblVerifyRota[[#This Row],[Date]]="","",IFERROR(INDEX(tblVerifyCrews[People],MATCH(tblVerifyRota[[#This Row],[Day crew]],tblVerifyCrews[Crew],0)),0)-tblVerifyRota[[#This Row],[Day absent (people)]])</f>
        <v>10</v>
      </c>
      <c r="O108" s="33">
        <f>IF(tblVerifyRota[[#This Row],[Date]]="","",IFERROR(INDEX(tblVerifyCrews[People],MATCH(tblVerifyRota[[#This Row],[Night crew]],tblVerifyCrews[Crew],0)),0)-tblVerifyRota[[#This Row],[Night absent (people)]])</f>
        <v>11</v>
      </c>
      <c r="P108" s="33">
        <f>IF(tblVerifyRota[[#This Row],[Date]]="","",MIN(tblVerifyRota[[#This Row],[Day on shift (people)]],tblVerifyRota[[#This Row],[Night on shift (people)]]))</f>
        <v>10</v>
      </c>
      <c r="Q108" s="33">
        <f>IF(tblVerifyRota[[#This Row],[Date]]="","",$E$52)</f>
        <v>10</v>
      </c>
      <c r="R108" s="39">
        <f>IF(tblVerifyRota[[#This Row],[Date]]="","",IF(tblVerifyRota[[#This Row],[Required (people)]]&gt;0,tblVerifyRota[[#This Row],[Fewest on shift (people)]]/tblVerifyRota[[#This Row],[Required (people)]],""))</f>
        <v>1</v>
      </c>
      <c r="S108" s="38" t="str">
        <f>IF(NOT(ISNUMBER(tblVerifyRota[[#This Row],[Lowest coverage]])),"",IF(tblVerifyRota[[#This Row],[Lowest coverage]]&gt;=$E$53,"On target",IF(tblVerifyRota[[#This Row],[Lowest coverage]]&gt;=$E$53*(1-0.05),"Near target","Below target")))</f>
        <v>On target</v>
      </c>
      <c r="T108" s="33">
        <f>IF(tblVerifyRota[[#This Row],[Date]]="","",(tblVerifyRota[[#This Row],[Day on shift (people)]]&lt;tblVerifyRota[[#This Row],[Required (people)]])+(tblVerifyRota[[#This Row],[Night on shift (people)]]&lt;tblVerifyRota[[#This Row],[Required (people)]]))</f>
        <v>0</v>
      </c>
      <c r="U108" s="38" t="str">
        <f>IF(tblVerifyRota[[#This Row],[Date]]="","",IF(WEEKDAY(tblVerifyRota[[#This Row],[Date]],2)&gt;5,"Yes","No"))</f>
        <v>Yes</v>
      </c>
      <c r="V108" s="40" t="str">
        <f>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f>
        <v>OK</v>
      </c>
      <c r="W108" s="60" t="s">
        <v>135</v>
      </c>
    </row>
    <row r="109" spans="2:23">
      <c r="B109" s="73">
        <v>46040</v>
      </c>
      <c r="C109" s="38" t="str">
        <f>IF(tblVerifyRota[[#This Row],[Date]]="","",CHOOSE(WEEKDAY(tblVerifyRota[[#This Row],[Date]],2),"Mon","Tue","Wed","Thu","Fri","Sat","Sun"))</f>
        <v>Sun</v>
      </c>
      <c r="D109" s="60" t="s">
        <v>134</v>
      </c>
      <c r="E109" s="33">
        <f>IF(tblVerifyRota[[#This Row],[Date]]="","",MOD(tblVerifyRota[[#This Row],[Date]]-$E$47,$E$49)+1)</f>
        <v>14</v>
      </c>
      <c r="F109" s="38" t="str">
        <f>IF(tblVerifyRota[[#This Row],[Date]]="","",IF(tblVerifyRota[[#This Row],[Cycle day]]="","",INDEX(tblVerifyPatterns[Active],MOD(tblVerifyRota[[#This Row],[Date]]-$E$47+$E$50*0,$E$49)+1)))</f>
        <v>N</v>
      </c>
      <c r="G109" s="38" t="str">
        <f>IF(tblVerifyRota[[#This Row],[Date]]="","",IF(tblVerifyRota[[#This Row],[Cycle day]]="","",INDEX(tblVerifyPatterns[Active],MOD(tblVerifyRota[[#This Row],[Date]]-$E$47+$E$50*1,$E$49)+1)))</f>
        <v>D</v>
      </c>
      <c r="H109" s="38" t="str">
        <f>IF(tblVerifyRota[[#This Row],[Date]]="","",IF(tblVerifyRota[[#This Row],[Cycle day]]="","",INDEX(tblVerifyPatterns[Active],MOD(tblVerifyRota[[#This Row],[Date]]-$E$47+$E$50*2,$E$49)+1)))</f>
        <v>O</v>
      </c>
      <c r="I109" s="38" t="str">
        <f>IF(tblVerifyRota[[#This Row],[Date]]="","",IF(tblVerifyRota[[#This Row],[Cycle day]]="","",INDEX(tblVerifyPatterns[Active],MOD(tblVerifyRota[[#This Row],[Date]]-$E$47+$E$50*3,$E$49)+1)))</f>
        <v>O</v>
      </c>
      <c r="J109" s="38" t="str">
        <f>IF(tblVerifyRota[[#This Row],[Date]]="","",IF(tblVerifyRota[[#This Row],[Crew A]]="D","A",IF(tblVerifyRota[[#This Row],[Crew B]]="D","B",IF(tblVerifyRota[[#This Row],[Crew C]]="D","C",IF(tblVerifyRota[[#This Row],[Crew D]]="D","D","")))))</f>
        <v>B</v>
      </c>
      <c r="K109" s="38" t="str">
        <f>IF(tblVerifyRota[[#This Row],[Date]]="","",IF(tblVerifyRota[[#This Row],[Crew A]]="N","A",IF(tblVerifyRota[[#This Row],[Crew B]]="N","B",IF(tblVerifyRota[[#This Row],[Crew C]]="N","C",IF(tblVerifyRota[[#This Row],[Crew D]]="N","D","")))))</f>
        <v>A</v>
      </c>
      <c r="L109" s="70">
        <v>0</v>
      </c>
      <c r="M109" s="70">
        <v>3</v>
      </c>
      <c r="N109" s="33">
        <f>IF(tblVerifyRota[[#This Row],[Date]]="","",IFERROR(INDEX(tblVerifyCrews[People],MATCH(tblVerifyRota[[#This Row],[Day crew]],tblVerifyCrews[Crew],0)),0)-tblVerifyRota[[#This Row],[Day absent (people)]])</f>
        <v>10</v>
      </c>
      <c r="O109" s="33">
        <f>IF(tblVerifyRota[[#This Row],[Date]]="","",IFERROR(INDEX(tblVerifyCrews[People],MATCH(tblVerifyRota[[#This Row],[Night crew]],tblVerifyCrews[Crew],0)),0)-tblVerifyRota[[#This Row],[Night absent (people)]])</f>
        <v>8</v>
      </c>
      <c r="P109" s="33">
        <f>IF(tblVerifyRota[[#This Row],[Date]]="","",MIN(tblVerifyRota[[#This Row],[Day on shift (people)]],tblVerifyRota[[#This Row],[Night on shift (people)]]))</f>
        <v>8</v>
      </c>
      <c r="Q109" s="33">
        <f>IF(tblVerifyRota[[#This Row],[Date]]="","",$E$52)</f>
        <v>10</v>
      </c>
      <c r="R109" s="39">
        <f>IF(tblVerifyRota[[#This Row],[Date]]="","",IF(tblVerifyRota[[#This Row],[Required (people)]]&gt;0,tblVerifyRota[[#This Row],[Fewest on shift (people)]]/tblVerifyRota[[#This Row],[Required (people)]],""))</f>
        <v>0.8</v>
      </c>
      <c r="S109" s="38" t="str">
        <f>IF(NOT(ISNUMBER(tblVerifyRota[[#This Row],[Lowest coverage]])),"",IF(tblVerifyRota[[#This Row],[Lowest coverage]]&gt;=$E$53,"On target",IF(tblVerifyRota[[#This Row],[Lowest coverage]]&gt;=$E$53*(1-0.05),"Near target","Below target")))</f>
        <v>Below target</v>
      </c>
      <c r="T109" s="33">
        <f>IF(tblVerifyRota[[#This Row],[Date]]="","",(tblVerifyRota[[#This Row],[Day on shift (people)]]&lt;tblVerifyRota[[#This Row],[Required (people)]])+(tblVerifyRota[[#This Row],[Night on shift (people)]]&lt;tblVerifyRota[[#This Row],[Required (people)]]))</f>
        <v>1</v>
      </c>
      <c r="U109" s="38" t="str">
        <f>IF(tblVerifyRota[[#This Row],[Date]]="","",IF(WEEKDAY(tblVerifyRota[[#This Row],[Date]],2)&gt;5,"Yes","No"))</f>
        <v>Yes</v>
      </c>
      <c r="V109" s="40" t="str">
        <f>IF(tblVerifyRota[[#This Row],[Date]]="","",IF(((tblVerifyRota[[#This Row],[Crew A]]="D")+(tblVerifyRota[[#This Row],[Crew B]]="D")+(tblVerifyRota[[#This Row],[Crew C]]="D")+(tblVerifyRota[[#This Row],[Crew D]]="D"))&lt;&gt;1,"Not one crew on days",IF(((tblVerifyRota[[#This Row],[Crew A]]="N")+(tblVerifyRota[[#This Row],[Crew B]]="N")+(tblVerifyRota[[#This Row],[Crew C]]="N")+(tblVerifyRota[[#This Row],[Crew D]]="N"))&lt;&gt;1,"Not one crew on nights",IF(OR(tblVerifyRota[[#This Row],[Day on shift (people)]]&lt;0,tblVerifyRota[[#This Row],[Night on shift (people)]]&lt;0),"Absent &gt; crew size",IF(COUNTIF(tblVerifyRota[Date],tblVerifyRota[[#This Row],[Date]])&gt;1,"Duplicate date","OK")))))</f>
        <v>OK</v>
      </c>
      <c r="W109" s="60" t="s">
        <v>135</v>
      </c>
    </row>
    <row r="111" spans="2:23">
      <c r="B111" s="35" t="s">
        <v>273</v>
      </c>
      <c r="C111" s="35"/>
      <c r="D111" s="35"/>
      <c r="E111" s="35"/>
      <c r="F111" s="35"/>
      <c r="G111" s="35"/>
      <c r="H111" s="35"/>
      <c r="I111" s="35"/>
      <c r="J111" s="35"/>
      <c r="K111" s="35"/>
      <c r="L111" s="35"/>
    </row>
    <row r="112" spans="2:23" ht="32" customHeight="1">
      <c r="B112" s="51" t="s">
        <v>60</v>
      </c>
      <c r="C112" s="36" t="s">
        <v>62</v>
      </c>
      <c r="D112" s="36" t="s">
        <v>147</v>
      </c>
      <c r="E112" s="36" t="s">
        <v>148</v>
      </c>
      <c r="F112" s="36" t="s">
        <v>149</v>
      </c>
      <c r="G112" s="36" t="s">
        <v>150</v>
      </c>
      <c r="H112" s="36" t="s">
        <v>151</v>
      </c>
      <c r="I112" s="36" t="s">
        <v>152</v>
      </c>
      <c r="J112" s="36" t="s">
        <v>153</v>
      </c>
      <c r="K112" s="36" t="s">
        <v>154</v>
      </c>
    </row>
    <row r="113" spans="2:11">
      <c r="B113" s="52" t="str">
        <f>IFERROR(INDEX(tblVerifyCrews[Crew],1)&amp;"","")</f>
        <v>A</v>
      </c>
      <c r="C113" s="33">
        <f>IF($B$113="","",INDEX(tblVerifyCrews[People],1))</f>
        <v>11</v>
      </c>
      <c r="D113" s="33">
        <f>IF($B$113="","",(1=1)*COUNTIFS(tblVerifyRota[Crew A],"D")+(1=2)*COUNTIFS(tblVerifyRota[Crew B],"D")+(1=3)*COUNTIFS(tblVerifyRota[Crew C],"D")+(1=4)*COUNTIFS(tblVerifyRota[Crew D],"D"))</f>
        <v>3</v>
      </c>
      <c r="E113" s="33">
        <f>IF($B$113="","",(1=1)*COUNTIFS(tblVerifyRota[Crew A],"N")+(1=2)*COUNTIFS(tblVerifyRota[Crew B],"N")+(1=3)*COUNTIFS(tblVerifyRota[Crew C],"N")+(1=4)*COUNTIFS(tblVerifyRota[Crew D],"N"))</f>
        <v>7</v>
      </c>
      <c r="F113" s="33">
        <f>IF($B$113="","",($D$113+$E$113)*$E$51)</f>
        <v>120</v>
      </c>
      <c r="G113" s="34">
        <f>IF($B$113="","",IF((COUNT(tblVerifyRota[Date])/7)=0,"",($F$113)/(COUNT(tblVerifyRota[Date])/7)))</f>
        <v>60</v>
      </c>
      <c r="H113" s="53">
        <f>IF($B$113="","",IF($G$113="","",$G$113-$E$54))</f>
        <v>20</v>
      </c>
      <c r="I113" s="33">
        <f>IF($B$113="","",(1=1)*COUNTIFS(tblVerifyRota[Crew A],"D",tblVerifyRota[Weekend],"Yes")+(1=2)*COUNTIFS(tblVerifyRota[Crew B],"D",tblVerifyRota[Weekend],"Yes")+(1=3)*COUNTIFS(tblVerifyRota[Crew C],"D",tblVerifyRota[Weekend],"Yes")+(1=4)*COUNTIFS(tblVerifyRota[Crew D],"D",tblVerifyRota[Weekend],"Yes")+(1=1)*COUNTIFS(tblVerifyRota[Crew A],"N",tblVerifyRota[Weekend],"Yes")+(1=2)*COUNTIFS(tblVerifyRota[Crew B],"N",tblVerifyRota[Weekend],"Yes")+(1=3)*COUNTIFS(tblVerifyRota[Crew C],"N",tblVerifyRota[Weekend],"Yes")+(1=4)*COUNTIFS(tblVerifyRota[Crew D],"N",tblVerifyRota[Weekend],"Yes"))</f>
        <v>2</v>
      </c>
      <c r="J113" s="33">
        <f>IF($B$113="","",(1=1)*COUNTIFS(tblVerifyRota[Crew A],"D",tblVerifyRota[Holiday],"Yes")+(1=2)*COUNTIFS(tblVerifyRota[Crew B],"D",tblVerifyRota[Holiday],"Yes")+(1=3)*COUNTIFS(tblVerifyRota[Crew C],"D",tblVerifyRota[Holiday],"Yes")+(1=4)*COUNTIFS(tblVerifyRota[Crew D],"D",tblVerifyRota[Holiday],"Yes")+(1=1)*COUNTIFS(tblVerifyRota[Crew A],"N",tblVerifyRota[Holiday],"Yes")+(1=2)*COUNTIFS(tblVerifyRota[Crew B],"N",tblVerifyRota[Holiday],"Yes")+(1=3)*COUNTIFS(tblVerifyRota[Crew C],"N",tblVerifyRota[Holiday],"Yes")+(1=4)*COUNTIFS(tblVerifyRota[Crew D],"N",tblVerifyRota[Holiday],"Yes"))</f>
        <v>0</v>
      </c>
      <c r="K113" s="54">
        <f>$E$54</f>
        <v>40</v>
      </c>
    </row>
    <row r="114" spans="2:11">
      <c r="B114" s="52" t="str">
        <f>IFERROR(INDEX(tblVerifyCrews[Crew],2)&amp;"","")</f>
        <v>B</v>
      </c>
      <c r="C114" s="33">
        <f>IF($B$114="","",INDEX(tblVerifyCrews[People],2))</f>
        <v>10</v>
      </c>
      <c r="D114" s="33">
        <f>IF($B$114="","",(2=1)*COUNTIFS(tblVerifyRota[Crew A],"D")+(2=2)*COUNTIFS(tblVerifyRota[Crew B],"D")+(2=3)*COUNTIFS(tblVerifyRota[Crew C],"D")+(2=4)*COUNTIFS(tblVerifyRota[Crew D],"D"))</f>
        <v>7</v>
      </c>
      <c r="E114" s="33">
        <f>IF($B$114="","",(2=1)*COUNTIFS(tblVerifyRota[Crew A],"N")+(2=2)*COUNTIFS(tblVerifyRota[Crew B],"N")+(2=3)*COUNTIFS(tblVerifyRota[Crew C],"N")+(2=4)*COUNTIFS(tblVerifyRota[Crew D],"N"))</f>
        <v>3</v>
      </c>
      <c r="F114" s="33">
        <f>IF($B$114="","",($D$114+$E$114)*$E$51)</f>
        <v>120</v>
      </c>
      <c r="G114" s="34">
        <f>IF($B$114="","",IF((COUNT(tblVerifyRota[Date])/7)=0,"",($F$114)/(COUNT(tblVerifyRota[Date])/7)))</f>
        <v>60</v>
      </c>
      <c r="H114" s="53">
        <f>IF($B$114="","",IF($G$114="","",$G$114-$E$54))</f>
        <v>20</v>
      </c>
      <c r="I114" s="33">
        <f>IF($B$114="","",(2=1)*COUNTIFS(tblVerifyRota[Crew A],"D",tblVerifyRota[Weekend],"Yes")+(2=2)*COUNTIFS(tblVerifyRota[Crew B],"D",tblVerifyRota[Weekend],"Yes")+(2=3)*COUNTIFS(tblVerifyRota[Crew C],"D",tblVerifyRota[Weekend],"Yes")+(2=4)*COUNTIFS(tblVerifyRota[Crew D],"D",tblVerifyRota[Weekend],"Yes")+(2=1)*COUNTIFS(tblVerifyRota[Crew A],"N",tblVerifyRota[Weekend],"Yes")+(2=2)*COUNTIFS(tblVerifyRota[Crew B],"N",tblVerifyRota[Weekend],"Yes")+(2=3)*COUNTIFS(tblVerifyRota[Crew C],"N",tblVerifyRota[Weekend],"Yes")+(2=4)*COUNTIFS(tblVerifyRota[Crew D],"N",tblVerifyRota[Weekend],"Yes"))</f>
        <v>4</v>
      </c>
      <c r="J114" s="33">
        <f>IF($B$114="","",(2=1)*COUNTIFS(tblVerifyRota[Crew A],"D",tblVerifyRota[Holiday],"Yes")+(2=2)*COUNTIFS(tblVerifyRota[Crew B],"D",tblVerifyRota[Holiday],"Yes")+(2=3)*COUNTIFS(tblVerifyRota[Crew C],"D",tblVerifyRota[Holiday],"Yes")+(2=4)*COUNTIFS(tblVerifyRota[Crew D],"D",tblVerifyRota[Holiday],"Yes")+(2=1)*COUNTIFS(tblVerifyRota[Crew A],"N",tblVerifyRota[Holiday],"Yes")+(2=2)*COUNTIFS(tblVerifyRota[Crew B],"N",tblVerifyRota[Holiday],"Yes")+(2=3)*COUNTIFS(tblVerifyRota[Crew C],"N",tblVerifyRota[Holiday],"Yes")+(2=4)*COUNTIFS(tblVerifyRota[Crew D],"N",tblVerifyRota[Holiday],"Yes"))</f>
        <v>1</v>
      </c>
      <c r="K114" s="54">
        <f>$E$54</f>
        <v>40</v>
      </c>
    </row>
    <row r="115" spans="2:11">
      <c r="B115" s="52" t="str">
        <f>IFERROR(INDEX(tblVerifyCrews[Crew],3)&amp;"","")</f>
        <v>C</v>
      </c>
      <c r="C115" s="33">
        <f>IF($B$115="","",INDEX(tblVerifyCrews[People],3))</f>
        <v>10</v>
      </c>
      <c r="D115" s="33">
        <f>IF($B$115="","",(3=1)*COUNTIFS(tblVerifyRota[Crew A],"D")+(3=2)*COUNTIFS(tblVerifyRota[Crew B],"D")+(3=3)*COUNTIFS(tblVerifyRota[Crew C],"D")+(3=4)*COUNTIFS(tblVerifyRota[Crew D],"D"))</f>
        <v>4</v>
      </c>
      <c r="E115" s="33">
        <f>IF($B$115="","",(3=1)*COUNTIFS(tblVerifyRota[Crew A],"N")+(3=2)*COUNTIFS(tblVerifyRota[Crew B],"N")+(3=3)*COUNTIFS(tblVerifyRota[Crew C],"N")+(3=4)*COUNTIFS(tblVerifyRota[Crew D],"N"))</f>
        <v>0</v>
      </c>
      <c r="F115" s="33">
        <f>IF($B$115="","",($D$115+$E$115)*$E$51)</f>
        <v>48</v>
      </c>
      <c r="G115" s="34">
        <f>IF($B$115="","",IF((COUNT(tblVerifyRota[Date])/7)=0,"",($F$115)/(COUNT(tblVerifyRota[Date])/7)))</f>
        <v>24</v>
      </c>
      <c r="H115" s="53">
        <f>IF($B$115="","",IF($G$115="","",$G$115-$E$54))</f>
        <v>-16</v>
      </c>
      <c r="I115" s="33">
        <f>IF($B$115="","",(3=1)*COUNTIFS(tblVerifyRota[Crew A],"D",tblVerifyRota[Weekend],"Yes")+(3=2)*COUNTIFS(tblVerifyRota[Crew B],"D",tblVerifyRota[Weekend],"Yes")+(3=3)*COUNTIFS(tblVerifyRota[Crew C],"D",tblVerifyRota[Weekend],"Yes")+(3=4)*COUNTIFS(tblVerifyRota[Crew D],"D",tblVerifyRota[Weekend],"Yes")+(3=1)*COUNTIFS(tblVerifyRota[Crew A],"N",tblVerifyRota[Weekend],"Yes")+(3=2)*COUNTIFS(tblVerifyRota[Crew B],"N",tblVerifyRota[Weekend],"Yes")+(3=3)*COUNTIFS(tblVerifyRota[Crew C],"N",tblVerifyRota[Weekend],"Yes")+(3=4)*COUNTIFS(tblVerifyRota[Crew D],"N",tblVerifyRota[Weekend],"Yes"))</f>
        <v>2</v>
      </c>
      <c r="J115" s="33">
        <f>IF($B$115="","",(3=1)*COUNTIFS(tblVerifyRota[Crew A],"D",tblVerifyRota[Holiday],"Yes")+(3=2)*COUNTIFS(tblVerifyRota[Crew B],"D",tblVerifyRota[Holiday],"Yes")+(3=3)*COUNTIFS(tblVerifyRota[Crew C],"D",tblVerifyRota[Holiday],"Yes")+(3=4)*COUNTIFS(tblVerifyRota[Crew D],"D",tblVerifyRota[Holiday],"Yes")+(3=1)*COUNTIFS(tblVerifyRota[Crew A],"N",tblVerifyRota[Holiday],"Yes")+(3=2)*COUNTIFS(tblVerifyRota[Crew B],"N",tblVerifyRota[Holiday],"Yes")+(3=3)*COUNTIFS(tblVerifyRota[Crew C],"N",tblVerifyRota[Holiday],"Yes")+(3=4)*COUNTIFS(tblVerifyRota[Crew D],"N",tblVerifyRota[Holiday],"Yes"))</f>
        <v>1</v>
      </c>
      <c r="K115" s="54">
        <f>$E$54</f>
        <v>40</v>
      </c>
    </row>
    <row r="116" spans="2:11">
      <c r="B116" s="52" t="str">
        <f>IFERROR(INDEX(tblVerifyCrews[Crew],4)&amp;"","")</f>
        <v>D</v>
      </c>
      <c r="C116" s="33">
        <f>IF($B$116="","",INDEX(tblVerifyCrews[People],4))</f>
        <v>12</v>
      </c>
      <c r="D116" s="33">
        <f>IF($B$116="","",(4=1)*COUNTIFS(tblVerifyRota[Crew A],"D")+(4=2)*COUNTIFS(tblVerifyRota[Crew B],"D")+(4=3)*COUNTIFS(tblVerifyRota[Crew C],"D")+(4=4)*COUNTIFS(tblVerifyRota[Crew D],"D"))</f>
        <v>0</v>
      </c>
      <c r="E116" s="33">
        <f>IF($B$116="","",(4=1)*COUNTIFS(tblVerifyRota[Crew A],"N")+(4=2)*COUNTIFS(tblVerifyRota[Crew B],"N")+(4=3)*COUNTIFS(tblVerifyRota[Crew C],"N")+(4=4)*COUNTIFS(tblVerifyRota[Crew D],"N"))</f>
        <v>4</v>
      </c>
      <c r="F116" s="33">
        <f>IF($B$116="","",($D$116+$E$116)*$E$51)</f>
        <v>48</v>
      </c>
      <c r="G116" s="34">
        <f>IF($B$116="","",IF((COUNT(tblVerifyRota[Date])/7)=0,"",($F$116)/(COUNT(tblVerifyRota[Date])/7)))</f>
        <v>24</v>
      </c>
      <c r="H116" s="53">
        <f>IF($B$116="","",IF($G$116="","",$G$116-$E$54))</f>
        <v>-16</v>
      </c>
      <c r="I116" s="33">
        <f>IF($B$116="","",(4=1)*COUNTIFS(tblVerifyRota[Crew A],"D",tblVerifyRota[Weekend],"Yes")+(4=2)*COUNTIFS(tblVerifyRota[Crew B],"D",tblVerifyRota[Weekend],"Yes")+(4=3)*COUNTIFS(tblVerifyRota[Crew C],"D",tblVerifyRota[Weekend],"Yes")+(4=4)*COUNTIFS(tblVerifyRota[Crew D],"D",tblVerifyRota[Weekend],"Yes")+(4=1)*COUNTIFS(tblVerifyRota[Crew A],"N",tblVerifyRota[Weekend],"Yes")+(4=2)*COUNTIFS(tblVerifyRota[Crew B],"N",tblVerifyRota[Weekend],"Yes")+(4=3)*COUNTIFS(tblVerifyRota[Crew C],"N",tblVerifyRota[Weekend],"Yes")+(4=4)*COUNTIFS(tblVerifyRota[Crew D],"N",tblVerifyRota[Weekend],"Yes"))</f>
        <v>0</v>
      </c>
      <c r="J116" s="33">
        <f>IF($B$116="","",(4=1)*COUNTIFS(tblVerifyRota[Crew A],"D",tblVerifyRota[Holiday],"Yes")+(4=2)*COUNTIFS(tblVerifyRota[Crew B],"D",tblVerifyRota[Holiday],"Yes")+(4=3)*COUNTIFS(tblVerifyRota[Crew C],"D",tblVerifyRota[Holiday],"Yes")+(4=4)*COUNTIFS(tblVerifyRota[Crew D],"D",tblVerifyRota[Holiday],"Yes")+(4=1)*COUNTIFS(tblVerifyRota[Crew A],"N",tblVerifyRota[Holiday],"Yes")+(4=2)*COUNTIFS(tblVerifyRota[Crew B],"N",tblVerifyRota[Holiday],"Yes")+(4=3)*COUNTIFS(tblVerifyRota[Crew C],"N",tblVerifyRota[Holiday],"Yes")+(4=4)*COUNTIFS(tblVerifyRota[Crew D],"N",tblVerifyRota[Holiday],"Yes"))</f>
        <v>0</v>
      </c>
      <c r="K116" s="54">
        <f>$E$54</f>
        <v>40</v>
      </c>
    </row>
  </sheetData>
  <sheetProtection sheet="1" formatColumns="0" formatRows="0"/>
  <mergeCells count="54">
    <mergeCell ref="A1:W1"/>
    <mergeCell ref="B2:V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B43:L43"/>
    <mergeCell ref="B45:L45"/>
    <mergeCell ref="B46:F46"/>
    <mergeCell ref="B47:D47"/>
    <mergeCell ref="B48:D48"/>
    <mergeCell ref="B49:D49"/>
    <mergeCell ref="B50:D50"/>
    <mergeCell ref="B51:D51"/>
    <mergeCell ref="B52:D52"/>
    <mergeCell ref="B53:D53"/>
    <mergeCell ref="B54:D54"/>
    <mergeCell ref="B56:L56"/>
    <mergeCell ref="B63:L63"/>
    <mergeCell ref="B94:L94"/>
    <mergeCell ref="B111:L111"/>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4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V96:V109">
    <cfRule type="expression" dxfId="3" priority="41">
      <formula>$V96="OK"</formula>
    </cfRule>
    <cfRule type="expression" dxfId="1" priority="42">
      <formula>AND($V96&lt;&gt;"",$V96&lt;&gt;"OK")</formula>
    </cfRule>
  </conditionalFormatting>
  <hyperlinks>
    <hyperlink ref="W2" r:id="rId1" tooltip="Free manufacturing calculators and templates"/>
  </hyperlinks>
  <printOptions horizontalCentered="1"/>
  <pageMargins left="0.4" right="0.4" top="0.7" bottom="0.65" header="0.3" footer="0.3"/>
  <pageSetup fitToHeight="0" orientation="landscape"/>
  <headerFooter>
    <oddHeader>&amp;L&amp;8MFG Calcs - 4-Crew Shift Rotation Schedule&amp;R&amp;8&amp;A</oddHeader>
    <oddFooter>&amp;L&amp;8mfgcalcs.com - free manufacturing templates&amp;R&amp;8Page &amp;P of &amp;N</oddFooter>
  </headerFooter>
  <rowBreaks count="1" manualBreakCount="1">
    <brk id="55"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24</vt:i4>
      </vt:variant>
    </vt:vector>
  </HeadingPairs>
  <TitlesOfParts>
    <vt:vector size="30" baseType="lpstr">
      <vt:lpstr>Start Here</vt:lpstr>
      <vt:lpstr>Setup</vt:lpstr>
      <vt:lpstr>Rota</vt:lpstr>
      <vt:lpstr>Dashboard</vt:lpstr>
      <vt:lpstr>Method</vt:lpstr>
      <vt:lpstr>Verify</vt:lpstr>
      <vt:lpstr>Anchor</vt:lpstr>
      <vt:lpstr>ContractHours</vt:lpstr>
      <vt:lpstr>CrewOffset</vt:lpstr>
      <vt:lpstr>CycleDays</vt:lpstr>
      <vt:lpstr>KpiAbove</vt:lpstr>
      <vt:lpstr>KpiAvgWk</vt:lpstr>
      <vt:lpstr>KpiLowest</vt:lpstr>
      <vt:lpstr>KpiShort</vt:lpstr>
      <vt:lpstr>Pattern</vt:lpstr>
      <vt:lpstr>PatternNo</vt:lpstr>
      <vt:lpstr>PlantName</vt:lpstr>
      <vt:lpstr>Dashboard!Print_Area</vt:lpstr>
      <vt:lpstr>Method!Print_Area</vt:lpstr>
      <vt:lpstr>Rota!Print_Area</vt:lpstr>
      <vt:lpstr>Setup!Print_Area</vt:lpstr>
      <vt:lpstr>'Start Here'!Print_Area</vt:lpstr>
      <vt:lpstr>Verify!Print_Area</vt:lpstr>
      <vt:lpstr>Method!Print_Titles</vt:lpstr>
      <vt:lpstr>Rota!Print_Titles</vt:lpstr>
      <vt:lpstr>ReqPerShift</vt:lpstr>
      <vt:lpstr>SelfCheck</vt:lpstr>
      <vt:lpstr>SelfCheckSummary</vt:lpstr>
      <vt:lpstr>ShiftHours</vt:lpstr>
      <vt:lpstr>TargetCover</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4-Crew Shift Rotation Schedule - free Excel template from MFG Calcs</dc:title>
  <dc:subject>Pick a four-crew 12-hour pattern and see who is on days and nights every day, people on shift against the minimum, and each crew's hours, weekends and holidays.</dc:subject>
  <dc:creator>MFG Calcs</dc:creator>
  <cp:keywords>shift rotation, 4 crew, 12 hour shifts, DuPont schedule, 2-2-3 Panama, 4 on 4 off, rota, shift coverage, 24/7 schedule</cp:keywords>
  <dc:description>https://www.mfgcalcs.com/templates/shift-rotation-schedule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shift-rotation-schedule</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planner</vt:lpwstr>
  </property>
  <property fmtid="{D5CDD505-2E9C-101B-9397-08002B2CF9AE}" pid="6" name="Template URL">
    <vt:lpwstr>https://www.mfgcalcs.com/templates/shift-rotation-schedule</vt:lpwstr>
  </property>
  <property fmtid="{D5CDD505-2E9C-101B-9397-08002B2CF9AE}" pid="7" name="Template sheet roles">
    <vt:lpwstr>Start Here=start;Setup=setup;Rota=work;Dashboard=dashboard;Method=method;Verify=verify</vt:lpwstr>
  </property>
</Properties>
</file>