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Training Records" sheetId="3" r:id="rId3"/>
    <sheet name="Dashboard" sheetId="4" r:id="rId4"/>
    <sheet name="Method" sheetId="5" r:id="rId5"/>
    <sheet name="Verify" sheetId="6" r:id="rId6"/>
  </sheets>
  <definedNames>
    <definedName name="AsOf">Setup!$D$7</definedName>
    <definedName name="DueSoonDays">Setup!$D$9</definedName>
    <definedName name="KpiCover">Dashboard!$B$7</definedName>
    <definedName name="KpiGaps">Dashboard!$G$7</definedName>
    <definedName name="KpiOverdue">Dashboard!$K$7</definedName>
    <definedName name="KpiShort">Dashboard!$D$7</definedName>
    <definedName name="People">tblPeople[Person]</definedName>
    <definedName name="PlantName">Setup!$D$6</definedName>
    <definedName name="_xlnm.Print_Area" localSheetId="3">Dashboard!$A$1:$M$75</definedName>
    <definedName name="_xlnm.Print_Area" localSheetId="4">Method!$A$1:$D$59</definedName>
    <definedName name="_xlnm.Print_Area" localSheetId="1">Setup!$A$1:$G$59</definedName>
    <definedName name="_xlnm.Print_Area" localSheetId="0">'Start Here'!$A$1:$F$55</definedName>
    <definedName name="_xlnm.Print_Area" localSheetId="2">'Training Records'!$A$1:$N$95</definedName>
    <definedName name="_xlnm.Print_Area" localSheetId="5">Verify!$A$1:$N$94</definedName>
    <definedName name="_xlnm.Print_Titles" localSheetId="4">Method!$1:$2</definedName>
    <definedName name="_xlnm.Print_Titles" localSheetId="2">'Training Records'!$1:$5</definedName>
    <definedName name="QualLevel">Setup!$D$8</definedName>
    <definedName name="SelfCheck">Verify!$D$4</definedName>
    <definedName name="SelfCheckSummary">Verify!$F$4</definedName>
    <definedName name="ShiftList">tblShiftList[Shift]</definedName>
    <definedName name="Skills">tblSkills[Skill]</definedName>
    <definedName name="TargetCover">Setup!$D$10</definedName>
  </definedNames>
  <calcPr calcId="124519" fullCalcOnLoad="1"/>
</workbook>
</file>

<file path=xl/sharedStrings.xml><?xml version="1.0" encoding="utf-8"?>
<sst xmlns="http://schemas.openxmlformats.org/spreadsheetml/2006/main" count="911" uniqueCount="315">
  <si>
    <t>Skills and Training Matrix</t>
  </si>
  <si>
    <t>Read this first: what the workbook does and how to use it.</t>
  </si>
  <si>
    <t>mfgcalcs.com</t>
  </si>
  <si>
    <t>Record who is trained on what, at which level and until when, and see skill coverage, shift gaps and certificate renewals at a glance.</t>
  </si>
  <si>
    <t>For: Production supervisors, team leaders, training coordinators, quality and EHS managers.</t>
  </si>
  <si>
    <t>Version 1.0.0  ·  updated 15 October 2026</t>
  </si>
  <si>
    <t>Quick start</t>
  </si>
  <si>
    <t>1.</t>
  </si>
  <si>
    <t>On Setup, set the as-of date and the qualified level, then replace the example shifts, people and skills (with the qualified people each skill needs, the minimum per shift and the renewal interval).</t>
  </si>
  <si>
    <t>2.</t>
  </si>
  <si>
    <t>On Training Records, add one row per person per skill: the level (0 to 4), the date it was assessed and who assessed it.</t>
  </si>
  <si>
    <t>3.</t>
  </si>
  <si>
    <t>Read the Check column, then the Renewal status: Due soon and Overdue name the records to renew.</t>
  </si>
  <si>
    <t>4.</t>
  </si>
  <si>
    <t>Open the Dashboard: coverage by skill, shift gaps in red, the skills matrix and who is qualified on what.</t>
  </si>
  <si>
    <t>What is in this workbook</t>
  </si>
  <si>
    <t>Start Here</t>
  </si>
  <si>
    <t>Setup</t>
  </si>
  <si>
    <t>As-of date, qualified level, and the shifts, people and skills the matrix is built from.</t>
  </si>
  <si>
    <t>Training Records</t>
  </si>
  <si>
    <t>One row per person per skill: level, when it was assessed and by whom. Expiry and status follow.</t>
  </si>
  <si>
    <t>Dashboard</t>
  </si>
  <si>
    <t>Skill coverage against what each skill needs, shift gaps, renewals and the skills matrix itself.</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</si>
  <si>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</si>
  <si>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</si>
  <si>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</si>
  <si>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</si>
  <si>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</si>
  <si>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</si>
  <si>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</si>
  <si>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</si>
  <si>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</si>
  <si>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</si>
  <si>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</si>
  <si>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</si>
  <si>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</si>
  <si>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</si>
  <si>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</si>
  <si>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</si>
  <si>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</si>
  <si>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</si>
  <si>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</si>
  <si>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</si>
  <si>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Target-Skill Certification Coverage Calculator on mfgcalcs.com</t>
  </si>
  <si>
    <t>Latest version</t>
  </si>
  <si>
    <t>mfgcalcs.com/templates/skills-matrix</t>
  </si>
  <si>
    <t>More free templates</t>
  </si>
  <si>
    <t>mfgcalcs.com/templates</t>
  </si>
  <si>
    <t>Version</t>
  </si>
  <si>
    <t>1.0.0 (updated 15 October 2026)</t>
  </si>
  <si>
    <t>About the example data</t>
  </si>
  <si>
    <t>Every number already in this workbook is example data for Northgate Precision, a fictional business invented for this template, so the dashboard and charts show something meaningful on day one. It covers 15 people on three shifts and 10 skills, 90 training records as of 30 September 2026,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</si>
  <si>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</si>
  <si>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</si>
  <si>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</si>
  <si>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</si>
  <si>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</si>
  <si>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</si>
  <si>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</si>
  <si>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</si>
  <si>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Shift</t>
  </si>
  <si>
    <t>Hours</t>
  </si>
  <si>
    <t>Person</t>
  </si>
  <si>
    <t>Role</t>
  </si>
  <si>
    <t>Skill</t>
  </si>
  <si>
    <t>Area</t>
  </si>
  <si>
    <t>Needed (people)</t>
  </si>
  <si>
    <t>Min per shift (people)</t>
  </si>
  <si>
    <t>Renewal (months)</t>
  </si>
  <si>
    <t>Notes</t>
  </si>
  <si>
    <t>Matrix settings</t>
  </si>
  <si>
    <t>Plant or team</t>
  </si>
  <si>
    <t>Northgate Precision (example)</t>
  </si>
  <si>
    <t>Status as of</t>
  </si>
  <si>
    <t>Qualified from level</t>
  </si>
  <si>
    <t>level (0-4)</t>
  </si>
  <si>
    <t>Due soon window</t>
  </si>
  <si>
    <t>days</t>
  </si>
  <si>
    <t>Coverage target</t>
  </si>
  <si>
    <t>The levels, the people each skill needs and the renewal intervals are yours to set; nothing here is an industry benchmark. Renewal intervals in the example are illustrative: use the rule that applies to your site, licence or customer.</t>
  </si>
  <si>
    <t>Levels (the scale used on Training Records)</t>
  </si>
  <si>
    <t>0  Not trained</t>
  </si>
  <si>
    <t>1  In training: works only alongside a trainer</t>
  </si>
  <si>
    <t>2  Can do the job with support; work is checked</t>
  </si>
  <si>
    <t>3  Qualified: works alone to the standard</t>
  </si>
  <si>
    <t>4  Expert: can train others and sign them off</t>
  </si>
  <si>
    <t>Lists that feed the dropdowns</t>
  </si>
  <si>
    <t>Edit, add or remove rows; the dropdowns on Training Records read these lists. Keep names unique: records that use a name not on a list are flagged in their Check column.</t>
  </si>
  <si>
    <t>Shifts</t>
  </si>
  <si>
    <t>Early</t>
  </si>
  <si>
    <t>06:00-14:00</t>
  </si>
  <si>
    <t>Late</t>
  </si>
  <si>
    <t>14:00-22:00</t>
  </si>
  <si>
    <t>Night</t>
  </si>
  <si>
    <t>22:00-06:00</t>
  </si>
  <si>
    <t>People (example names)</t>
  </si>
  <si>
    <t>A. Okafor</t>
  </si>
  <si>
    <t>Team leader</t>
  </si>
  <si>
    <t>B. Lindqvist</t>
  </si>
  <si>
    <t>Machinist</t>
  </si>
  <si>
    <t>C. Mehta</t>
  </si>
  <si>
    <t>Inspector</t>
  </si>
  <si>
    <t>D. Romero</t>
  </si>
  <si>
    <t>Assembler</t>
  </si>
  <si>
    <t>E. Walsh</t>
  </si>
  <si>
    <t>Material handler</t>
  </si>
  <si>
    <t>F. Nguyen</t>
  </si>
  <si>
    <t>G. Brennan</t>
  </si>
  <si>
    <t>H. Kowalski</t>
  </si>
  <si>
    <t>I. Sato</t>
  </si>
  <si>
    <t>J. Haddad</t>
  </si>
  <si>
    <t>Machinist (trainee)</t>
  </si>
  <si>
    <t>K. Osei</t>
  </si>
  <si>
    <t>L. Fischer</t>
  </si>
  <si>
    <t>M. Silva</t>
  </si>
  <si>
    <t>N. Patel</t>
  </si>
  <si>
    <t>Inspector (trainee)</t>
  </si>
  <si>
    <t>O. Byrne</t>
  </si>
  <si>
    <t>Skills and what each needs</t>
  </si>
  <si>
    <t>CNC lathe</t>
  </si>
  <si>
    <t>Machining</t>
  </si>
  <si>
    <t>Run and adjust offsets on the lathe cell</t>
  </si>
  <si>
    <t>CNC mill</t>
  </si>
  <si>
    <t>Run and adjust offsets on the mill cell</t>
  </si>
  <si>
    <t>CNC setup</t>
  </si>
  <si>
    <t>Change fixtures, tools and programs; first-off approval</t>
  </si>
  <si>
    <t>CMM</t>
  </si>
  <si>
    <t>Quality</t>
  </si>
  <si>
    <t>Run CMM programs and release first-offs</t>
  </si>
  <si>
    <t>Deburr</t>
  </si>
  <si>
    <t>Finishing</t>
  </si>
  <si>
    <t>Hand deburr and wash to the work instruction</t>
  </si>
  <si>
    <t>Assembly</t>
  </si>
  <si>
    <t>Valve body assembly cell</t>
  </si>
  <si>
    <t>Leak test</t>
  </si>
  <si>
    <t>Operate and verify the leak tester; re-sign every 2 years</t>
  </si>
  <si>
    <t>Forklift</t>
  </si>
  <si>
    <t>Logistics</t>
  </si>
  <si>
    <t>Counterbalance truck licence (example interval)</t>
  </si>
  <si>
    <t>First aid</t>
  </si>
  <si>
    <t>Safety</t>
  </si>
  <si>
    <t>Workplace first aider (example interval)</t>
  </si>
  <si>
    <t>LOTO</t>
  </si>
  <si>
    <t>Authorised for lockout/tagout; annual review</t>
  </si>
  <si>
    <t>Level (0-4)</t>
  </si>
  <si>
    <t>Assessed on</t>
  </si>
  <si>
    <t>Assessor</t>
  </si>
  <si>
    <t>Expires</t>
  </si>
  <si>
    <t>Days left</t>
  </si>
  <si>
    <t>Renewal status</t>
  </si>
  <si>
    <t>Qualified</t>
  </si>
  <si>
    <t>Check</t>
  </si>
  <si>
    <t>Example data for Northgate Precision (fictional people and records). Replace it with your own: select the example rows, right-click, Delete &gt; Table Rows. Keep one row per person and skill; update the level and date when reassessed.</t>
  </si>
  <si>
    <t>Production manager</t>
  </si>
  <si>
    <t/>
  </si>
  <si>
    <t>Quality lead</t>
  </si>
  <si>
    <t>External trainer</t>
  </si>
  <si>
    <t>Re-sign at next tester calibration</t>
  </si>
  <si>
    <t>Buddy: G. Brennan</t>
  </si>
  <si>
    <t>Refresher booked for 12 Oct</t>
  </si>
  <si>
    <t>Setter course started September</t>
  </si>
  <si>
    <t>Target level 3 by December</t>
  </si>
  <si>
    <t>SKILL COVERAGE</t>
  </si>
  <si>
    <t>SKILLS SHORT OF PEOPLE</t>
  </si>
  <si>
    <t>SHIFT GAPS</t>
  </si>
  <si>
    <t>RENEWALS OVERDUE</t>
  </si>
  <si>
    <t>Coverage by skill</t>
  </si>
  <si>
    <t>Qualified (people)</t>
  </si>
  <si>
    <t>In training (people)</t>
  </si>
  <si>
    <t>Coverage</t>
  </si>
  <si>
    <t>Short (people)</t>
  </si>
  <si>
    <t>Counted to target</t>
  </si>
  <si>
    <t>Min per shift</t>
  </si>
  <si>
    <t>Shifts below min</t>
  </si>
  <si>
    <t>Renewals overdue</t>
  </si>
  <si>
    <t>Due soon</t>
  </si>
  <si>
    <t>Status</t>
  </si>
  <si>
    <t>Qualified people per shift (red = below the minimum)</t>
  </si>
  <si>
    <t>Skill / shift</t>
  </si>
  <si>
    <t>Skills matrix: level by person and skill (green = qualified level or higher, amber = in training)</t>
  </si>
  <si>
    <t>Person / skill</t>
  </si>
  <si>
    <t>Qualified skills</t>
  </si>
  <si>
    <t>The Dashboard shows 15 people, 10 skills and 3 shifts, the size of the Setup lists. If you add more, extend the matrix and coverage blocks (see Method) or they will not appear here.</t>
  </si>
  <si>
    <t>What this workbook calculates</t>
  </si>
  <si>
    <t>A skills matrix answers three questions: who can do which job, does every job have enough qualified people on every shift, and which qualifications are about to lapse. This workbook keeps one training record per person and skill (level, date, assessor) and builds the matrix from those records, so a lapsed licence stops counting as qualified on the day it expires and every number on the Dashboard can be traced to a row.</t>
  </si>
  <si>
    <t>Calculations</t>
  </si>
  <si>
    <t>Quantity</t>
  </si>
  <si>
    <t>How it is calculated</t>
  </si>
  <si>
    <t>Units</t>
  </si>
  <si>
    <t>Level</t>
  </si>
  <si>
    <t>Typed per record on a 0-4 scale defined on Setup: 0 not trained, 1 in training, 2 with support, 3 qualified, 4 expert (can train).</t>
  </si>
  <si>
    <t>level</t>
  </si>
  <si>
    <t>Shift, renewal interval</t>
  </si>
  <si>
    <t>Looked up from the People and Skills lists on Setup (INDEX/MATCH); blank when the name is not on the list, and Check says so.</t>
  </si>
  <si>
    <t>-, months</t>
  </si>
  <si>
    <t>Assessed on + renewal months (EDATE, same day of the month). Blank when the renewal interval is 0.</t>
  </si>
  <si>
    <t>date</t>
  </si>
  <si>
    <t>Expires - as-of date. Negative when lapsed.</t>
  </si>
  <si>
    <t>Overdue when expiry is before the as-of date; Due soon when it is within the due-soon window; otherwise OK (also when the skill never expires).</t>
  </si>
  <si>
    <t>-</t>
  </si>
  <si>
    <t>Yes when level &gt;= the qualified level on Setup and the renewal status is not Overdue.</t>
  </si>
  <si>
    <t>Yes/No</t>
  </si>
  <si>
    <t>Qualified, in training (per skill)</t>
  </si>
  <si>
    <t>COUNTIFS of records for the skill with Qualified = Yes; and with level from 1 up to one below the qualified level.</t>
  </si>
  <si>
    <t>people</t>
  </si>
  <si>
    <t>Coverage (per skill)</t>
  </si>
  <si>
    <t>Qualified people / people the skill needs (Setup). Same ratio as the Target-Skill Certification Coverage calculator.</t>
  </si>
  <si>
    <t>%</t>
  </si>
  <si>
    <t>Short</t>
  </si>
  <si>
    <t>MAX(0, needed - qualified).</t>
  </si>
  <si>
    <t>Shifts below minimum</t>
  </si>
  <si>
    <t>Number of shifts whose qualified people for the skill are fewer than its minimum per shift: SUMPRODUCT over the shift list of COUNTIFS(skill, shift, Qualified = Yes) &lt; minimum.</t>
  </si>
  <si>
    <t>shifts</t>
  </si>
  <si>
    <t>Status (per skill)</t>
  </si>
  <si>
    <t>Below target when coverage &lt; the coverage target; Check when coverage is met but a shift is below its minimum; otherwise On target.</t>
  </si>
  <si>
    <t>Skill coverage (KPI)</t>
  </si>
  <si>
    <t>SUM over skills of MIN(qualified, needed) / SUM of needed. Capped per skill, so a surplus in one skill cannot hide a gap in another.</t>
  </si>
  <si>
    <t>Skills short, shift gaps, renewals overdue</t>
  </si>
  <si>
    <t>Count of skills with status Below target; sum of shifts below minimum; count of records Overdue (Due soon is shown per skill).</t>
  </si>
  <si>
    <t>count</t>
  </si>
  <si>
    <t>Skills matrix</t>
  </si>
  <si>
    <t>Level of the record for each person and skill (blank = no record), shaded green from the qualified level and amber for levels 1 and up below it; Qualified skills = records with Qualified = Yes for the person.</t>
  </si>
  <si>
    <t>level, count</t>
  </si>
  <si>
    <t>Assumptions</t>
  </si>
  <si>
    <t>One record per person and skill, holding the current level; reassessment overwrites the level and date (keep history elsewhere, or add a row and delete the old one).</t>
  </si>
  <si>
    <t>A person works on the shift listed for them on Setup. People who float between shifts count on their home shift only.</t>
  </si>
  <si>
    <t>A lapsed record keeps its level on the matrix (the person still has the skill) but is not counted as qualified until it is renewed.</t>
  </si>
  <si>
    <t>Limitations</t>
  </si>
  <si>
    <t>Levels are the assessor's judgement against your own standard; the workbook counts them, it does not assess competence.</t>
  </si>
  <si>
    <t>Coverage counts people, not hours: someone qualified on five skills can only do one of them at a time. Use the per-shift minimums to guard the critical ones.</t>
  </si>
  <si>
    <t>The Dashboard blocks are sized for 15 people, 10 skills and 3 shifts; to extend them, copy the last row or column of each block and widen the chart ranges (a warning appears when the Setup lists are longer).</t>
  </si>
  <si>
    <t>Agreement with the live calculator</t>
  </si>
  <si>
    <t>For one skill, coverage here is the live Target-Skill Certification Coverage calculator's ratio: 100 x qualified (certified) people / people requiring the skill, and its gap to target in percentage points is the coverage target minus coverage. The calculator takes one skill at a time and does not accept more certified people than required; the workbook reports coverage above 100% for a skill with spare people and caps it per skill in the overall KPI. Checked against the calculator's engine for its default example and for the example CNC setup skill on every build.</t>
  </si>
  <si>
    <t>Open the Target-Skill Certification Coverage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</si>
  <si>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</si>
  <si>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</si>
  <si>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ISO 9001:2015, clause 7.2 Competence (determine competence, ensure it, take action and keep documented evidence); cited by name, not reproduced.</t>
  </si>
  <si>
    <t>IATF 16949:2016 competence and on-the-job training requirements, where they apply to you.</t>
  </si>
  <si>
    <t>MFG Calcs Target-Skill Certification Coverage calculator (skills-matrix-coverage): the same coverage ratio for one skill.</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</si>
  <si>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</si>
  <si>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</si>
  <si>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</si>
  <si>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</si>
  <si>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</si>
  <si>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</si>
  <si>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</si>
  <si>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</si>
  <si>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</si>
  <si>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</si>
  <si>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</si>
  <si>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</si>
  <si>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</si>
  <si>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</si>
  <si>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</si>
  <si>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</si>
  <si>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Row 4 (forklift, lapsed): expires</t>
  </si>
  <si>
    <t>Row 4 (forklift, lapsed): days left</t>
  </si>
  <si>
    <t>Row 4 (forklift, lapsed): renewal status</t>
  </si>
  <si>
    <t>Overdue</t>
  </si>
  <si>
    <t>exact</t>
  </si>
  <si>
    <t>Row 4 (forklift, lapsed): qualified</t>
  </si>
  <si>
    <t>No</t>
  </si>
  <si>
    <t>Row 6 (LOTO, 31 days left): expires</t>
  </si>
  <si>
    <t>Row 6 (LOTO, 31 days left): days left</t>
  </si>
  <si>
    <t>Row 6 (LOTO, 31 days left): renewal status</t>
  </si>
  <si>
    <t>Row 6 (LOTO, 31 days left): qualified</t>
  </si>
  <si>
    <t>Yes</t>
  </si>
  <si>
    <t>Row 8 (LOTO, expires on the as-of date): expires</t>
  </si>
  <si>
    <t>Row 8 (LOTO, expires on the as-of date): days left</t>
  </si>
  <si>
    <t>Row 8 (LOTO, expires on the as-of date): renewal status</t>
  </si>
  <si>
    <t>Row 8 (LOTO, expires on the as-of date): qualified</t>
  </si>
  <si>
    <t>Row 5 (forklift, 62 days left, window 60): renewal status</t>
  </si>
  <si>
    <t>OK</t>
  </si>
  <si>
    <t>Row 3 (level 2): not qualified</t>
  </si>
  <si>
    <t>Row 1 (no expiry): renewal status</t>
  </si>
  <si>
    <t>Row 9: Check reports the duplicate</t>
  </si>
  <si>
    <t>Duplicate person and skill</t>
  </si>
  <si>
    <t>Lathe: qualified people</t>
  </si>
  <si>
    <t>Lathe: coverage</t>
  </si>
  <si>
    <t>Lathe: shifts below minimum</t>
  </si>
  <si>
    <t>Lathe: status</t>
  </si>
  <si>
    <t>Forklift: qualified people</t>
  </si>
  <si>
    <t>Forklift: coverage</t>
  </si>
  <si>
    <t>Forklift: shifts below minimum</t>
  </si>
  <si>
    <t>Forklift: status</t>
  </si>
  <si>
    <t>Below target</t>
  </si>
  <si>
    <t>LOTO: qualified people</t>
  </si>
  <si>
    <t>LOTO: coverage</t>
  </si>
  <si>
    <t>LOTO: shifts below minimum</t>
  </si>
  <si>
    <t>LOTO: status</t>
  </si>
  <si>
    <t>LOTO: in training</t>
  </si>
  <si>
    <t>LOTO: due soon</t>
  </si>
  <si>
    <t>All skills: coverage KPI (capped per skill)</t>
  </si>
  <si>
    <t>All skills: shift gaps KPI</t>
  </si>
  <si>
    <t>All records: renewals overdue KPI</t>
  </si>
  <si>
    <t>Fixed test inputs</t>
  </si>
  <si>
    <t>White cells are fixed test inputs; blue cells are the workbook's formulas evaluated on them.</t>
  </si>
  <si>
    <t>Parameters</t>
  </si>
  <si>
    <t>Due soon window (days)</t>
  </si>
  <si>
    <t>Test table: ShiftList</t>
  </si>
  <si>
    <t>Day</t>
  </si>
  <si>
    <t>06:00 to 18:00</t>
  </si>
  <si>
    <t>18:00 to 06:00</t>
  </si>
  <si>
    <t>Test table: Skills</t>
  </si>
  <si>
    <t>Lathe</t>
  </si>
  <si>
    <t>M</t>
  </si>
  <si>
    <t>L</t>
  </si>
  <si>
    <t>S</t>
  </si>
  <si>
    <t>Test table: People</t>
  </si>
  <si>
    <t>P1</t>
  </si>
  <si>
    <t>P2</t>
  </si>
  <si>
    <t>P3</t>
  </si>
  <si>
    <t>Test table: Records</t>
  </si>
  <si>
    <t>X</t>
  </si>
  <si>
    <t>Test grid: BySkill</t>
  </si>
</sst>
</file>

<file path=xl/styles.xml><?xml version="1.0" encoding="utf-8"?>
<styleSheet xmlns="http://schemas.openxmlformats.org/spreadsheetml/2006/main">
  <numFmts count="8">
    <numFmt numFmtId="164" formatCode="d mmm yyyy"/>
    <numFmt numFmtId="165" formatCode="#,##0"/>
    <numFmt numFmtId="166" formatCode="0%"/>
    <numFmt numFmtId="167" formatCode="+#,##0;-#,##0;0"/>
    <numFmt numFmtId="168" formatCode="&quot;Target &quot;0%"/>
    <numFmt numFmtId="169" formatCode="&quot;Target &quot;#,##0"/>
    <numFmt numFmtId="170" formatCode="0.0E+00"/>
    <numFmt numFmtId="171" formatCod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69">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0" fontId="10" fillId="4" borderId="3" xfId="0" applyFont="1" applyFill="1" applyBorder="1" applyAlignment="1">
      <alignment vertical="center"/>
    </xf>
    <xf numFmtId="165"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0" fillId="4" borderId="3" xfId="0" applyFont="1" applyFill="1" applyBorder="1" applyAlignment="1">
      <alignment vertical="center"/>
    </xf>
    <xf numFmtId="0" fontId="21" fillId="0" borderId="0" xfId="0" applyFont="1" applyAlignment="1">
      <alignment vertical="center"/>
    </xf>
    <xf numFmtId="0" fontId="22" fillId="9" borderId="6" xfId="0" applyFont="1" applyFill="1" applyBorder="1" applyAlignment="1">
      <alignment vertical="center" wrapText="1"/>
    </xf>
    <xf numFmtId="166" fontId="4" fillId="9" borderId="7" xfId="0" applyNumberFormat="1" applyFont="1" applyFill="1" applyBorder="1" applyAlignment="1">
      <alignment horizontal="left" vertical="center"/>
    </xf>
    <xf numFmtId="165" fontId="4" fillId="9" borderId="7" xfId="0" applyNumberFormat="1" applyFont="1" applyFill="1" applyBorder="1" applyAlignment="1">
      <alignment horizontal="left" vertical="center"/>
    </xf>
    <xf numFmtId="168" fontId="23" fillId="9" borderId="7" xfId="0" applyNumberFormat="1" applyFont="1" applyFill="1" applyBorder="1" applyAlignment="1">
      <alignment horizontal="left" vertical="center"/>
    </xf>
    <xf numFmtId="169"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66" fontId="10" fillId="4" borderId="3" xfId="0" applyNumberFormat="1" applyFont="1" applyFill="1" applyBorder="1" applyAlignment="1">
      <alignment vertical="center"/>
    </xf>
    <xf numFmtId="165" fontId="10" fillId="4" borderId="3" xfId="0" applyNumberFormat="1" applyFont="1" applyFill="1" applyBorder="1" applyAlignment="1">
      <alignment horizontal="center" vertical="center"/>
    </xf>
    <xf numFmtId="165" fontId="9" fillId="4" borderId="3"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5" fontId="9" fillId="0" borderId="9" xfId="0" applyNumberFormat="1" applyFont="1" applyBorder="1" applyAlignment="1">
      <alignment horizontal="center" vertical="center"/>
    </xf>
    <xf numFmtId="164" fontId="10" fillId="0" borderId="9" xfId="0" applyNumberFormat="1" applyFont="1" applyBorder="1" applyAlignment="1">
      <alignment vertical="center"/>
    </xf>
    <xf numFmtId="170" fontId="10" fillId="4" borderId="3" xfId="0" applyNumberFormat="1" applyFont="1" applyFill="1" applyBorder="1" applyAlignment="1">
      <alignment vertical="center"/>
    </xf>
    <xf numFmtId="170" fontId="10" fillId="0" borderId="9" xfId="0" applyNumberFormat="1" applyFont="1" applyBorder="1" applyAlignment="1">
      <alignment vertical="center"/>
    </xf>
    <xf numFmtId="165" fontId="10" fillId="0" borderId="9" xfId="0" applyNumberFormat="1" applyFont="1" applyBorder="1" applyAlignment="1">
      <alignment vertical="center"/>
    </xf>
    <xf numFmtId="171" fontId="10" fillId="0" borderId="9" xfId="0" applyNumberFormat="1" applyFont="1" applyBorder="1" applyAlignment="1">
      <alignment vertical="center"/>
    </xf>
    <xf numFmtId="171" fontId="10" fillId="4" borderId="3" xfId="0" applyNumberFormat="1" applyFont="1" applyFill="1" applyBorder="1" applyAlignment="1">
      <alignment vertical="center"/>
    </xf>
    <xf numFmtId="166"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Qualified people vs needed, by skill</a:t>
            </a:r>
          </a:p>
        </c:rich>
      </c:tx>
      <c:layout/>
    </c:title>
    <c:plotArea>
      <c:layout/>
      <c:barChart>
        <c:barDir val="col"/>
        <c:grouping val="clustered"/>
        <c:ser>
          <c:idx val="0"/>
          <c:order val="0"/>
          <c:tx>
            <c:v>Qualified</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Dashboard!$B$31:$B$40</c:f>
              <c:strCache>
                <c:ptCount val="10"/>
                <c:pt idx="0">
                  <c:v>CNC lathe</c:v>
                </c:pt>
                <c:pt idx="1">
                  <c:v>CNC mill</c:v>
                </c:pt>
                <c:pt idx="2">
                  <c:v>CNC setup</c:v>
                </c:pt>
                <c:pt idx="3">
                  <c:v>CMM</c:v>
                </c:pt>
                <c:pt idx="4">
                  <c:v>Deburr</c:v>
                </c:pt>
                <c:pt idx="5">
                  <c:v>Assembly</c:v>
                </c:pt>
                <c:pt idx="6">
                  <c:v>Leak test</c:v>
                </c:pt>
                <c:pt idx="7">
                  <c:v>Forklift</c:v>
                </c:pt>
                <c:pt idx="8">
                  <c:v>First aid</c:v>
                </c:pt>
                <c:pt idx="9">
                  <c:v>LOTO</c:v>
                </c:pt>
              </c:strCache>
            </c:strRef>
          </c:cat>
          <c:val>
            <c:numRef>
              <c:f>Dashboard!$D$31:$D$40</c:f>
              <c:numCache>
                <c:formatCode>General</c:formatCode>
                <c:ptCount val="10"/>
                <c:pt idx="0">
                  <c:v>6</c:v>
                </c:pt>
                <c:pt idx="1">
                  <c:v>7</c:v>
                </c:pt>
                <c:pt idx="2">
                  <c:v>3</c:v>
                </c:pt>
                <c:pt idx="3">
                  <c:v>3</c:v>
                </c:pt>
                <c:pt idx="4">
                  <c:v>10</c:v>
                </c:pt>
                <c:pt idx="5">
                  <c:v>6</c:v>
                </c:pt>
                <c:pt idx="6">
                  <c:v>4</c:v>
                </c:pt>
                <c:pt idx="7">
                  <c:v>5</c:v>
                </c:pt>
                <c:pt idx="8">
                  <c:v>5</c:v>
                </c:pt>
                <c:pt idx="9">
                  <c:v>11</c:v>
                </c:pt>
              </c:numCache>
            </c:numRef>
          </c:val>
        </c:ser>
        <c:ser>
          <c:idx val="1"/>
          <c:order val="1"/>
          <c:tx>
            <c:v>In training</c:v>
          </c:tx>
          <c:spPr>
            <a:solidFill>
              <a:srgbClr val="E8702A"/>
            </a:solidFill>
            <a:ln w="9525">
              <a:solidFill>
                <a:srgbClr val="FFFFFF"/>
              </a:solidFill>
            </a:ln>
          </c:spPr>
          <c:cat>
            <c:strRef>
              <c:f>Dashboard!$B$31:$B$40</c:f>
              <c:strCache>
                <c:ptCount val="10"/>
                <c:pt idx="0">
                  <c:v>CNC lathe</c:v>
                </c:pt>
                <c:pt idx="1">
                  <c:v>CNC mill</c:v>
                </c:pt>
                <c:pt idx="2">
                  <c:v>CNC setup</c:v>
                </c:pt>
                <c:pt idx="3">
                  <c:v>CMM</c:v>
                </c:pt>
                <c:pt idx="4">
                  <c:v>Deburr</c:v>
                </c:pt>
                <c:pt idx="5">
                  <c:v>Assembly</c:v>
                </c:pt>
                <c:pt idx="6">
                  <c:v>Leak test</c:v>
                </c:pt>
                <c:pt idx="7">
                  <c:v>Forklift</c:v>
                </c:pt>
                <c:pt idx="8">
                  <c:v>First aid</c:v>
                </c:pt>
                <c:pt idx="9">
                  <c:v>LOTO</c:v>
                </c:pt>
              </c:strCache>
            </c:strRef>
          </c:cat>
          <c:val>
            <c:numRef>
              <c:f>Dashboard!$E$31:$E$40</c:f>
              <c:numCache>
                <c:formatCode>General</c:formatCode>
                <c:ptCount val="10"/>
                <c:pt idx="0">
                  <c:v>3</c:v>
                </c:pt>
                <c:pt idx="1">
                  <c:v>1</c:v>
                </c:pt>
                <c:pt idx="2">
                  <c:v>3</c:v>
                </c:pt>
                <c:pt idx="3">
                  <c:v>3</c:v>
                </c:pt>
                <c:pt idx="4">
                  <c:v>5</c:v>
                </c:pt>
                <c:pt idx="5">
                  <c:v>4</c:v>
                </c:pt>
                <c:pt idx="6">
                  <c:v>2</c:v>
                </c:pt>
                <c:pt idx="7">
                  <c:v>1</c:v>
                </c:pt>
                <c:pt idx="8">
                  <c:v>2</c:v>
                </c:pt>
                <c:pt idx="9">
                  <c:v>4</c:v>
                </c:pt>
              </c:numCache>
            </c:numRef>
          </c:val>
        </c:ser>
        <c:gapWidth val="60"/>
        <c:overlap val="-10"/>
        <c:axId val="50010001"/>
        <c:axId val="50010002"/>
      </c:barChart>
      <c:lineChart>
        <c:grouping val="standard"/>
        <c:ser>
          <c:idx val="2"/>
          <c:order val="2"/>
          <c:tx>
            <c:v>Needed</c:v>
          </c:tx>
          <c:spPr>
            <a:ln>
              <a:noFill/>
            </a:ln>
          </c:spPr>
          <c:marker>
            <c:symbol val="circle"/>
            <c:size val="6"/>
            <c:spPr>
              <a:solidFill>
                <a:srgbClr val="1BA37A"/>
              </a:solidFill>
              <a:ln>
                <a:solidFill>
                  <a:srgbClr val="1BA37A"/>
                </a:solidFill>
              </a:ln>
            </c:spPr>
          </c:marker>
          <c:cat>
            <c:strRef>
              <c:f>Dashboard!$B$31:$B$40</c:f>
              <c:strCache>
                <c:ptCount val="10"/>
                <c:pt idx="0">
                  <c:v>CNC lathe</c:v>
                </c:pt>
                <c:pt idx="1">
                  <c:v>CNC mill</c:v>
                </c:pt>
                <c:pt idx="2">
                  <c:v>CNC setup</c:v>
                </c:pt>
                <c:pt idx="3">
                  <c:v>CMM</c:v>
                </c:pt>
                <c:pt idx="4">
                  <c:v>Deburr</c:v>
                </c:pt>
                <c:pt idx="5">
                  <c:v>Assembly</c:v>
                </c:pt>
                <c:pt idx="6">
                  <c:v>Leak test</c:v>
                </c:pt>
                <c:pt idx="7">
                  <c:v>Forklift</c:v>
                </c:pt>
                <c:pt idx="8">
                  <c:v>First aid</c:v>
                </c:pt>
                <c:pt idx="9">
                  <c:v>LOTO</c:v>
                </c:pt>
              </c:strCache>
            </c:strRef>
          </c:cat>
          <c:val>
            <c:numRef>
              <c:f>Dashboard!$C$31:$C$40</c:f>
              <c:numCache>
                <c:formatCode>General</c:formatCode>
                <c:ptCount val="10"/>
                <c:pt idx="0">
                  <c:v>6</c:v>
                </c:pt>
                <c:pt idx="1">
                  <c:v>6</c:v>
                </c:pt>
                <c:pt idx="2">
                  <c:v>4</c:v>
                </c:pt>
                <c:pt idx="3">
                  <c:v>3</c:v>
                </c:pt>
                <c:pt idx="4">
                  <c:v>6</c:v>
                </c:pt>
                <c:pt idx="5">
                  <c:v>6</c:v>
                </c:pt>
                <c:pt idx="6">
                  <c:v>3</c:v>
                </c:pt>
                <c:pt idx="7">
                  <c:v>3</c:v>
                </c:pt>
                <c:pt idx="8">
                  <c:v>6</c:v>
                </c:pt>
                <c:pt idx="9">
                  <c:v>10</c:v>
                </c:pt>
              </c:numCache>
            </c:numRef>
          </c:val>
        </c:ser>
        <c:marker val="1"/>
        <c:axId val="50010001"/>
        <c:axId val="50010002"/>
      </c:lineChart>
      <c:catAx>
        <c:axId val="5001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Qualified skills per person</a:t>
            </a:r>
          </a:p>
        </c:rich>
      </c:tx>
      <c:layout/>
    </c:title>
    <c:plotArea>
      <c:layout/>
      <c:barChart>
        <c:barDir val="bar"/>
        <c:grouping val="clustered"/>
        <c:ser>
          <c:idx val="0"/>
          <c:order val="0"/>
          <c:tx>
            <c:v>Qualified skills</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Dashboard!$B$57:$B$71</c:f>
              <c:strCache>
                <c:ptCount val="15"/>
                <c:pt idx="0">
                  <c:v>A. Okafor</c:v>
                </c:pt>
                <c:pt idx="1">
                  <c:v>B. Lindqvist</c:v>
                </c:pt>
                <c:pt idx="2">
                  <c:v>C. Mehta</c:v>
                </c:pt>
                <c:pt idx="3">
                  <c:v>D. Romero</c:v>
                </c:pt>
                <c:pt idx="4">
                  <c:v>E. Walsh</c:v>
                </c:pt>
                <c:pt idx="5">
                  <c:v>F. Nguyen</c:v>
                </c:pt>
                <c:pt idx="6">
                  <c:v>G. Brennan</c:v>
                </c:pt>
                <c:pt idx="7">
                  <c:v>H. Kowalski</c:v>
                </c:pt>
                <c:pt idx="8">
                  <c:v>I. Sato</c:v>
                </c:pt>
                <c:pt idx="9">
                  <c:v>J. Haddad</c:v>
                </c:pt>
                <c:pt idx="10">
                  <c:v>K. Osei</c:v>
                </c:pt>
                <c:pt idx="11">
                  <c:v>L. Fischer</c:v>
                </c:pt>
                <c:pt idx="12">
                  <c:v>M. Silva</c:v>
                </c:pt>
                <c:pt idx="13">
                  <c:v>N. Patel</c:v>
                </c:pt>
                <c:pt idx="14">
                  <c:v>O. Byrne</c:v>
                </c:pt>
              </c:strCache>
            </c:strRef>
          </c:cat>
          <c:val>
            <c:numRef>
              <c:f>Dashboard!$M$57:$M$71</c:f>
              <c:numCache>
                <c:formatCode>General</c:formatCode>
                <c:ptCount val="15"/>
                <c:pt idx="0">
                  <c:v>8</c:v>
                </c:pt>
                <c:pt idx="1">
                  <c:v>4</c:v>
                </c:pt>
                <c:pt idx="2">
                  <c:v>5</c:v>
                </c:pt>
                <c:pt idx="3">
                  <c:v>3</c:v>
                </c:pt>
                <c:pt idx="4">
                  <c:v>2</c:v>
                </c:pt>
                <c:pt idx="5">
                  <c:v>8</c:v>
                </c:pt>
                <c:pt idx="6">
                  <c:v>4</c:v>
                </c:pt>
                <c:pt idx="7">
                  <c:v>4</c:v>
                </c:pt>
                <c:pt idx="8">
                  <c:v>3</c:v>
                </c:pt>
                <c:pt idx="9">
                  <c:v>1</c:v>
                </c:pt>
                <c:pt idx="10">
                  <c:v>6</c:v>
                </c:pt>
                <c:pt idx="11">
                  <c:v>4</c:v>
                </c:pt>
                <c:pt idx="12">
                  <c:v>2</c:v>
                </c:pt>
                <c:pt idx="13">
                  <c:v>2</c:v>
                </c:pt>
                <c:pt idx="14">
                  <c:v>4</c:v>
                </c:pt>
              </c:numCache>
            </c:numRef>
          </c:val>
        </c:ser>
        <c:gapWidth val="60"/>
        <c:overlap val="-10"/>
        <c:axId val="50020001"/>
        <c:axId val="50020002"/>
      </c:barChart>
      <c:catAx>
        <c:axId val="5002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max"/>
        <c:crossBetween val="between"/>
      </c:valAx>
      <c:spPr>
        <a:solidFill>
          <a:srgbClr val="FFFFFF"/>
        </a:solidFill>
        <a:ln>
          <a:noFill/>
        </a:ln>
      </c:spPr>
    </c:plotArea>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6</xdr:col>
      <xdr:colOff>609600</xdr:colOff>
      <xdr:row>26</xdr:row>
      <xdr:rowOff>152400</xdr:rowOff>
    </xdr:to>
    <xdr:graphicFrame macro="">
      <xdr:nvGraphicFramePr>
        <xdr:cNvPr id="2" name="Chart 1" descr="Clustered column chart of qualified people and people in training for each skill, with a marker at the number of qualified people each skill need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38100</xdr:colOff>
      <xdr:row>11</xdr:row>
      <xdr:rowOff>38100</xdr:rowOff>
    </xdr:from>
    <xdr:to>
      <xdr:col>12</xdr:col>
      <xdr:colOff>609600</xdr:colOff>
      <xdr:row>26</xdr:row>
      <xdr:rowOff>152400</xdr:rowOff>
    </xdr:to>
    <xdr:graphicFrame macro="">
      <xdr:nvGraphicFramePr>
        <xdr:cNvPr id="3" name="Chart 2" descr="Horizontal bar chart of how many skills each person is qualified on, showing who carries the most skills and who is still in developmen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ShiftList" displayName="tblShiftList" ref="B25:C28" totalsRowShown="0">
  <autoFilter ref="B25:C28"/>
  <tableColumns count="2">
    <tableColumn id="1" name="Shift"/>
    <tableColumn id="2" name="Hours"/>
  </tableColumns>
  <tableStyleInfo name="TableStyleLight1" showFirstColumn="0" showLastColumn="0" showRowStripes="0" showColumnStripes="0"/>
</table>
</file>

<file path=xl/tables/table2.xml><?xml version="1.0" encoding="utf-8"?>
<table xmlns="http://schemas.openxmlformats.org/spreadsheetml/2006/main" id="2" name="tblPeople" displayName="tblPeople" ref="B31:D46" totalsRowShown="0">
  <autoFilter ref="B31:D46"/>
  <tableColumns count="3">
    <tableColumn id="1" name="Person"/>
    <tableColumn id="2" name="Shift"/>
    <tableColumn id="3" name="Role"/>
  </tableColumns>
  <tableStyleInfo name="TableStyleLight1" showFirstColumn="0" showLastColumn="0" showRowStripes="0" showColumnStripes="0"/>
</table>
</file>

<file path=xl/tables/table3.xml><?xml version="1.0" encoding="utf-8"?>
<table xmlns="http://schemas.openxmlformats.org/spreadsheetml/2006/main" id="3" name="tblSkills" displayName="tblSkills" ref="B49:G59" totalsRowShown="0">
  <autoFilter ref="B49:G59"/>
  <tableColumns count="6">
    <tableColumn id="1" name="Skill"/>
    <tableColumn id="2" name="Area"/>
    <tableColumn id="3" name="Needed (people)"/>
    <tableColumn id="4" name="Min per shift (people)"/>
    <tableColumn id="5" name="Renewal (months)"/>
    <tableColumn id="6" name="Notes"/>
  </tableColumns>
  <tableStyleInfo name="TableStyleLight1" showFirstColumn="0" showLastColumn="0" showRowStripes="0" showColumnStripes="0"/>
</table>
</file>

<file path=xl/tables/table4.xml><?xml version="1.0" encoding="utf-8"?>
<table xmlns="http://schemas.openxmlformats.org/spreadsheetml/2006/main" id="4" name="tblRecords" displayName="tblRecords" ref="B5:N95" totalsRowShown="0">
  <autoFilter ref="B5:N95"/>
  <tableColumns count="13">
    <tableColumn id="1" name="Person"/>
    <tableColumn id="2" name="Skill"/>
    <tableColumn id="3" name="Level (0-4)"/>
    <tableColumn id="4" name="Assessed on"/>
    <tableColumn id="5" name="Assessor"/>
    <tableColumn id="6" name="Shift">
      <calculatedColumnFormula>IF(tblRecords[[#This Row],[Person]]="","",IFERROR(INDEX(tblPeople[Shift],MATCH(tblRecords[[#This Row],[Person]],tblPeople[Person],0)),""))</calculatedColumnFormula>
    </tableColumn>
    <tableColumn id="7" name="Renewal (months)">
      <calculatedColumnFormula>IF(tblRecords[[#This Row],[Person]]="","",IFERROR(INDEX(tblSkills[Renewal (months)],MATCH(tblRecords[[#This Row],[Skill]],tblSkills[Skill],0)),""))</calculatedColumnFormula>
    </tableColumn>
    <tableColumn id="8" name="Expires">
      <calculatedColumnFormula>IF(tblRecords[[#This Row],[Person]]="","",IF(OR(tblRecords[[#This Row],[Renewal (months)]]="",N(tblRecords[[#This Row],[Assessed on]])=0),"",IF(tblRecords[[#This Row],[Renewal (months)]]=0,"",EDATE(tblRecords[[#This Row],[Assessed on]],tblRecords[[#This Row],[Renewal (months)]]))))</calculatedColumnFormula>
    </tableColumn>
    <tableColumn id="9" name="Days left">
      <calculatedColumnFormula>IF(tblRecords[[#This Row],[Person]]="","",IF(tblRecords[[#This Row],[Expires]]="","",tblRecords[[#This Row],[Expires]]-AsOf))</calculatedColumnFormula>
    </tableColumn>
    <tableColumn id="10" name="Renewal status">
      <calculatedColumnFormula>IF(tblRecords[[#This Row],[Person]]="","",IF(tblRecords[[#This Row],[Expires]]="","OK",IF(tblRecords[[#This Row],[Expires]]&lt;AsOf,"Overdue",IF(tblRecords[[#This Row],[Expires]]-AsOf&lt;=DueSoonDays,"Due soon","OK"))))</calculatedColumnFormula>
    </tableColumn>
    <tableColumn id="11" name="Qualified">
      <calculatedColumnFormula>IF(tblRecords[[#This Row],[Person]]="","",IF(AND(N(tblRecords[[#This Row],[Level (0-4)]])&gt;=QualLevel,tblRecords[[#This Row],[Renewal status]]&lt;&gt;"Overdue"),"Yes","No"))</calculatedColumnFormula>
    </tableColumn>
    <tableColumn id="12" name="Check">
      <calculatedColumnFormula>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calculatedColumnFormula>
    </tableColumn>
    <tableColumn id="13" name="Notes"/>
  </tableColumns>
  <tableStyleInfo name="TableStyleLight1" showFirstColumn="0" showLastColumn="0" showRowStripes="0" showColumnStripes="0"/>
</table>
</file>

<file path=xl/tables/table5.xml><?xml version="1.0" encoding="utf-8"?>
<table xmlns="http://schemas.openxmlformats.org/spreadsheetml/2006/main" id="5" name="tblVerifyShiftList" displayName="tblVerifyShiftList" ref="B55:C57" totalsRowShown="0">
  <tableColumns count="2">
    <tableColumn id="1" name="Shift"/>
    <tableColumn id="2" name="Hours"/>
  </tableColumns>
  <tableStyleInfo name="TableStyleLight1" showFirstColumn="0" showLastColumn="0" showRowStripes="0" showColumnStripes="0"/>
</table>
</file>

<file path=xl/tables/table6.xml><?xml version="1.0" encoding="utf-8"?>
<table xmlns="http://schemas.openxmlformats.org/spreadsheetml/2006/main" id="6" name="tblVerifySkills" displayName="tblVerifySkills" ref="B60:G63" totalsRowShown="0">
  <tableColumns count="6">
    <tableColumn id="1" name="Skill"/>
    <tableColumn id="2" name="Area"/>
    <tableColumn id="3" name="Needed (people)"/>
    <tableColumn id="4" name="Min per shift (people)"/>
    <tableColumn id="5" name="Renewal (months)"/>
    <tableColumn id="6" name="Notes"/>
  </tableColumns>
  <tableStyleInfo name="TableStyleLight1" showFirstColumn="0" showLastColumn="0" showRowStripes="0" showColumnStripes="0"/>
</table>
</file>

<file path=xl/tables/table7.xml><?xml version="1.0" encoding="utf-8"?>
<table xmlns="http://schemas.openxmlformats.org/spreadsheetml/2006/main" id="7" name="tblVerifyPeople" displayName="tblVerifyPeople" ref="B66:D69" totalsRowShown="0">
  <tableColumns count="3">
    <tableColumn id="1" name="Person"/>
    <tableColumn id="2" name="Shift"/>
    <tableColumn id="3" name="Role"/>
  </tableColumns>
  <tableStyleInfo name="TableStyleLight1" showFirstColumn="0" showLastColumn="0" showRowStripes="0" showColumnStripes="0"/>
</table>
</file>

<file path=xl/tables/table8.xml><?xml version="1.0" encoding="utf-8"?>
<table xmlns="http://schemas.openxmlformats.org/spreadsheetml/2006/main" id="8" name="tblVerifyRecords" displayName="tblVerifyRecords" ref="B72:N81" totalsRowShown="0">
  <tableColumns count="13">
    <tableColumn id="1" name="Person"/>
    <tableColumn id="2" name="Skill"/>
    <tableColumn id="3" name="Level (0-4)"/>
    <tableColumn id="4" name="Assessed on"/>
    <tableColumn id="5" name="Assessor"/>
    <tableColumn id="6" name="Shift"/>
    <tableColumn id="7" name="Renewal (months)"/>
    <tableColumn id="8" name="Expires">
      <calculatedColumnFormula>IF(tblVerifyRecords[[#This Row],[Person]]="","",IF(OR(tblVerifyRecords[[#This Row],[Renewal (months)]]="",N(tblVerifyRecords[[#This Row],[Assessed on]])=0),"",IF(tblVerifyRecords[[#This Row],[Renewal (months)]]=0,"",EDATE(tblVerifyRecords[[#This Row],[Assessed on]],tblVerifyRecords[[#This Row],[Renewal (months)]]))))</calculatedColumnFormula>
    </tableColumn>
    <tableColumn id="9" name="Days left">
      <calculatedColumnFormula>IF(tblVerifyRecords[[#This Row],[Person]]="","",IF(tblVerifyRecords[[#This Row],[Expires]]="","",tblVerifyRecords[[#This Row],[Expires]]-$E$49))</calculatedColumnFormula>
    </tableColumn>
    <tableColumn id="10" name="Renewal status">
      <calculatedColumnFormula>IF(tblVerifyRecords[[#This Row],[Person]]="","",IF(tblVerifyRecords[[#This Row],[Expires]]="","OK",IF(tblVerifyRecords[[#This Row],[Expires]]&lt;$E$49,"Overdue",IF(tblVerifyRecords[[#This Row],[Expires]]-$E$49&lt;=$E$51,"Due soon","OK"))))</calculatedColumnFormula>
    </tableColumn>
    <tableColumn id="11" name="Qualified">
      <calculatedColumnFormula>IF(tblVerifyRecords[[#This Row],[Person]]="","",IF(AND(N(tblVerifyRecords[[#This Row],[Level (0-4)]])&gt;=$E$50,tblVerifyRecords[[#This Row],[Renewal status]]&lt;&gt;"Overdue"),"Yes","No"))</calculatedColumnFormula>
    </tableColumn>
    <tableColumn id="12" name="Check">
      <calculatedColumnFormula>IF(tblVerifyRecords[[#This Row],[Person]]="","",IF(tblVerifyRecords[[#This Row],[Skill]]="","Missing skill",IF(tblVerifyRecords[[#This Row],[Level (0-4)]]="","Missing level",IF(tblVerifyRecords[[#This Row],[Assessed on]]="","Missing assessed on",IF(tblVerifyRecords[[#This Row],[Shift]]="","Person not on Setup list",IF(tblVerifyRecords[[#This Row],[Renewal (months)]]="","Skill not on Setup list",IF(COUNTIFS(tblVerifyRecords[Person],tblVerifyRecords[[#This Row],[Person]],tblVerifyRecords[Skill],tblVerifyRecords[[#This Row],[Skill]])&gt;1,"Duplicate person and skill",IF(tblVerifyRecords[[#This Row],[Assessed on]]&gt;$E$49,"Assessed after the as-of date","OK"))))))))</calculatedColumnFormula>
    </tableColumn>
    <tableColumn id="13"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kills-matrix" TargetMode="External"/><Relationship Id="rId2" Type="http://schemas.openxmlformats.org/officeDocument/2006/relationships/hyperlink" Target="https://www.mfgcalcs.com/calculators/workforce-labor-standards-skills-planning/skills-matrix-coverage?utm_source=mfgcalcs-template&amp;utm_medium=xlsx&amp;utm_campaign=skills-matrix" TargetMode="External"/><Relationship Id="rId3" Type="http://schemas.openxmlformats.org/officeDocument/2006/relationships/hyperlink" Target="https://www.mfgcalcs.com/templates/skills-matrix?utm_source=mfgcalcs-template&amp;utm_medium=xlsx&amp;utm_campaign=skills-matrix" TargetMode="External"/><Relationship Id="rId4" Type="http://schemas.openxmlformats.org/officeDocument/2006/relationships/hyperlink" Target="https://www.mfgcalcs.com/templates?utm_source=mfgcalcs-template&amp;utm_medium=xlsx&amp;utm_campaign=skills-matrix"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kills-matrix"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kills-matrix" TargetMode="External"/><Relationship Id="rId2"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kills-matrix"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kills-matrix" TargetMode="External"/><Relationship Id="rId2" Type="http://schemas.openxmlformats.org/officeDocument/2006/relationships/hyperlink" Target="https://www.mfgcalcs.com/calculators/workforce-labor-standards-skills-planning/skills-matrix-coverage?utm_source=mfgcalcs-template&amp;utm_medium=xlsx&amp;utm_campaign=skills-matrix"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kills-matrix" TargetMode="External"/><Relationship Id="rId2" Type="http://schemas.openxmlformats.org/officeDocument/2006/relationships/table" Target="../tables/table5.xml"/><Relationship Id="rId3" Type="http://schemas.openxmlformats.org/officeDocument/2006/relationships/table" Target="../tables/table6.xml"/><Relationship Id="rId4" Type="http://schemas.openxmlformats.org/officeDocument/2006/relationships/table" Target="../tables/table7.xml"/><Relationship Id="rId5"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33 of 33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Training Records'!A1" tooltip="Go to Training Records" display="Training Records"/>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Skills and Training Matrix&amp;R&amp;8&amp;A</oddHeader>
    <oddFooter>&amp;L&amp;8mfgcalcs.com - free manufacturing templates&amp;R&amp;8Page &amp;P of &amp;N</oddFooter>
  </headerFooter>
  <rowBreaks count="1" manualBreakCount="1">
    <brk id="32"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G59"/>
  <sheetViews>
    <sheetView showGridLines="0" workbookViewId="0"/>
  </sheetViews>
  <sheetFormatPr defaultRowHeight="15"/>
  <cols>
    <col min="1" max="1" width="2.7109375" customWidth="1"/>
    <col min="2" max="2" width="20.7109375" customWidth="1"/>
    <col min="3" max="3" width="12.7109375" customWidth="1"/>
    <col min="4" max="4" width="20.7109375" customWidth="1"/>
    <col min="5" max="6" width="12.7109375" customWidth="1"/>
    <col min="7" max="7" width="44.7109375" customWidth="1"/>
  </cols>
  <sheetData>
    <row r="1" spans="1:7" ht="30" customHeight="1">
      <c r="A1" s="1" t="s">
        <v>0</v>
      </c>
      <c r="B1" s="1"/>
      <c r="C1" s="1"/>
      <c r="D1" s="1"/>
      <c r="E1" s="1"/>
      <c r="F1" s="1"/>
      <c r="G1" s="1"/>
    </row>
    <row r="2" spans="1:7" ht="21" customHeight="1">
      <c r="B2" s="2" t="s">
        <v>18</v>
      </c>
      <c r="C2" s="2"/>
      <c r="D2" s="2"/>
      <c r="E2" s="2"/>
      <c r="F2" s="2"/>
      <c r="G2" s="3" t="s">
        <v>2</v>
      </c>
    </row>
    <row r="3" spans="1:7" ht="6" customHeight="1"/>
    <row r="4" spans="1:7" ht="21" customHeight="1">
      <c r="B4" s="8" t="s">
        <v>70</v>
      </c>
      <c r="C4" s="8"/>
      <c r="D4" s="8"/>
      <c r="E4" s="8"/>
      <c r="F4" s="8"/>
      <c r="G4" s="8"/>
    </row>
    <row r="5" spans="1:7" ht="5" customHeight="1"/>
    <row r="6" spans="1:7">
      <c r="B6" s="27" t="s">
        <v>71</v>
      </c>
      <c r="C6" s="27"/>
      <c r="D6" s="28" t="s">
        <v>72</v>
      </c>
      <c r="E6" s="28"/>
    </row>
    <row r="7" spans="1:7">
      <c r="B7" s="27" t="s">
        <v>73</v>
      </c>
      <c r="C7" s="27"/>
      <c r="D7" s="29">
        <v>46295</v>
      </c>
      <c r="E7" s="7"/>
    </row>
    <row r="8" spans="1:7">
      <c r="B8" s="27" t="s">
        <v>74</v>
      </c>
      <c r="C8" s="27"/>
      <c r="D8" s="30">
        <v>3</v>
      </c>
      <c r="E8" s="7" t="s">
        <v>75</v>
      </c>
    </row>
    <row r="9" spans="1:7">
      <c r="B9" s="27" t="s">
        <v>76</v>
      </c>
      <c r="C9" s="27"/>
      <c r="D9" s="30">
        <v>60</v>
      </c>
      <c r="E9" s="7" t="s">
        <v>77</v>
      </c>
    </row>
    <row r="10" spans="1:7">
      <c r="B10" s="27" t="s">
        <v>78</v>
      </c>
      <c r="C10" s="27"/>
      <c r="D10" s="31">
        <v>1</v>
      </c>
      <c r="E10" s="7"/>
    </row>
    <row r="12" spans="1:7" ht="35.4" customHeight="1">
      <c r="B12" s="25" t="s">
        <v>79</v>
      </c>
      <c r="C12" s="25"/>
      <c r="D12" s="25"/>
      <c r="E12" s="25"/>
      <c r="F12" s="25"/>
      <c r="G12" s="25"/>
    </row>
    <row r="14" spans="1:7" ht="21" customHeight="1">
      <c r="B14" s="8" t="s">
        <v>80</v>
      </c>
      <c r="C14" s="8"/>
      <c r="D14" s="8"/>
      <c r="E14" s="8"/>
      <c r="F14" s="8"/>
      <c r="G14" s="8"/>
    </row>
    <row r="15" spans="1:7" ht="5" customHeight="1"/>
    <row r="16" spans="1:7" ht="16.2" customHeight="1">
      <c r="B16" s="26" t="s">
        <v>53</v>
      </c>
      <c r="C16" s="10" t="s">
        <v>81</v>
      </c>
      <c r="D16" s="10"/>
      <c r="E16" s="10"/>
      <c r="F16" s="10"/>
      <c r="G16" s="10"/>
    </row>
    <row r="17" spans="2:7" ht="16.2" customHeight="1">
      <c r="B17" s="26" t="s">
        <v>53</v>
      </c>
      <c r="C17" s="10" t="s">
        <v>82</v>
      </c>
      <c r="D17" s="10"/>
      <c r="E17" s="10"/>
      <c r="F17" s="10"/>
      <c r="G17" s="10"/>
    </row>
    <row r="18" spans="2:7" ht="16.2" customHeight="1">
      <c r="B18" s="26" t="s">
        <v>53</v>
      </c>
      <c r="C18" s="10" t="s">
        <v>83</v>
      </c>
      <c r="D18" s="10"/>
      <c r="E18" s="10"/>
      <c r="F18" s="10"/>
      <c r="G18" s="10"/>
    </row>
    <row r="19" spans="2:7" ht="16.2" customHeight="1">
      <c r="B19" s="26" t="s">
        <v>53</v>
      </c>
      <c r="C19" s="10" t="s">
        <v>84</v>
      </c>
      <c r="D19" s="10"/>
      <c r="E19" s="10"/>
      <c r="F19" s="10"/>
      <c r="G19" s="10"/>
    </row>
    <row r="20" spans="2:7" ht="16.2" customHeight="1">
      <c r="B20" s="26" t="s">
        <v>53</v>
      </c>
      <c r="C20" s="10" t="s">
        <v>85</v>
      </c>
      <c r="D20" s="10"/>
      <c r="E20" s="10"/>
      <c r="F20" s="10"/>
      <c r="G20" s="10"/>
    </row>
    <row r="21" spans="2:7" ht="21" customHeight="1">
      <c r="B21" s="8" t="s">
        <v>86</v>
      </c>
      <c r="C21" s="8"/>
      <c r="D21" s="8"/>
      <c r="E21" s="8"/>
      <c r="F21" s="8"/>
      <c r="G21" s="8"/>
    </row>
    <row r="22" spans="2:7" ht="5" customHeight="1"/>
    <row r="23" spans="2:7">
      <c r="B23" s="21" t="s">
        <v>87</v>
      </c>
      <c r="C23" s="21"/>
      <c r="D23" s="21"/>
      <c r="E23" s="21"/>
      <c r="F23" s="21"/>
      <c r="G23" s="21"/>
    </row>
    <row r="24" spans="2:7">
      <c r="B24" s="32" t="s">
        <v>88</v>
      </c>
      <c r="C24" s="32"/>
    </row>
    <row r="25" spans="2:7" ht="20" customHeight="1">
      <c r="B25" s="33" t="s">
        <v>60</v>
      </c>
      <c r="C25" s="33" t="s">
        <v>61</v>
      </c>
    </row>
    <row r="26" spans="2:7">
      <c r="B26" s="28" t="s">
        <v>89</v>
      </c>
      <c r="C26" s="28" t="s">
        <v>90</v>
      </c>
    </row>
    <row r="27" spans="2:7">
      <c r="B27" s="28" t="s">
        <v>91</v>
      </c>
      <c r="C27" s="28" t="s">
        <v>92</v>
      </c>
    </row>
    <row r="28" spans="2:7">
      <c r="B28" s="28" t="s">
        <v>93</v>
      </c>
      <c r="C28" s="28" t="s">
        <v>94</v>
      </c>
    </row>
    <row r="30" spans="2:7">
      <c r="B30" s="32" t="s">
        <v>95</v>
      </c>
      <c r="C30" s="32"/>
      <c r="D30" s="32"/>
    </row>
    <row r="31" spans="2:7" ht="20" customHeight="1">
      <c r="B31" s="33" t="s">
        <v>62</v>
      </c>
      <c r="C31" s="33" t="s">
        <v>60</v>
      </c>
      <c r="D31" s="33" t="s">
        <v>63</v>
      </c>
    </row>
    <row r="32" spans="2:7">
      <c r="B32" s="28" t="s">
        <v>96</v>
      </c>
      <c r="C32" s="28" t="s">
        <v>89</v>
      </c>
      <c r="D32" s="28" t="s">
        <v>97</v>
      </c>
    </row>
    <row r="33" spans="2:7">
      <c r="B33" s="28" t="s">
        <v>98</v>
      </c>
      <c r="C33" s="28" t="s">
        <v>89</v>
      </c>
      <c r="D33" s="28" t="s">
        <v>99</v>
      </c>
    </row>
    <row r="34" spans="2:7">
      <c r="B34" s="28" t="s">
        <v>100</v>
      </c>
      <c r="C34" s="28" t="s">
        <v>89</v>
      </c>
      <c r="D34" s="28" t="s">
        <v>101</v>
      </c>
    </row>
    <row r="35" spans="2:7">
      <c r="B35" s="28" t="s">
        <v>102</v>
      </c>
      <c r="C35" s="28" t="s">
        <v>89</v>
      </c>
      <c r="D35" s="28" t="s">
        <v>103</v>
      </c>
    </row>
    <row r="36" spans="2:7">
      <c r="B36" s="28" t="s">
        <v>104</v>
      </c>
      <c r="C36" s="28" t="s">
        <v>89</v>
      </c>
      <c r="D36" s="28" t="s">
        <v>105</v>
      </c>
    </row>
    <row r="37" spans="2:7">
      <c r="B37" s="28" t="s">
        <v>106</v>
      </c>
      <c r="C37" s="28" t="s">
        <v>91</v>
      </c>
      <c r="D37" s="28" t="s">
        <v>97</v>
      </c>
    </row>
    <row r="38" spans="2:7">
      <c r="B38" s="28" t="s">
        <v>107</v>
      </c>
      <c r="C38" s="28" t="s">
        <v>91</v>
      </c>
      <c r="D38" s="28" t="s">
        <v>99</v>
      </c>
    </row>
    <row r="39" spans="2:7">
      <c r="B39" s="28" t="s">
        <v>108</v>
      </c>
      <c r="C39" s="28" t="s">
        <v>91</v>
      </c>
      <c r="D39" s="28" t="s">
        <v>101</v>
      </c>
    </row>
    <row r="40" spans="2:7">
      <c r="B40" s="28" t="s">
        <v>109</v>
      </c>
      <c r="C40" s="28" t="s">
        <v>91</v>
      </c>
      <c r="D40" s="28" t="s">
        <v>103</v>
      </c>
    </row>
    <row r="41" spans="2:7">
      <c r="B41" s="28" t="s">
        <v>110</v>
      </c>
      <c r="C41" s="28" t="s">
        <v>91</v>
      </c>
      <c r="D41" s="28" t="s">
        <v>111</v>
      </c>
    </row>
    <row r="42" spans="2:7">
      <c r="B42" s="28" t="s">
        <v>112</v>
      </c>
      <c r="C42" s="28" t="s">
        <v>93</v>
      </c>
      <c r="D42" s="28" t="s">
        <v>97</v>
      </c>
    </row>
    <row r="43" spans="2:7">
      <c r="B43" s="28" t="s">
        <v>113</v>
      </c>
      <c r="C43" s="28" t="s">
        <v>93</v>
      </c>
      <c r="D43" s="28" t="s">
        <v>99</v>
      </c>
    </row>
    <row r="44" spans="2:7">
      <c r="B44" s="28" t="s">
        <v>114</v>
      </c>
      <c r="C44" s="28" t="s">
        <v>93</v>
      </c>
      <c r="D44" s="28" t="s">
        <v>103</v>
      </c>
    </row>
    <row r="45" spans="2:7">
      <c r="B45" s="28" t="s">
        <v>115</v>
      </c>
      <c r="C45" s="28" t="s">
        <v>93</v>
      </c>
      <c r="D45" s="28" t="s">
        <v>116</v>
      </c>
    </row>
    <row r="46" spans="2:7">
      <c r="B46" s="28" t="s">
        <v>117</v>
      </c>
      <c r="C46" s="28" t="s">
        <v>93</v>
      </c>
      <c r="D46" s="28" t="s">
        <v>99</v>
      </c>
    </row>
    <row r="48" spans="2:7">
      <c r="B48" s="32" t="s">
        <v>118</v>
      </c>
      <c r="C48" s="32"/>
      <c r="D48" s="32"/>
      <c r="E48" s="32"/>
      <c r="F48" s="32"/>
      <c r="G48" s="32"/>
    </row>
    <row r="49" spans="2:7" ht="32" customHeight="1">
      <c r="B49" s="33" t="s">
        <v>64</v>
      </c>
      <c r="C49" s="33" t="s">
        <v>65</v>
      </c>
      <c r="D49" s="33" t="s">
        <v>66</v>
      </c>
      <c r="E49" s="33" t="s">
        <v>67</v>
      </c>
      <c r="F49" s="33" t="s">
        <v>68</v>
      </c>
      <c r="G49" s="33" t="s">
        <v>69</v>
      </c>
    </row>
    <row r="50" spans="2:7">
      <c r="B50" s="28" t="s">
        <v>119</v>
      </c>
      <c r="C50" s="28" t="s">
        <v>120</v>
      </c>
      <c r="D50" s="30">
        <v>6</v>
      </c>
      <c r="E50" s="30">
        <v>2</v>
      </c>
      <c r="F50" s="30">
        <v>0</v>
      </c>
      <c r="G50" s="28" t="s">
        <v>121</v>
      </c>
    </row>
    <row r="51" spans="2:7">
      <c r="B51" s="28" t="s">
        <v>122</v>
      </c>
      <c r="C51" s="28" t="s">
        <v>120</v>
      </c>
      <c r="D51" s="30">
        <v>6</v>
      </c>
      <c r="E51" s="30">
        <v>2</v>
      </c>
      <c r="F51" s="30">
        <v>0</v>
      </c>
      <c r="G51" s="28" t="s">
        <v>123</v>
      </c>
    </row>
    <row r="52" spans="2:7">
      <c r="B52" s="28" t="s">
        <v>124</v>
      </c>
      <c r="C52" s="28" t="s">
        <v>120</v>
      </c>
      <c r="D52" s="30">
        <v>4</v>
      </c>
      <c r="E52" s="30">
        <v>1</v>
      </c>
      <c r="F52" s="30">
        <v>0</v>
      </c>
      <c r="G52" s="28" t="s">
        <v>125</v>
      </c>
    </row>
    <row r="53" spans="2:7">
      <c r="B53" s="28" t="s">
        <v>126</v>
      </c>
      <c r="C53" s="28" t="s">
        <v>127</v>
      </c>
      <c r="D53" s="30">
        <v>3</v>
      </c>
      <c r="E53" s="30">
        <v>1</v>
      </c>
      <c r="F53" s="30">
        <v>0</v>
      </c>
      <c r="G53" s="28" t="s">
        <v>128</v>
      </c>
    </row>
    <row r="54" spans="2:7">
      <c r="B54" s="28" t="s">
        <v>129</v>
      </c>
      <c r="C54" s="28" t="s">
        <v>130</v>
      </c>
      <c r="D54" s="30">
        <v>6</v>
      </c>
      <c r="E54" s="30">
        <v>1</v>
      </c>
      <c r="F54" s="30">
        <v>0</v>
      </c>
      <c r="G54" s="28" t="s">
        <v>131</v>
      </c>
    </row>
    <row r="55" spans="2:7">
      <c r="B55" s="28" t="s">
        <v>132</v>
      </c>
      <c r="C55" s="28" t="s">
        <v>132</v>
      </c>
      <c r="D55" s="30">
        <v>6</v>
      </c>
      <c r="E55" s="30">
        <v>2</v>
      </c>
      <c r="F55" s="30">
        <v>0</v>
      </c>
      <c r="G55" s="28" t="s">
        <v>133</v>
      </c>
    </row>
    <row r="56" spans="2:7">
      <c r="B56" s="28" t="s">
        <v>134</v>
      </c>
      <c r="C56" s="28" t="s">
        <v>132</v>
      </c>
      <c r="D56" s="30">
        <v>3</v>
      </c>
      <c r="E56" s="30">
        <v>1</v>
      </c>
      <c r="F56" s="30">
        <v>24</v>
      </c>
      <c r="G56" s="28" t="s">
        <v>135</v>
      </c>
    </row>
    <row r="57" spans="2:7">
      <c r="B57" s="28" t="s">
        <v>136</v>
      </c>
      <c r="C57" s="28" t="s">
        <v>137</v>
      </c>
      <c r="D57" s="30">
        <v>3</v>
      </c>
      <c r="E57" s="30">
        <v>1</v>
      </c>
      <c r="F57" s="30">
        <v>36</v>
      </c>
      <c r="G57" s="28" t="s">
        <v>138</v>
      </c>
    </row>
    <row r="58" spans="2:7">
      <c r="B58" s="28" t="s">
        <v>139</v>
      </c>
      <c r="C58" s="28" t="s">
        <v>140</v>
      </c>
      <c r="D58" s="30">
        <v>6</v>
      </c>
      <c r="E58" s="30">
        <v>1</v>
      </c>
      <c r="F58" s="30">
        <v>36</v>
      </c>
      <c r="G58" s="28" t="s">
        <v>141</v>
      </c>
    </row>
    <row r="59" spans="2:7">
      <c r="B59" s="28" t="s">
        <v>142</v>
      </c>
      <c r="C59" s="28" t="s">
        <v>140</v>
      </c>
      <c r="D59" s="30">
        <v>10</v>
      </c>
      <c r="E59" s="30">
        <v>2</v>
      </c>
      <c r="F59" s="30">
        <v>12</v>
      </c>
      <c r="G59" s="28" t="s">
        <v>143</v>
      </c>
    </row>
  </sheetData>
  <mergeCells count="21">
    <mergeCell ref="A1:G1"/>
    <mergeCell ref="B2:F2"/>
    <mergeCell ref="B4:G4"/>
    <mergeCell ref="B6:C6"/>
    <mergeCell ref="D6:E6"/>
    <mergeCell ref="B7:C7"/>
    <mergeCell ref="B8:C8"/>
    <mergeCell ref="B9:C9"/>
    <mergeCell ref="B10:C10"/>
    <mergeCell ref="B12:G12"/>
    <mergeCell ref="B14:G14"/>
    <mergeCell ref="C16:G16"/>
    <mergeCell ref="C17:G17"/>
    <mergeCell ref="C18:G18"/>
    <mergeCell ref="C19:G19"/>
    <mergeCell ref="C20:G20"/>
    <mergeCell ref="B21:G21"/>
    <mergeCell ref="B23:G23"/>
    <mergeCell ref="B24:C24"/>
    <mergeCell ref="B30:D30"/>
    <mergeCell ref="B48:G48"/>
  </mergeCells>
  <dataValidations count="16">
    <dataValidation type="textLength" allowBlank="1" showInputMessage="1" showErrorMessage="1" errorTitle="Check this entry" error="Text up to 80 characters." promptTitle="Plant or team" prompt="Text up to 80 characters." sqref="D6">
      <formula1>0</formula1>
      <formula2>80</formula2>
    </dataValidation>
    <dataValidation type="date" allowBlank="1" showInputMessage="1" showErrorMessage="1" errorTitle="Check this entry" error="Enter a date between 01 Jan 2000 and 31 Dec 2100." promptTitle="Status as of" prompt="Renewals are judged against this date (Due soon, Overdue). A typed date, so the file never changes by itself: update it when you review the matrix. Enter a date between 01 Jan 2000 and 31 Dec 2100." sqref="D7">
      <formula1>36526</formula1>
      <formula2>73415</formula2>
    </dataValidation>
    <dataValidation type="whole" allowBlank="1" showInputMessage="1" showErrorMessage="1" errorTitle="Check this entry" error="Enter a whole number from 1 to 4." promptTitle="Qualified from level" prompt="A record counts as qualified when its level is at least this (3 = works alone to the standard) and it has not lapsed. Enter a whole number from 1 to 4." sqref="D8">
      <formula1>1</formula1>
      <formula2>4</formula2>
    </dataValidation>
    <dataValidation type="whole" allowBlank="1" showInputMessage="1" showErrorMessage="1" errorTitle="Check this entry" error="Enter a whole number from 0 to 730." promptTitle="Due soon window" prompt="A record whose expiry falls within this many days of the as-of date is Due soon. Enter a whole number from 0 to 730." sqref="D9">
      <formula1>0</formula1>
      <formula2>730</formula2>
    </dataValidation>
    <dataValidation type="decimal" allowBlank="1" showInputMessage="1" showErrorMessage="1" errorTitle="Check this entry" error="Enter a percentage from 0% to 500% (type 85% or 0.85)." promptTitle="Coverage target" prompt="Qualified people / people needed, per skill. 100% means every skill has the qualified people you said it needs. Your own target. Enter a percentage from 0% to 500% (type 85% or 0.85)." sqref="D10">
      <formula1>0</formula1>
      <formula2>5</formula2>
    </dataValidation>
    <dataValidation type="textLength" allowBlank="1" showInputMessage="1" showErrorMessage="1" errorTitle="Check this entry" error="Text up to 20 characters." promptTitle="Shift" prompt="Text up to 20 characters." sqref="B26:B128">
      <formula1>0</formula1>
      <formula2>20</formula2>
    </dataValidation>
    <dataValidation type="textLength" allowBlank="1" showInputMessage="1" showErrorMessage="1" errorTitle="Check this entry" error="Text up to 40 characters." promptTitle="Hours" prompt="Text up to 40 characters." sqref="C26:C128">
      <formula1>0</formula1>
      <formula2>40</formula2>
    </dataValidation>
    <dataValidation type="textLength" allowBlank="1" showInputMessage="1" showErrorMessage="1" errorTitle="Check this entry" error="Text up to 40 characters." promptTitle="Person" prompt="Text up to 40 characters." sqref="B32:B146">
      <formula1>0</formula1>
      <formula2>40</formula2>
    </dataValidation>
    <dataValidation type="list" allowBlank="1" showInputMessage="1" showErrorMessage="1" errorTitle="Check this entry" error="Pick from the list (edit the list on Setup: ShiftList)." promptTitle="Shift" prompt="Pick from the list (edit the list on Setup: ShiftList)." sqref="C32:C146">
      <formula1>ShiftList</formula1>
    </dataValidation>
    <dataValidation type="textLength" allowBlank="1" showInputMessage="1" showErrorMessage="1" errorTitle="Check this entry" error="Text up to 60 characters." promptTitle="Role" prompt="Text up to 60 characters." sqref="D32:D146">
      <formula1>0</formula1>
      <formula2>60</formula2>
    </dataValidation>
    <dataValidation type="textLength" allowBlank="1" showInputMessage="1" showErrorMessage="1" errorTitle="Check this entry" error="Text up to 24 characters." promptTitle="Skill" prompt="Short names (up to about 11 characters) fit the matrix columns on the Dashboard. Text up to 24 characters." sqref="B50:B159">
      <formula1>0</formula1>
      <formula2>24</formula2>
    </dataValidation>
    <dataValidation type="textLength" allowBlank="1" showInputMessage="1" showErrorMessage="1" errorTitle="Check this entry" error="Text up to 40 characters." promptTitle="Area" prompt="Text up to 40 characters." sqref="C50:C159">
      <formula1>0</formula1>
      <formula2>40</formula2>
    </dataValidation>
    <dataValidation type="whole" allowBlank="1" showInputMessage="1" showErrorMessage="1" errorTitle="Check this entry" error="Enter a whole number from 1 to 10,000." promptTitle="Needed (people)" prompt="How many qualified people this skill needs in total (for cover across shifts, holidays and absence). Enter a whole number from 1 to 10,000." sqref="D50:D159">
      <formula1>1</formula1>
      <formula2>10000</formula2>
    </dataValidation>
    <dataValidation type="whole" allowBlank="1" showInputMessage="1" showErrorMessage="1" errorTitle="Check this entry" error="Enter a whole number from 0 to 1,000." promptTitle="Min per shift (people)" prompt="Qualified people each shift must have. A shift with fewer is a shift gap on the Dashboard. Enter a whole number from 0 to 1,000." sqref="E50:E159">
      <formula1>0</formula1>
      <formula2>1000</formula2>
    </dataValidation>
    <dataValidation type="whole" allowBlank="1" showInputMessage="1" showErrorMessage="1" errorTitle="Check this entry" error="Enter a whole number from 0 to 240." promptTitle="Renewal (months)" prompt="Months a sign-off or certificate stays valid. 0 = no expiry. Enter a whole number from 0 to 240." sqref="F50:F159">
      <formula1>0</formula1>
      <formula2>240</formula2>
    </dataValidation>
    <dataValidation type="textLength" allowBlank="1" showInputMessage="1" showErrorMessage="1" errorTitle="Check this entry" error="Text up to 160 characters." promptTitle="Notes" prompt="Text up to 160 characters." sqref="G50:G159">
      <formula1>0</formula1>
      <formula2>160</formula2>
    </dataValidation>
  </dataValidations>
  <hyperlinks>
    <hyperlink ref="G2" r:id="rId1" tooltip="Free manufacturing calculators and templates"/>
  </hyperlinks>
  <pageMargins left="0.4" right="0.4" top="0.7" bottom="0.65" header="0.3" footer="0.3"/>
  <pageSetup fitToHeight="0" orientation="landscape"/>
  <headerFooter>
    <oddHeader>&amp;L&amp;8MFG Calcs - Skills and Training Matrix&amp;R&amp;8&amp;A</oddHeader>
    <oddFooter>&amp;L&amp;8mfgcalcs.com - free manufacturing templates&amp;R&amp;8Page &amp;P of &amp;N</oddFooter>
  </headerFooter>
  <rowBreaks count="1" manualBreakCount="1">
    <brk id="29" max="16383" man="1"/>
  </rowBreaks>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N95"/>
  <sheetViews>
    <sheetView workbookViewId="0">
      <pane xSplit="3" ySplit="5" topLeftCell="D6" activePane="bottomRight" state="frozen"/>
      <selection pane="topRight" activeCell="D1" sqref="D1"/>
      <selection pane="bottomLeft" activeCell="A6" sqref="A6"/>
      <selection pane="bottomRight"/>
    </sheetView>
  </sheetViews>
  <sheetFormatPr defaultRowHeight="15"/>
  <cols>
    <col min="1" max="1" width="2.7109375" customWidth="1"/>
    <col min="2" max="2" width="14.7109375" customWidth="1"/>
    <col min="3" max="3" width="12.7109375" customWidth="1"/>
    <col min="4" max="4" width="9.28515625" customWidth="1"/>
    <col min="5" max="5" width="12.28515625" customWidth="1"/>
    <col min="6" max="6" width="16.7109375" customWidth="1"/>
    <col min="7" max="7" width="8.7109375" customWidth="1"/>
    <col min="8" max="8" width="10.28515625" customWidth="1"/>
    <col min="9" max="9" width="12.28515625" customWidth="1"/>
    <col min="10" max="10" width="8.7109375" customWidth="1"/>
    <col min="11" max="11" width="11.28515625" customWidth="1"/>
    <col min="12" max="12" width="9.7109375" customWidth="1"/>
    <col min="13" max="13" width="24.7109375" customWidth="1"/>
    <col min="14" max="14" width="28.7109375" customWidth="1"/>
  </cols>
  <sheetData>
    <row r="1" spans="1:14" ht="30" customHeight="1">
      <c r="A1" s="1" t="s">
        <v>0</v>
      </c>
      <c r="B1" s="1"/>
      <c r="C1" s="1"/>
      <c r="D1" s="1"/>
      <c r="E1" s="1"/>
      <c r="F1" s="1"/>
      <c r="G1" s="1"/>
      <c r="H1" s="1"/>
      <c r="I1" s="1"/>
      <c r="J1" s="1"/>
      <c r="K1" s="1"/>
      <c r="L1" s="1"/>
      <c r="M1" s="1"/>
      <c r="N1" s="1"/>
    </row>
    <row r="2" spans="1:14" ht="21" customHeight="1">
      <c r="B2" s="2" t="s">
        <v>20</v>
      </c>
      <c r="C2" s="2"/>
      <c r="D2" s="2"/>
      <c r="E2" s="2"/>
      <c r="F2" s="2"/>
      <c r="G2" s="2"/>
      <c r="H2" s="2"/>
      <c r="I2" s="2"/>
      <c r="J2" s="2"/>
      <c r="K2" s="2"/>
      <c r="L2" s="2"/>
      <c r="M2" s="2"/>
      <c r="N2" s="3" t="s">
        <v>2</v>
      </c>
    </row>
    <row r="3" spans="1:14" ht="6" customHeight="1"/>
    <row r="4" spans="1:14" ht="29.76" customHeight="1">
      <c r="B4" s="34" t="s">
        <v>152</v>
      </c>
      <c r="C4" s="34"/>
      <c r="D4" s="34"/>
      <c r="E4" s="34"/>
      <c r="F4" s="34"/>
      <c r="G4" s="34"/>
      <c r="H4" s="34"/>
      <c r="I4" s="34"/>
      <c r="J4" s="34"/>
      <c r="K4" s="34"/>
      <c r="L4" s="34"/>
      <c r="M4" s="34"/>
      <c r="N4" s="34"/>
    </row>
    <row r="5" spans="1:14" ht="32" customHeight="1">
      <c r="B5" s="33" t="s">
        <v>62</v>
      </c>
      <c r="C5" s="33" t="s">
        <v>64</v>
      </c>
      <c r="D5" s="33" t="s">
        <v>144</v>
      </c>
      <c r="E5" s="33" t="s">
        <v>145</v>
      </c>
      <c r="F5" s="33" t="s">
        <v>146</v>
      </c>
      <c r="G5" s="33" t="s">
        <v>60</v>
      </c>
      <c r="H5" s="33" t="s">
        <v>68</v>
      </c>
      <c r="I5" s="33" t="s">
        <v>147</v>
      </c>
      <c r="J5" s="33" t="s">
        <v>148</v>
      </c>
      <c r="K5" s="33" t="s">
        <v>149</v>
      </c>
      <c r="L5" s="33" t="s">
        <v>150</v>
      </c>
      <c r="M5" s="33" t="s">
        <v>151</v>
      </c>
      <c r="N5" s="33" t="s">
        <v>69</v>
      </c>
    </row>
    <row r="6" spans="1:14">
      <c r="B6" s="28" t="s">
        <v>96</v>
      </c>
      <c r="C6" s="28" t="s">
        <v>119</v>
      </c>
      <c r="D6" s="30">
        <v>4</v>
      </c>
      <c r="E6" s="29">
        <v>45108</v>
      </c>
      <c r="F6" s="28" t="s">
        <v>153</v>
      </c>
      <c r="G6" s="35" t="str">
        <f>IF(tblRecords[[#This Row],[Person]]="","",IFERROR(INDEX(tblPeople[Shift],MATCH(tblRecords[[#This Row],[Person]],tblPeople[Person],0)),""))</f>
        <v>Early</v>
      </c>
      <c r="H6" s="36">
        <f>IF(tblRecords[[#This Row],[Person]]="","",IFERROR(INDEX(tblSkills[Renewal (months)],MATCH(tblRecords[[#This Row],[Skill]],tblSkills[Skill],0)),""))</f>
        <v>0</v>
      </c>
      <c r="I6" s="37">
        <f>IF(tblRecords[[#This Row],[Person]]="","",IF(OR(tblRecords[[#This Row],[Renewal (months)]]="",N(tblRecords[[#This Row],[Assessed on]])=0),"",IF(tblRecords[[#This Row],[Renewal (months)]]=0,"",EDATE(tblRecords[[#This Row],[Assessed on]],tblRecords[[#This Row],[Renewal (months)]]))))</f>
        <v/>
      </c>
      <c r="J6" s="38">
        <f>IF(tblRecords[[#This Row],[Person]]="","",IF(tblRecords[[#This Row],[Expires]]="","",tblRecords[[#This Row],[Expires]]-AsOf))</f>
        <v/>
      </c>
      <c r="K6" s="39" t="str">
        <f>IF(tblRecords[[#This Row],[Person]]="","",IF(tblRecords[[#This Row],[Expires]]="","OK",IF(tblRecords[[#This Row],[Expires]]&lt;AsOf,"Overdue",IF(tblRecords[[#This Row],[Expires]]-AsOf&lt;=DueSoonDays,"Due soon","OK"))))</f>
        <v>OK</v>
      </c>
      <c r="L6" s="39" t="str">
        <f>IF(tblRecords[[#This Row],[Person]]="","",IF(AND(N(tblRecords[[#This Row],[Level (0-4)]])&gt;=QualLevel,tblRecords[[#This Row],[Renewal status]]&lt;&gt;"Overdue"),"Yes","No"))</f>
        <v>Yes</v>
      </c>
      <c r="M6"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6" s="28" t="s">
        <v>154</v>
      </c>
    </row>
    <row r="7" spans="1:14">
      <c r="B7" s="28" t="s">
        <v>96</v>
      </c>
      <c r="C7" s="28" t="s">
        <v>122</v>
      </c>
      <c r="D7" s="30">
        <v>4</v>
      </c>
      <c r="E7" s="29">
        <v>45225</v>
      </c>
      <c r="F7" s="28" t="s">
        <v>153</v>
      </c>
      <c r="G7" s="35" t="str">
        <f>IF(tblRecords[[#This Row],[Person]]="","",IFERROR(INDEX(tblPeople[Shift],MATCH(tblRecords[[#This Row],[Person]],tblPeople[Person],0)),""))</f>
        <v>Early</v>
      </c>
      <c r="H7" s="36">
        <f>IF(tblRecords[[#This Row],[Person]]="","",IFERROR(INDEX(tblSkills[Renewal (months)],MATCH(tblRecords[[#This Row],[Skill]],tblSkills[Skill],0)),""))</f>
        <v>0</v>
      </c>
      <c r="I7" s="37">
        <f>IF(tblRecords[[#This Row],[Person]]="","",IF(OR(tblRecords[[#This Row],[Renewal (months)]]="",N(tblRecords[[#This Row],[Assessed on]])=0),"",IF(tblRecords[[#This Row],[Renewal (months)]]=0,"",EDATE(tblRecords[[#This Row],[Assessed on]],tblRecords[[#This Row],[Renewal (months)]]))))</f>
        <v/>
      </c>
      <c r="J7" s="38">
        <f>IF(tblRecords[[#This Row],[Person]]="","",IF(tblRecords[[#This Row],[Expires]]="","",tblRecords[[#This Row],[Expires]]-AsOf))</f>
        <v/>
      </c>
      <c r="K7" s="39" t="str">
        <f>IF(tblRecords[[#This Row],[Person]]="","",IF(tblRecords[[#This Row],[Expires]]="","OK",IF(tblRecords[[#This Row],[Expires]]&lt;AsOf,"Overdue",IF(tblRecords[[#This Row],[Expires]]-AsOf&lt;=DueSoonDays,"Due soon","OK"))))</f>
        <v>OK</v>
      </c>
      <c r="L7" s="39" t="str">
        <f>IF(tblRecords[[#This Row],[Person]]="","",IF(AND(N(tblRecords[[#This Row],[Level (0-4)]])&gt;=QualLevel,tblRecords[[#This Row],[Renewal status]]&lt;&gt;"Overdue"),"Yes","No"))</f>
        <v>Yes</v>
      </c>
      <c r="M7"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7" s="28" t="s">
        <v>154</v>
      </c>
    </row>
    <row r="8" spans="1:14">
      <c r="B8" s="28" t="s">
        <v>96</v>
      </c>
      <c r="C8" s="28" t="s">
        <v>124</v>
      </c>
      <c r="D8" s="30">
        <v>4</v>
      </c>
      <c r="E8" s="29">
        <v>45600</v>
      </c>
      <c r="F8" s="28" t="s">
        <v>153</v>
      </c>
      <c r="G8" s="35" t="str">
        <f>IF(tblRecords[[#This Row],[Person]]="","",IFERROR(INDEX(tblPeople[Shift],MATCH(tblRecords[[#This Row],[Person]],tblPeople[Person],0)),""))</f>
        <v>Early</v>
      </c>
      <c r="H8" s="36">
        <f>IF(tblRecords[[#This Row],[Person]]="","",IFERROR(INDEX(tblSkills[Renewal (months)],MATCH(tblRecords[[#This Row],[Skill]],tblSkills[Skill],0)),""))</f>
        <v>0</v>
      </c>
      <c r="I8" s="37">
        <f>IF(tblRecords[[#This Row],[Person]]="","",IF(OR(tblRecords[[#This Row],[Renewal (months)]]="",N(tblRecords[[#This Row],[Assessed on]])=0),"",IF(tblRecords[[#This Row],[Renewal (months)]]=0,"",EDATE(tblRecords[[#This Row],[Assessed on]],tblRecords[[#This Row],[Renewal (months)]]))))</f>
        <v/>
      </c>
      <c r="J8" s="38">
        <f>IF(tblRecords[[#This Row],[Person]]="","",IF(tblRecords[[#This Row],[Expires]]="","",tblRecords[[#This Row],[Expires]]-AsOf))</f>
        <v/>
      </c>
      <c r="K8" s="39" t="str">
        <f>IF(tblRecords[[#This Row],[Person]]="","",IF(tblRecords[[#This Row],[Expires]]="","OK",IF(tblRecords[[#This Row],[Expires]]&lt;AsOf,"Overdue",IF(tblRecords[[#This Row],[Expires]]-AsOf&lt;=DueSoonDays,"Due soon","OK"))))</f>
        <v>OK</v>
      </c>
      <c r="L8" s="39" t="str">
        <f>IF(tblRecords[[#This Row],[Person]]="","",IF(AND(N(tblRecords[[#This Row],[Level (0-4)]])&gt;=QualLevel,tblRecords[[#This Row],[Renewal status]]&lt;&gt;"Overdue"),"Yes","No"))</f>
        <v>Yes</v>
      </c>
      <c r="M8"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8" s="28" t="s">
        <v>154</v>
      </c>
    </row>
    <row r="9" spans="1:14">
      <c r="B9" s="28" t="s">
        <v>96</v>
      </c>
      <c r="C9" s="28" t="s">
        <v>126</v>
      </c>
      <c r="D9" s="30">
        <v>3</v>
      </c>
      <c r="E9" s="29">
        <v>45425</v>
      </c>
      <c r="F9" s="28" t="s">
        <v>155</v>
      </c>
      <c r="G9" s="35" t="str">
        <f>IF(tblRecords[[#This Row],[Person]]="","",IFERROR(INDEX(tblPeople[Shift],MATCH(tblRecords[[#This Row],[Person]],tblPeople[Person],0)),""))</f>
        <v>Early</v>
      </c>
      <c r="H9" s="36">
        <f>IF(tblRecords[[#This Row],[Person]]="","",IFERROR(INDEX(tblSkills[Renewal (months)],MATCH(tblRecords[[#This Row],[Skill]],tblSkills[Skill],0)),""))</f>
        <v>0</v>
      </c>
      <c r="I9" s="37">
        <f>IF(tblRecords[[#This Row],[Person]]="","",IF(OR(tblRecords[[#This Row],[Renewal (months)]]="",N(tblRecords[[#This Row],[Assessed on]])=0),"",IF(tblRecords[[#This Row],[Renewal (months)]]=0,"",EDATE(tblRecords[[#This Row],[Assessed on]],tblRecords[[#This Row],[Renewal (months)]]))))</f>
        <v/>
      </c>
      <c r="J9" s="38">
        <f>IF(tblRecords[[#This Row],[Person]]="","",IF(tblRecords[[#This Row],[Expires]]="","",tblRecords[[#This Row],[Expires]]-AsOf))</f>
        <v/>
      </c>
      <c r="K9" s="39" t="str">
        <f>IF(tblRecords[[#This Row],[Person]]="","",IF(tblRecords[[#This Row],[Expires]]="","OK",IF(tblRecords[[#This Row],[Expires]]&lt;AsOf,"Overdue",IF(tblRecords[[#This Row],[Expires]]-AsOf&lt;=DueSoonDays,"Due soon","OK"))))</f>
        <v>OK</v>
      </c>
      <c r="L9" s="39" t="str">
        <f>IF(tblRecords[[#This Row],[Person]]="","",IF(AND(N(tblRecords[[#This Row],[Level (0-4)]])&gt;=QualLevel,tblRecords[[#This Row],[Renewal status]]&lt;&gt;"Overdue"),"Yes","No"))</f>
        <v>Yes</v>
      </c>
      <c r="M9"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9" s="28" t="s">
        <v>154</v>
      </c>
    </row>
    <row r="10" spans="1:14">
      <c r="B10" s="28" t="s">
        <v>96</v>
      </c>
      <c r="C10" s="28" t="s">
        <v>129</v>
      </c>
      <c r="D10" s="30">
        <v>3</v>
      </c>
      <c r="E10" s="29">
        <v>45028</v>
      </c>
      <c r="F10" s="28" t="s">
        <v>153</v>
      </c>
      <c r="G10" s="35" t="str">
        <f>IF(tblRecords[[#This Row],[Person]]="","",IFERROR(INDEX(tblPeople[Shift],MATCH(tblRecords[[#This Row],[Person]],tblPeople[Person],0)),""))</f>
        <v>Early</v>
      </c>
      <c r="H10" s="36">
        <f>IF(tblRecords[[#This Row],[Person]]="","",IFERROR(INDEX(tblSkills[Renewal (months)],MATCH(tblRecords[[#This Row],[Skill]],tblSkills[Skill],0)),""))</f>
        <v>0</v>
      </c>
      <c r="I10" s="37">
        <f>IF(tblRecords[[#This Row],[Person]]="","",IF(OR(tblRecords[[#This Row],[Renewal (months)]]="",N(tblRecords[[#This Row],[Assessed on]])=0),"",IF(tblRecords[[#This Row],[Renewal (months)]]=0,"",EDATE(tblRecords[[#This Row],[Assessed on]],tblRecords[[#This Row],[Renewal (months)]]))))</f>
        <v/>
      </c>
      <c r="J10" s="38">
        <f>IF(tblRecords[[#This Row],[Person]]="","",IF(tblRecords[[#This Row],[Expires]]="","",tblRecords[[#This Row],[Expires]]-AsOf))</f>
        <v/>
      </c>
      <c r="K10" s="39" t="str">
        <f>IF(tblRecords[[#This Row],[Person]]="","",IF(tblRecords[[#This Row],[Expires]]="","OK",IF(tblRecords[[#This Row],[Expires]]&lt;AsOf,"Overdue",IF(tblRecords[[#This Row],[Expires]]-AsOf&lt;=DueSoonDays,"Due soon","OK"))))</f>
        <v>OK</v>
      </c>
      <c r="L10" s="39" t="str">
        <f>IF(tblRecords[[#This Row],[Person]]="","",IF(AND(N(tblRecords[[#This Row],[Level (0-4)]])&gt;=QualLevel,tblRecords[[#This Row],[Renewal status]]&lt;&gt;"Overdue"),"Yes","No"))</f>
        <v>Yes</v>
      </c>
      <c r="M10"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10" s="28" t="s">
        <v>154</v>
      </c>
    </row>
    <row r="11" spans="1:14">
      <c r="B11" s="28" t="s">
        <v>96</v>
      </c>
      <c r="C11" s="28" t="s">
        <v>132</v>
      </c>
      <c r="D11" s="30">
        <v>2</v>
      </c>
      <c r="E11" s="29">
        <v>46111</v>
      </c>
      <c r="F11" s="28" t="s">
        <v>153</v>
      </c>
      <c r="G11" s="35" t="str">
        <f>IF(tblRecords[[#This Row],[Person]]="","",IFERROR(INDEX(tblPeople[Shift],MATCH(tblRecords[[#This Row],[Person]],tblPeople[Person],0)),""))</f>
        <v>Early</v>
      </c>
      <c r="H11" s="36">
        <f>IF(tblRecords[[#This Row],[Person]]="","",IFERROR(INDEX(tblSkills[Renewal (months)],MATCH(tblRecords[[#This Row],[Skill]],tblSkills[Skill],0)),""))</f>
        <v>0</v>
      </c>
      <c r="I11" s="37">
        <f>IF(tblRecords[[#This Row],[Person]]="","",IF(OR(tblRecords[[#This Row],[Renewal (months)]]="",N(tblRecords[[#This Row],[Assessed on]])=0),"",IF(tblRecords[[#This Row],[Renewal (months)]]=0,"",EDATE(tblRecords[[#This Row],[Assessed on]],tblRecords[[#This Row],[Renewal (months)]]))))</f>
        <v/>
      </c>
      <c r="J11" s="38">
        <f>IF(tblRecords[[#This Row],[Person]]="","",IF(tblRecords[[#This Row],[Expires]]="","",tblRecords[[#This Row],[Expires]]-AsOf))</f>
        <v/>
      </c>
      <c r="K11" s="39" t="str">
        <f>IF(tblRecords[[#This Row],[Person]]="","",IF(tblRecords[[#This Row],[Expires]]="","OK",IF(tblRecords[[#This Row],[Expires]]&lt;AsOf,"Overdue",IF(tblRecords[[#This Row],[Expires]]-AsOf&lt;=DueSoonDays,"Due soon","OK"))))</f>
        <v>OK</v>
      </c>
      <c r="L11" s="39" t="str">
        <f>IF(tblRecords[[#This Row],[Person]]="","",IF(AND(N(tblRecords[[#This Row],[Level (0-4)]])&gt;=QualLevel,tblRecords[[#This Row],[Renewal status]]&lt;&gt;"Overdue"),"Yes","No"))</f>
        <v>No</v>
      </c>
      <c r="M11"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11" s="28" t="s">
        <v>154</v>
      </c>
    </row>
    <row r="12" spans="1:14">
      <c r="B12" s="28" t="s">
        <v>96</v>
      </c>
      <c r="C12" s="28" t="s">
        <v>136</v>
      </c>
      <c r="D12" s="30">
        <v>3</v>
      </c>
      <c r="E12" s="29">
        <v>45747</v>
      </c>
      <c r="F12" s="28" t="s">
        <v>156</v>
      </c>
      <c r="G12" s="35" t="str">
        <f>IF(tblRecords[[#This Row],[Person]]="","",IFERROR(INDEX(tblPeople[Shift],MATCH(tblRecords[[#This Row],[Person]],tblPeople[Person],0)),""))</f>
        <v>Early</v>
      </c>
      <c r="H12" s="36">
        <f>IF(tblRecords[[#This Row],[Person]]="","",IFERROR(INDEX(tblSkills[Renewal (months)],MATCH(tblRecords[[#This Row],[Skill]],tblSkills[Skill],0)),""))</f>
        <v>36</v>
      </c>
      <c r="I12" s="37">
        <f>IF(tblRecords[[#This Row],[Person]]="","",IF(OR(tblRecords[[#This Row],[Renewal (months)]]="",N(tblRecords[[#This Row],[Assessed on]])=0),"",IF(tblRecords[[#This Row],[Renewal (months)]]=0,"",EDATE(tblRecords[[#This Row],[Assessed on]],tblRecords[[#This Row],[Renewal (months)]]))))</f>
        <v>46843</v>
      </c>
      <c r="J12" s="38">
        <f>IF(tblRecords[[#This Row],[Person]]="","",IF(tblRecords[[#This Row],[Expires]]="","",tblRecords[[#This Row],[Expires]]-AsOf))</f>
        <v>548</v>
      </c>
      <c r="K12" s="39" t="str">
        <f>IF(tblRecords[[#This Row],[Person]]="","",IF(tblRecords[[#This Row],[Expires]]="","OK",IF(tblRecords[[#This Row],[Expires]]&lt;AsOf,"Overdue",IF(tblRecords[[#This Row],[Expires]]-AsOf&lt;=DueSoonDays,"Due soon","OK"))))</f>
        <v>OK</v>
      </c>
      <c r="L12" s="39" t="str">
        <f>IF(tblRecords[[#This Row],[Person]]="","",IF(AND(N(tblRecords[[#This Row],[Level (0-4)]])&gt;=QualLevel,tblRecords[[#This Row],[Renewal status]]&lt;&gt;"Overdue"),"Yes","No"))</f>
        <v>Yes</v>
      </c>
      <c r="M12"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12" s="28" t="s">
        <v>154</v>
      </c>
    </row>
    <row r="13" spans="1:14">
      <c r="B13" s="28" t="s">
        <v>96</v>
      </c>
      <c r="C13" s="28" t="s">
        <v>139</v>
      </c>
      <c r="D13" s="30">
        <v>3</v>
      </c>
      <c r="E13" s="29">
        <v>46153</v>
      </c>
      <c r="F13" s="28" t="s">
        <v>156</v>
      </c>
      <c r="G13" s="35" t="str">
        <f>IF(tblRecords[[#This Row],[Person]]="","",IFERROR(INDEX(tblPeople[Shift],MATCH(tblRecords[[#This Row],[Person]],tblPeople[Person],0)),""))</f>
        <v>Early</v>
      </c>
      <c r="H13" s="36">
        <f>IF(tblRecords[[#This Row],[Person]]="","",IFERROR(INDEX(tblSkills[Renewal (months)],MATCH(tblRecords[[#This Row],[Skill]],tblSkills[Skill],0)),""))</f>
        <v>36</v>
      </c>
      <c r="I13" s="37">
        <f>IF(tblRecords[[#This Row],[Person]]="","",IF(OR(tblRecords[[#This Row],[Renewal (months)]]="",N(tblRecords[[#This Row],[Assessed on]])=0),"",IF(tblRecords[[#This Row],[Renewal (months)]]=0,"",EDATE(tblRecords[[#This Row],[Assessed on]],tblRecords[[#This Row],[Renewal (months)]]))))</f>
        <v>47249</v>
      </c>
      <c r="J13" s="38">
        <f>IF(tblRecords[[#This Row],[Person]]="","",IF(tblRecords[[#This Row],[Expires]]="","",tblRecords[[#This Row],[Expires]]-AsOf))</f>
        <v>954</v>
      </c>
      <c r="K13" s="39" t="str">
        <f>IF(tblRecords[[#This Row],[Person]]="","",IF(tblRecords[[#This Row],[Expires]]="","OK",IF(tblRecords[[#This Row],[Expires]]&lt;AsOf,"Overdue",IF(tblRecords[[#This Row],[Expires]]-AsOf&lt;=DueSoonDays,"Due soon","OK"))))</f>
        <v>OK</v>
      </c>
      <c r="L13" s="39" t="str">
        <f>IF(tblRecords[[#This Row],[Person]]="","",IF(AND(N(tblRecords[[#This Row],[Level (0-4)]])&gt;=QualLevel,tblRecords[[#This Row],[Renewal status]]&lt;&gt;"Overdue"),"Yes","No"))</f>
        <v>Yes</v>
      </c>
      <c r="M13"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13" s="28" t="s">
        <v>154</v>
      </c>
    </row>
    <row r="14" spans="1:14">
      <c r="B14" s="28" t="s">
        <v>96</v>
      </c>
      <c r="C14" s="28" t="s">
        <v>142</v>
      </c>
      <c r="D14" s="30">
        <v>4</v>
      </c>
      <c r="E14" s="29">
        <v>45950</v>
      </c>
      <c r="F14" s="28" t="s">
        <v>153</v>
      </c>
      <c r="G14" s="35" t="str">
        <f>IF(tblRecords[[#This Row],[Person]]="","",IFERROR(INDEX(tblPeople[Shift],MATCH(tblRecords[[#This Row],[Person]],tblPeople[Person],0)),""))</f>
        <v>Early</v>
      </c>
      <c r="H14" s="36">
        <f>IF(tblRecords[[#This Row],[Person]]="","",IFERROR(INDEX(tblSkills[Renewal (months)],MATCH(tblRecords[[#This Row],[Skill]],tblSkills[Skill],0)),""))</f>
        <v>12</v>
      </c>
      <c r="I14" s="37">
        <f>IF(tblRecords[[#This Row],[Person]]="","",IF(OR(tblRecords[[#This Row],[Renewal (months)]]="",N(tblRecords[[#This Row],[Assessed on]])=0),"",IF(tblRecords[[#This Row],[Renewal (months)]]=0,"",EDATE(tblRecords[[#This Row],[Assessed on]],tblRecords[[#This Row],[Renewal (months)]]))))</f>
        <v>46315</v>
      </c>
      <c r="J14" s="38">
        <f>IF(tblRecords[[#This Row],[Person]]="","",IF(tblRecords[[#This Row],[Expires]]="","",tblRecords[[#This Row],[Expires]]-AsOf))</f>
        <v>20</v>
      </c>
      <c r="K14" s="39" t="str">
        <f>IF(tblRecords[[#This Row],[Person]]="","",IF(tblRecords[[#This Row],[Expires]]="","OK",IF(tblRecords[[#This Row],[Expires]]&lt;AsOf,"Overdue",IF(tblRecords[[#This Row],[Expires]]-AsOf&lt;=DueSoonDays,"Due soon","OK"))))</f>
        <v>Due soon</v>
      </c>
      <c r="L14" s="39" t="str">
        <f>IF(tblRecords[[#This Row],[Person]]="","",IF(AND(N(tblRecords[[#This Row],[Level (0-4)]])&gt;=QualLevel,tblRecords[[#This Row],[Renewal status]]&lt;&gt;"Overdue"),"Yes","No"))</f>
        <v>Yes</v>
      </c>
      <c r="M14"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14" s="28" t="s">
        <v>154</v>
      </c>
    </row>
    <row r="15" spans="1:14">
      <c r="B15" s="28" t="s">
        <v>98</v>
      </c>
      <c r="C15" s="28" t="s">
        <v>119</v>
      </c>
      <c r="D15" s="30">
        <v>3</v>
      </c>
      <c r="E15" s="29">
        <v>45953</v>
      </c>
      <c r="F15" s="28" t="s">
        <v>96</v>
      </c>
      <c r="G15" s="35" t="str">
        <f>IF(tblRecords[[#This Row],[Person]]="","",IFERROR(INDEX(tblPeople[Shift],MATCH(tblRecords[[#This Row],[Person]],tblPeople[Person],0)),""))</f>
        <v>Early</v>
      </c>
      <c r="H15" s="36">
        <f>IF(tblRecords[[#This Row],[Person]]="","",IFERROR(INDEX(tblSkills[Renewal (months)],MATCH(tblRecords[[#This Row],[Skill]],tblSkills[Skill],0)),""))</f>
        <v>0</v>
      </c>
      <c r="I15" s="37">
        <f>IF(tblRecords[[#This Row],[Person]]="","",IF(OR(tblRecords[[#This Row],[Renewal (months)]]="",N(tblRecords[[#This Row],[Assessed on]])=0),"",IF(tblRecords[[#This Row],[Renewal (months)]]=0,"",EDATE(tblRecords[[#This Row],[Assessed on]],tblRecords[[#This Row],[Renewal (months)]]))))</f>
        <v/>
      </c>
      <c r="J15" s="38">
        <f>IF(tblRecords[[#This Row],[Person]]="","",IF(tblRecords[[#This Row],[Expires]]="","",tblRecords[[#This Row],[Expires]]-AsOf))</f>
        <v/>
      </c>
      <c r="K15" s="39" t="str">
        <f>IF(tblRecords[[#This Row],[Person]]="","",IF(tblRecords[[#This Row],[Expires]]="","OK",IF(tblRecords[[#This Row],[Expires]]&lt;AsOf,"Overdue",IF(tblRecords[[#This Row],[Expires]]-AsOf&lt;=DueSoonDays,"Due soon","OK"))))</f>
        <v>OK</v>
      </c>
      <c r="L15" s="39" t="str">
        <f>IF(tblRecords[[#This Row],[Person]]="","",IF(AND(N(tblRecords[[#This Row],[Level (0-4)]])&gt;=QualLevel,tblRecords[[#This Row],[Renewal status]]&lt;&gt;"Overdue"),"Yes","No"))</f>
        <v>Yes</v>
      </c>
      <c r="M15"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15" s="28" t="s">
        <v>154</v>
      </c>
    </row>
    <row r="16" spans="1:14">
      <c r="B16" s="28" t="s">
        <v>98</v>
      </c>
      <c r="C16" s="28" t="s">
        <v>122</v>
      </c>
      <c r="D16" s="30">
        <v>3</v>
      </c>
      <c r="E16" s="29">
        <v>44895</v>
      </c>
      <c r="F16" s="28" t="s">
        <v>96</v>
      </c>
      <c r="G16" s="35" t="str">
        <f>IF(tblRecords[[#This Row],[Person]]="","",IFERROR(INDEX(tblPeople[Shift],MATCH(tblRecords[[#This Row],[Person]],tblPeople[Person],0)),""))</f>
        <v>Early</v>
      </c>
      <c r="H16" s="36">
        <f>IF(tblRecords[[#This Row],[Person]]="","",IFERROR(INDEX(tblSkills[Renewal (months)],MATCH(tblRecords[[#This Row],[Skill]],tblSkills[Skill],0)),""))</f>
        <v>0</v>
      </c>
      <c r="I16" s="37">
        <f>IF(tblRecords[[#This Row],[Person]]="","",IF(OR(tblRecords[[#This Row],[Renewal (months)]]="",N(tblRecords[[#This Row],[Assessed on]])=0),"",IF(tblRecords[[#This Row],[Renewal (months)]]=0,"",EDATE(tblRecords[[#This Row],[Assessed on]],tblRecords[[#This Row],[Renewal (months)]]))))</f>
        <v/>
      </c>
      <c r="J16" s="38">
        <f>IF(tblRecords[[#This Row],[Person]]="","",IF(tblRecords[[#This Row],[Expires]]="","",tblRecords[[#This Row],[Expires]]-AsOf))</f>
        <v/>
      </c>
      <c r="K16" s="39" t="str">
        <f>IF(tblRecords[[#This Row],[Person]]="","",IF(tblRecords[[#This Row],[Expires]]="","OK",IF(tblRecords[[#This Row],[Expires]]&lt;AsOf,"Overdue",IF(tblRecords[[#This Row],[Expires]]-AsOf&lt;=DueSoonDays,"Due soon","OK"))))</f>
        <v>OK</v>
      </c>
      <c r="L16" s="39" t="str">
        <f>IF(tblRecords[[#This Row],[Person]]="","",IF(AND(N(tblRecords[[#This Row],[Level (0-4)]])&gt;=QualLevel,tblRecords[[#This Row],[Renewal status]]&lt;&gt;"Overdue"),"Yes","No"))</f>
        <v>Yes</v>
      </c>
      <c r="M16"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16" s="28" t="s">
        <v>154</v>
      </c>
    </row>
    <row r="17" spans="2:14">
      <c r="B17" s="28" t="s">
        <v>98</v>
      </c>
      <c r="C17" s="28" t="s">
        <v>124</v>
      </c>
      <c r="D17" s="30">
        <v>2</v>
      </c>
      <c r="E17" s="29">
        <v>46205</v>
      </c>
      <c r="F17" s="28" t="s">
        <v>96</v>
      </c>
      <c r="G17" s="35" t="str">
        <f>IF(tblRecords[[#This Row],[Person]]="","",IFERROR(INDEX(tblPeople[Shift],MATCH(tblRecords[[#This Row],[Person]],tblPeople[Person],0)),""))</f>
        <v>Early</v>
      </c>
      <c r="H17" s="36">
        <f>IF(tblRecords[[#This Row],[Person]]="","",IFERROR(INDEX(tblSkills[Renewal (months)],MATCH(tblRecords[[#This Row],[Skill]],tblSkills[Skill],0)),""))</f>
        <v>0</v>
      </c>
      <c r="I17" s="37">
        <f>IF(tblRecords[[#This Row],[Person]]="","",IF(OR(tblRecords[[#This Row],[Renewal (months)]]="",N(tblRecords[[#This Row],[Assessed on]])=0),"",IF(tblRecords[[#This Row],[Renewal (months)]]=0,"",EDATE(tblRecords[[#This Row],[Assessed on]],tblRecords[[#This Row],[Renewal (months)]]))))</f>
        <v/>
      </c>
      <c r="J17" s="38">
        <f>IF(tblRecords[[#This Row],[Person]]="","",IF(tblRecords[[#This Row],[Expires]]="","",tblRecords[[#This Row],[Expires]]-AsOf))</f>
        <v/>
      </c>
      <c r="K17" s="39" t="str">
        <f>IF(tblRecords[[#This Row],[Person]]="","",IF(tblRecords[[#This Row],[Expires]]="","OK",IF(tblRecords[[#This Row],[Expires]]&lt;AsOf,"Overdue",IF(tblRecords[[#This Row],[Expires]]-AsOf&lt;=DueSoonDays,"Due soon","OK"))))</f>
        <v>OK</v>
      </c>
      <c r="L17" s="39" t="str">
        <f>IF(tblRecords[[#This Row],[Person]]="","",IF(AND(N(tblRecords[[#This Row],[Level (0-4)]])&gt;=QualLevel,tblRecords[[#This Row],[Renewal status]]&lt;&gt;"Overdue"),"Yes","No"))</f>
        <v>No</v>
      </c>
      <c r="M17"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17" s="28" t="s">
        <v>154</v>
      </c>
    </row>
    <row r="18" spans="2:14">
      <c r="B18" s="28" t="s">
        <v>98</v>
      </c>
      <c r="C18" s="28" t="s">
        <v>129</v>
      </c>
      <c r="D18" s="30">
        <v>3</v>
      </c>
      <c r="E18" s="29">
        <v>45099</v>
      </c>
      <c r="F18" s="28" t="s">
        <v>96</v>
      </c>
      <c r="G18" s="35" t="str">
        <f>IF(tblRecords[[#This Row],[Person]]="","",IFERROR(INDEX(tblPeople[Shift],MATCH(tblRecords[[#This Row],[Person]],tblPeople[Person],0)),""))</f>
        <v>Early</v>
      </c>
      <c r="H18" s="36">
        <f>IF(tblRecords[[#This Row],[Person]]="","",IFERROR(INDEX(tblSkills[Renewal (months)],MATCH(tblRecords[[#This Row],[Skill]],tblSkills[Skill],0)),""))</f>
        <v>0</v>
      </c>
      <c r="I18" s="37">
        <f>IF(tblRecords[[#This Row],[Person]]="","",IF(OR(tblRecords[[#This Row],[Renewal (months)]]="",N(tblRecords[[#This Row],[Assessed on]])=0),"",IF(tblRecords[[#This Row],[Renewal (months)]]=0,"",EDATE(tblRecords[[#This Row],[Assessed on]],tblRecords[[#This Row],[Renewal (months)]]))))</f>
        <v/>
      </c>
      <c r="J18" s="38">
        <f>IF(tblRecords[[#This Row],[Person]]="","",IF(tblRecords[[#This Row],[Expires]]="","",tblRecords[[#This Row],[Expires]]-AsOf))</f>
        <v/>
      </c>
      <c r="K18" s="39" t="str">
        <f>IF(tblRecords[[#This Row],[Person]]="","",IF(tblRecords[[#This Row],[Expires]]="","OK",IF(tblRecords[[#This Row],[Expires]]&lt;AsOf,"Overdue",IF(tblRecords[[#This Row],[Expires]]-AsOf&lt;=DueSoonDays,"Due soon","OK"))))</f>
        <v>OK</v>
      </c>
      <c r="L18" s="39" t="str">
        <f>IF(tblRecords[[#This Row],[Person]]="","",IF(AND(N(tblRecords[[#This Row],[Level (0-4)]])&gt;=QualLevel,tblRecords[[#This Row],[Renewal status]]&lt;&gt;"Overdue"),"Yes","No"))</f>
        <v>Yes</v>
      </c>
      <c r="M18"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18" s="28" t="s">
        <v>154</v>
      </c>
    </row>
    <row r="19" spans="2:14">
      <c r="B19" s="28" t="s">
        <v>98</v>
      </c>
      <c r="C19" s="28" t="s">
        <v>142</v>
      </c>
      <c r="D19" s="30">
        <v>3</v>
      </c>
      <c r="E19" s="29">
        <v>46005</v>
      </c>
      <c r="F19" s="28" t="s">
        <v>96</v>
      </c>
      <c r="G19" s="35" t="str">
        <f>IF(tblRecords[[#This Row],[Person]]="","",IFERROR(INDEX(tblPeople[Shift],MATCH(tblRecords[[#This Row],[Person]],tblPeople[Person],0)),""))</f>
        <v>Early</v>
      </c>
      <c r="H19" s="36">
        <f>IF(tblRecords[[#This Row],[Person]]="","",IFERROR(INDEX(tblSkills[Renewal (months)],MATCH(tblRecords[[#This Row],[Skill]],tblSkills[Skill],0)),""))</f>
        <v>12</v>
      </c>
      <c r="I19" s="37">
        <f>IF(tblRecords[[#This Row],[Person]]="","",IF(OR(tblRecords[[#This Row],[Renewal (months)]]="",N(tblRecords[[#This Row],[Assessed on]])=0),"",IF(tblRecords[[#This Row],[Renewal (months)]]=0,"",EDATE(tblRecords[[#This Row],[Assessed on]],tblRecords[[#This Row],[Renewal (months)]]))))</f>
        <v>46370</v>
      </c>
      <c r="J19" s="38">
        <f>IF(tblRecords[[#This Row],[Person]]="","",IF(tblRecords[[#This Row],[Expires]]="","",tblRecords[[#This Row],[Expires]]-AsOf))</f>
        <v>75</v>
      </c>
      <c r="K19" s="39" t="str">
        <f>IF(tblRecords[[#This Row],[Person]]="","",IF(tblRecords[[#This Row],[Expires]]="","OK",IF(tblRecords[[#This Row],[Expires]]&lt;AsOf,"Overdue",IF(tblRecords[[#This Row],[Expires]]-AsOf&lt;=DueSoonDays,"Due soon","OK"))))</f>
        <v>OK</v>
      </c>
      <c r="L19" s="39" t="str">
        <f>IF(tblRecords[[#This Row],[Person]]="","",IF(AND(N(tblRecords[[#This Row],[Level (0-4)]])&gt;=QualLevel,tblRecords[[#This Row],[Renewal status]]&lt;&gt;"Overdue"),"Yes","No"))</f>
        <v>Yes</v>
      </c>
      <c r="M19"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19" s="28" t="s">
        <v>154</v>
      </c>
    </row>
    <row r="20" spans="2:14">
      <c r="B20" s="28" t="s">
        <v>100</v>
      </c>
      <c r="C20" s="28" t="s">
        <v>119</v>
      </c>
      <c r="D20" s="30">
        <v>1</v>
      </c>
      <c r="E20" s="29">
        <v>46269</v>
      </c>
      <c r="F20" s="28" t="s">
        <v>96</v>
      </c>
      <c r="G20" s="35" t="str">
        <f>IF(tblRecords[[#This Row],[Person]]="","",IFERROR(INDEX(tblPeople[Shift],MATCH(tblRecords[[#This Row],[Person]],tblPeople[Person],0)),""))</f>
        <v>Early</v>
      </c>
      <c r="H20" s="36">
        <f>IF(tblRecords[[#This Row],[Person]]="","",IFERROR(INDEX(tblSkills[Renewal (months)],MATCH(tblRecords[[#This Row],[Skill]],tblSkills[Skill],0)),""))</f>
        <v>0</v>
      </c>
      <c r="I20" s="37">
        <f>IF(tblRecords[[#This Row],[Person]]="","",IF(OR(tblRecords[[#This Row],[Renewal (months)]]="",N(tblRecords[[#This Row],[Assessed on]])=0),"",IF(tblRecords[[#This Row],[Renewal (months)]]=0,"",EDATE(tblRecords[[#This Row],[Assessed on]],tblRecords[[#This Row],[Renewal (months)]]))))</f>
        <v/>
      </c>
      <c r="J20" s="38">
        <f>IF(tblRecords[[#This Row],[Person]]="","",IF(tblRecords[[#This Row],[Expires]]="","",tblRecords[[#This Row],[Expires]]-AsOf))</f>
        <v/>
      </c>
      <c r="K20" s="39" t="str">
        <f>IF(tblRecords[[#This Row],[Person]]="","",IF(tblRecords[[#This Row],[Expires]]="","OK",IF(tblRecords[[#This Row],[Expires]]&lt;AsOf,"Overdue",IF(tblRecords[[#This Row],[Expires]]-AsOf&lt;=DueSoonDays,"Due soon","OK"))))</f>
        <v>OK</v>
      </c>
      <c r="L20" s="39" t="str">
        <f>IF(tblRecords[[#This Row],[Person]]="","",IF(AND(N(tblRecords[[#This Row],[Level (0-4)]])&gt;=QualLevel,tblRecords[[#This Row],[Renewal status]]&lt;&gt;"Overdue"),"Yes","No"))</f>
        <v>No</v>
      </c>
      <c r="M20"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20" s="28" t="s">
        <v>154</v>
      </c>
    </row>
    <row r="21" spans="2:14">
      <c r="B21" s="28" t="s">
        <v>100</v>
      </c>
      <c r="C21" s="28" t="s">
        <v>126</v>
      </c>
      <c r="D21" s="30">
        <v>4</v>
      </c>
      <c r="E21" s="29">
        <v>45974</v>
      </c>
      <c r="F21" s="28" t="s">
        <v>155</v>
      </c>
      <c r="G21" s="35" t="str">
        <f>IF(tblRecords[[#This Row],[Person]]="","",IFERROR(INDEX(tblPeople[Shift],MATCH(tblRecords[[#This Row],[Person]],tblPeople[Person],0)),""))</f>
        <v>Early</v>
      </c>
      <c r="H21" s="36">
        <f>IF(tblRecords[[#This Row],[Person]]="","",IFERROR(INDEX(tblSkills[Renewal (months)],MATCH(tblRecords[[#This Row],[Skill]],tblSkills[Skill],0)),""))</f>
        <v>0</v>
      </c>
      <c r="I21" s="37">
        <f>IF(tblRecords[[#This Row],[Person]]="","",IF(OR(tblRecords[[#This Row],[Renewal (months)]]="",N(tblRecords[[#This Row],[Assessed on]])=0),"",IF(tblRecords[[#This Row],[Renewal (months)]]=0,"",EDATE(tblRecords[[#This Row],[Assessed on]],tblRecords[[#This Row],[Renewal (months)]]))))</f>
        <v/>
      </c>
      <c r="J21" s="38">
        <f>IF(tblRecords[[#This Row],[Person]]="","",IF(tblRecords[[#This Row],[Expires]]="","",tblRecords[[#This Row],[Expires]]-AsOf))</f>
        <v/>
      </c>
      <c r="K21" s="39" t="str">
        <f>IF(tblRecords[[#This Row],[Person]]="","",IF(tblRecords[[#This Row],[Expires]]="","OK",IF(tblRecords[[#This Row],[Expires]]&lt;AsOf,"Overdue",IF(tblRecords[[#This Row],[Expires]]-AsOf&lt;=DueSoonDays,"Due soon","OK"))))</f>
        <v>OK</v>
      </c>
      <c r="L21" s="39" t="str">
        <f>IF(tblRecords[[#This Row],[Person]]="","",IF(AND(N(tblRecords[[#This Row],[Level (0-4)]])&gt;=QualLevel,tblRecords[[#This Row],[Renewal status]]&lt;&gt;"Overdue"),"Yes","No"))</f>
        <v>Yes</v>
      </c>
      <c r="M21"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21" s="28" t="s">
        <v>154</v>
      </c>
    </row>
    <row r="22" spans="2:14">
      <c r="B22" s="28" t="s">
        <v>100</v>
      </c>
      <c r="C22" s="28" t="s">
        <v>129</v>
      </c>
      <c r="D22" s="30">
        <v>2</v>
      </c>
      <c r="E22" s="29">
        <v>46148</v>
      </c>
      <c r="F22" s="28" t="s">
        <v>96</v>
      </c>
      <c r="G22" s="35" t="str">
        <f>IF(tblRecords[[#This Row],[Person]]="","",IFERROR(INDEX(tblPeople[Shift],MATCH(tblRecords[[#This Row],[Person]],tblPeople[Person],0)),""))</f>
        <v>Early</v>
      </c>
      <c r="H22" s="36">
        <f>IF(tblRecords[[#This Row],[Person]]="","",IFERROR(INDEX(tblSkills[Renewal (months)],MATCH(tblRecords[[#This Row],[Skill]],tblSkills[Skill],0)),""))</f>
        <v>0</v>
      </c>
      <c r="I22" s="37">
        <f>IF(tblRecords[[#This Row],[Person]]="","",IF(OR(tblRecords[[#This Row],[Renewal (months)]]="",N(tblRecords[[#This Row],[Assessed on]])=0),"",IF(tblRecords[[#This Row],[Renewal (months)]]=0,"",EDATE(tblRecords[[#This Row],[Assessed on]],tblRecords[[#This Row],[Renewal (months)]]))))</f>
        <v/>
      </c>
      <c r="J22" s="38">
        <f>IF(tblRecords[[#This Row],[Person]]="","",IF(tblRecords[[#This Row],[Expires]]="","",tblRecords[[#This Row],[Expires]]-AsOf))</f>
        <v/>
      </c>
      <c r="K22" s="39" t="str">
        <f>IF(tblRecords[[#This Row],[Person]]="","",IF(tblRecords[[#This Row],[Expires]]="","OK",IF(tblRecords[[#This Row],[Expires]]&lt;AsOf,"Overdue",IF(tblRecords[[#This Row],[Expires]]-AsOf&lt;=DueSoonDays,"Due soon","OK"))))</f>
        <v>OK</v>
      </c>
      <c r="L22" s="39" t="str">
        <f>IF(tblRecords[[#This Row],[Person]]="","",IF(AND(N(tblRecords[[#This Row],[Level (0-4)]])&gt;=QualLevel,tblRecords[[#This Row],[Renewal status]]&lt;&gt;"Overdue"),"Yes","No"))</f>
        <v>No</v>
      </c>
      <c r="M22"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22" s="28" t="s">
        <v>154</v>
      </c>
    </row>
    <row r="23" spans="2:14">
      <c r="B23" s="28" t="s">
        <v>100</v>
      </c>
      <c r="C23" s="28" t="s">
        <v>132</v>
      </c>
      <c r="D23" s="30">
        <v>3</v>
      </c>
      <c r="E23" s="29">
        <v>45882</v>
      </c>
      <c r="F23" s="28" t="s">
        <v>96</v>
      </c>
      <c r="G23" s="35" t="str">
        <f>IF(tblRecords[[#This Row],[Person]]="","",IFERROR(INDEX(tblPeople[Shift],MATCH(tblRecords[[#This Row],[Person]],tblPeople[Person],0)),""))</f>
        <v>Early</v>
      </c>
      <c r="H23" s="36">
        <f>IF(tblRecords[[#This Row],[Person]]="","",IFERROR(INDEX(tblSkills[Renewal (months)],MATCH(tblRecords[[#This Row],[Skill]],tblSkills[Skill],0)),""))</f>
        <v>0</v>
      </c>
      <c r="I23" s="37">
        <f>IF(tblRecords[[#This Row],[Person]]="","",IF(OR(tblRecords[[#This Row],[Renewal (months)]]="",N(tblRecords[[#This Row],[Assessed on]])=0),"",IF(tblRecords[[#This Row],[Renewal (months)]]=0,"",EDATE(tblRecords[[#This Row],[Assessed on]],tblRecords[[#This Row],[Renewal (months)]]))))</f>
        <v/>
      </c>
      <c r="J23" s="38">
        <f>IF(tblRecords[[#This Row],[Person]]="","",IF(tblRecords[[#This Row],[Expires]]="","",tblRecords[[#This Row],[Expires]]-AsOf))</f>
        <v/>
      </c>
      <c r="K23" s="39" t="str">
        <f>IF(tblRecords[[#This Row],[Person]]="","",IF(tblRecords[[#This Row],[Expires]]="","OK",IF(tblRecords[[#This Row],[Expires]]&lt;AsOf,"Overdue",IF(tblRecords[[#This Row],[Expires]]-AsOf&lt;=DueSoonDays,"Due soon","OK"))))</f>
        <v>OK</v>
      </c>
      <c r="L23" s="39" t="str">
        <f>IF(tblRecords[[#This Row],[Person]]="","",IF(AND(N(tblRecords[[#This Row],[Level (0-4)]])&gt;=QualLevel,tblRecords[[#This Row],[Renewal status]]&lt;&gt;"Overdue"),"Yes","No"))</f>
        <v>Yes</v>
      </c>
      <c r="M23"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23" s="28" t="s">
        <v>154</v>
      </c>
    </row>
    <row r="24" spans="2:14">
      <c r="B24" s="28" t="s">
        <v>100</v>
      </c>
      <c r="C24" s="28" t="s">
        <v>134</v>
      </c>
      <c r="D24" s="30">
        <v>3</v>
      </c>
      <c r="E24" s="29">
        <v>46085</v>
      </c>
      <c r="F24" s="28" t="s">
        <v>96</v>
      </c>
      <c r="G24" s="35" t="str">
        <f>IF(tblRecords[[#This Row],[Person]]="","",IFERROR(INDEX(tblPeople[Shift],MATCH(tblRecords[[#This Row],[Person]],tblPeople[Person],0)),""))</f>
        <v>Early</v>
      </c>
      <c r="H24" s="36">
        <f>IF(tblRecords[[#This Row],[Person]]="","",IFERROR(INDEX(tblSkills[Renewal (months)],MATCH(tblRecords[[#This Row],[Skill]],tblSkills[Skill],0)),""))</f>
        <v>24</v>
      </c>
      <c r="I24" s="37">
        <f>IF(tblRecords[[#This Row],[Person]]="","",IF(OR(tblRecords[[#This Row],[Renewal (months)]]="",N(tblRecords[[#This Row],[Assessed on]])=0),"",IF(tblRecords[[#This Row],[Renewal (months)]]=0,"",EDATE(tblRecords[[#This Row],[Assessed on]],tblRecords[[#This Row],[Renewal (months)]]))))</f>
        <v>46816</v>
      </c>
      <c r="J24" s="38">
        <f>IF(tblRecords[[#This Row],[Person]]="","",IF(tblRecords[[#This Row],[Expires]]="","",tblRecords[[#This Row],[Expires]]-AsOf))</f>
        <v>521</v>
      </c>
      <c r="K24" s="39" t="str">
        <f>IF(tblRecords[[#This Row],[Person]]="","",IF(tblRecords[[#This Row],[Expires]]="","OK",IF(tblRecords[[#This Row],[Expires]]&lt;AsOf,"Overdue",IF(tblRecords[[#This Row],[Expires]]-AsOf&lt;=DueSoonDays,"Due soon","OK"))))</f>
        <v>OK</v>
      </c>
      <c r="L24" s="39" t="str">
        <f>IF(tblRecords[[#This Row],[Person]]="","",IF(AND(N(tblRecords[[#This Row],[Level (0-4)]])&gt;=QualLevel,tblRecords[[#This Row],[Renewal status]]&lt;&gt;"Overdue"),"Yes","No"))</f>
        <v>Yes</v>
      </c>
      <c r="M24"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24" s="28" t="s">
        <v>154</v>
      </c>
    </row>
    <row r="25" spans="2:14">
      <c r="B25" s="28" t="s">
        <v>100</v>
      </c>
      <c r="C25" s="28" t="s">
        <v>139</v>
      </c>
      <c r="D25" s="30">
        <v>3</v>
      </c>
      <c r="E25" s="29">
        <v>45547</v>
      </c>
      <c r="F25" s="28" t="s">
        <v>156</v>
      </c>
      <c r="G25" s="35" t="str">
        <f>IF(tblRecords[[#This Row],[Person]]="","",IFERROR(INDEX(tblPeople[Shift],MATCH(tblRecords[[#This Row],[Person]],tblPeople[Person],0)),""))</f>
        <v>Early</v>
      </c>
      <c r="H25" s="36">
        <f>IF(tblRecords[[#This Row],[Person]]="","",IFERROR(INDEX(tblSkills[Renewal (months)],MATCH(tblRecords[[#This Row],[Skill]],tblSkills[Skill],0)),""))</f>
        <v>36</v>
      </c>
      <c r="I25" s="37">
        <f>IF(tblRecords[[#This Row],[Person]]="","",IF(OR(tblRecords[[#This Row],[Renewal (months)]]="",N(tblRecords[[#This Row],[Assessed on]])=0),"",IF(tblRecords[[#This Row],[Renewal (months)]]=0,"",EDATE(tblRecords[[#This Row],[Assessed on]],tblRecords[[#This Row],[Renewal (months)]]))))</f>
        <v>46642</v>
      </c>
      <c r="J25" s="38">
        <f>IF(tblRecords[[#This Row],[Person]]="","",IF(tblRecords[[#This Row],[Expires]]="","",tblRecords[[#This Row],[Expires]]-AsOf))</f>
        <v>347</v>
      </c>
      <c r="K25" s="39" t="str">
        <f>IF(tblRecords[[#This Row],[Person]]="","",IF(tblRecords[[#This Row],[Expires]]="","OK",IF(tblRecords[[#This Row],[Expires]]&lt;AsOf,"Overdue",IF(tblRecords[[#This Row],[Expires]]-AsOf&lt;=DueSoonDays,"Due soon","OK"))))</f>
        <v>OK</v>
      </c>
      <c r="L25" s="39" t="str">
        <f>IF(tblRecords[[#This Row],[Person]]="","",IF(AND(N(tblRecords[[#This Row],[Level (0-4)]])&gt;=QualLevel,tblRecords[[#This Row],[Renewal status]]&lt;&gt;"Overdue"),"Yes","No"))</f>
        <v>Yes</v>
      </c>
      <c r="M25"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25" s="28" t="s">
        <v>154</v>
      </c>
    </row>
    <row r="26" spans="2:14">
      <c r="B26" s="28" t="s">
        <v>100</v>
      </c>
      <c r="C26" s="28" t="s">
        <v>142</v>
      </c>
      <c r="D26" s="30">
        <v>3</v>
      </c>
      <c r="E26" s="29">
        <v>46047</v>
      </c>
      <c r="F26" s="28" t="s">
        <v>96</v>
      </c>
      <c r="G26" s="35" t="str">
        <f>IF(tblRecords[[#This Row],[Person]]="","",IFERROR(INDEX(tblPeople[Shift],MATCH(tblRecords[[#This Row],[Person]],tblPeople[Person],0)),""))</f>
        <v>Early</v>
      </c>
      <c r="H26" s="36">
        <f>IF(tblRecords[[#This Row],[Person]]="","",IFERROR(INDEX(tblSkills[Renewal (months)],MATCH(tblRecords[[#This Row],[Skill]],tblSkills[Skill],0)),""))</f>
        <v>12</v>
      </c>
      <c r="I26" s="37">
        <f>IF(tblRecords[[#This Row],[Person]]="","",IF(OR(tblRecords[[#This Row],[Renewal (months)]]="",N(tblRecords[[#This Row],[Assessed on]])=0),"",IF(tblRecords[[#This Row],[Renewal (months)]]=0,"",EDATE(tblRecords[[#This Row],[Assessed on]],tblRecords[[#This Row],[Renewal (months)]]))))</f>
        <v>46412</v>
      </c>
      <c r="J26" s="38">
        <f>IF(tblRecords[[#This Row],[Person]]="","",IF(tblRecords[[#This Row],[Expires]]="","",tblRecords[[#This Row],[Expires]]-AsOf))</f>
        <v>117</v>
      </c>
      <c r="K26" s="39" t="str">
        <f>IF(tblRecords[[#This Row],[Person]]="","",IF(tblRecords[[#This Row],[Expires]]="","OK",IF(tblRecords[[#This Row],[Expires]]&lt;AsOf,"Overdue",IF(tblRecords[[#This Row],[Expires]]-AsOf&lt;=DueSoonDays,"Due soon","OK"))))</f>
        <v>OK</v>
      </c>
      <c r="L26" s="39" t="str">
        <f>IF(tblRecords[[#This Row],[Person]]="","",IF(AND(N(tblRecords[[#This Row],[Level (0-4)]])&gt;=QualLevel,tblRecords[[#This Row],[Renewal status]]&lt;&gt;"Overdue"),"Yes","No"))</f>
        <v>Yes</v>
      </c>
      <c r="M26"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26" s="28" t="s">
        <v>154</v>
      </c>
    </row>
    <row r="27" spans="2:14">
      <c r="B27" s="28" t="s">
        <v>102</v>
      </c>
      <c r="C27" s="28" t="s">
        <v>129</v>
      </c>
      <c r="D27" s="30">
        <v>3</v>
      </c>
      <c r="E27" s="29">
        <v>45898</v>
      </c>
      <c r="F27" s="28" t="s">
        <v>96</v>
      </c>
      <c r="G27" s="35" t="str">
        <f>IF(tblRecords[[#This Row],[Person]]="","",IFERROR(INDEX(tblPeople[Shift],MATCH(tblRecords[[#This Row],[Person]],tblPeople[Person],0)),""))</f>
        <v>Early</v>
      </c>
      <c r="H27" s="36">
        <f>IF(tblRecords[[#This Row],[Person]]="","",IFERROR(INDEX(tblSkills[Renewal (months)],MATCH(tblRecords[[#This Row],[Skill]],tblSkills[Skill],0)),""))</f>
        <v>0</v>
      </c>
      <c r="I27" s="37">
        <f>IF(tblRecords[[#This Row],[Person]]="","",IF(OR(tblRecords[[#This Row],[Renewal (months)]]="",N(tblRecords[[#This Row],[Assessed on]])=0),"",IF(tblRecords[[#This Row],[Renewal (months)]]=0,"",EDATE(tblRecords[[#This Row],[Assessed on]],tblRecords[[#This Row],[Renewal (months)]]))))</f>
        <v/>
      </c>
      <c r="J27" s="38">
        <f>IF(tblRecords[[#This Row],[Person]]="","",IF(tblRecords[[#This Row],[Expires]]="","",tblRecords[[#This Row],[Expires]]-AsOf))</f>
        <v/>
      </c>
      <c r="K27" s="39" t="str">
        <f>IF(tblRecords[[#This Row],[Person]]="","",IF(tblRecords[[#This Row],[Expires]]="","OK",IF(tblRecords[[#This Row],[Expires]]&lt;AsOf,"Overdue",IF(tblRecords[[#This Row],[Expires]]-AsOf&lt;=DueSoonDays,"Due soon","OK"))))</f>
        <v>OK</v>
      </c>
      <c r="L27" s="39" t="str">
        <f>IF(tblRecords[[#This Row],[Person]]="","",IF(AND(N(tblRecords[[#This Row],[Level (0-4)]])&gt;=QualLevel,tblRecords[[#This Row],[Renewal status]]&lt;&gt;"Overdue"),"Yes","No"))</f>
        <v>Yes</v>
      </c>
      <c r="M27"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27" s="28" t="s">
        <v>154</v>
      </c>
    </row>
    <row r="28" spans="2:14">
      <c r="B28" s="28" t="s">
        <v>102</v>
      </c>
      <c r="C28" s="28" t="s">
        <v>132</v>
      </c>
      <c r="D28" s="30">
        <v>4</v>
      </c>
      <c r="E28" s="29">
        <v>45286</v>
      </c>
      <c r="F28" s="28" t="s">
        <v>96</v>
      </c>
      <c r="G28" s="35" t="str">
        <f>IF(tblRecords[[#This Row],[Person]]="","",IFERROR(INDEX(tblPeople[Shift],MATCH(tblRecords[[#This Row],[Person]],tblPeople[Person],0)),""))</f>
        <v>Early</v>
      </c>
      <c r="H28" s="36">
        <f>IF(tblRecords[[#This Row],[Person]]="","",IFERROR(INDEX(tblSkills[Renewal (months)],MATCH(tblRecords[[#This Row],[Skill]],tblSkills[Skill],0)),""))</f>
        <v>0</v>
      </c>
      <c r="I28" s="37">
        <f>IF(tblRecords[[#This Row],[Person]]="","",IF(OR(tblRecords[[#This Row],[Renewal (months)]]="",N(tblRecords[[#This Row],[Assessed on]])=0),"",IF(tblRecords[[#This Row],[Renewal (months)]]=0,"",EDATE(tblRecords[[#This Row],[Assessed on]],tblRecords[[#This Row],[Renewal (months)]]))))</f>
        <v/>
      </c>
      <c r="J28" s="38">
        <f>IF(tblRecords[[#This Row],[Person]]="","",IF(tblRecords[[#This Row],[Expires]]="","",tblRecords[[#This Row],[Expires]]-AsOf))</f>
        <v/>
      </c>
      <c r="K28" s="39" t="str">
        <f>IF(tblRecords[[#This Row],[Person]]="","",IF(tblRecords[[#This Row],[Expires]]="","OK",IF(tblRecords[[#This Row],[Expires]]&lt;AsOf,"Overdue",IF(tblRecords[[#This Row],[Expires]]-AsOf&lt;=DueSoonDays,"Due soon","OK"))))</f>
        <v>OK</v>
      </c>
      <c r="L28" s="39" t="str">
        <f>IF(tblRecords[[#This Row],[Person]]="","",IF(AND(N(tblRecords[[#This Row],[Level (0-4)]])&gt;=QualLevel,tblRecords[[#This Row],[Renewal status]]&lt;&gt;"Overdue"),"Yes","No"))</f>
        <v>Yes</v>
      </c>
      <c r="M28"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28" s="28" t="s">
        <v>154</v>
      </c>
    </row>
    <row r="29" spans="2:14">
      <c r="B29" s="28" t="s">
        <v>102</v>
      </c>
      <c r="C29" s="28" t="s">
        <v>134</v>
      </c>
      <c r="D29" s="30">
        <v>4</v>
      </c>
      <c r="E29" s="29">
        <v>45524</v>
      </c>
      <c r="F29" s="28" t="s">
        <v>96</v>
      </c>
      <c r="G29" s="35" t="str">
        <f>IF(tblRecords[[#This Row],[Person]]="","",IFERROR(INDEX(tblPeople[Shift],MATCH(tblRecords[[#This Row],[Person]],tblPeople[Person],0)),""))</f>
        <v>Early</v>
      </c>
      <c r="H29" s="36">
        <f>IF(tblRecords[[#This Row],[Person]]="","",IFERROR(INDEX(tblSkills[Renewal (months)],MATCH(tblRecords[[#This Row],[Skill]],tblSkills[Skill],0)),""))</f>
        <v>24</v>
      </c>
      <c r="I29" s="37">
        <f>IF(tblRecords[[#This Row],[Person]]="","",IF(OR(tblRecords[[#This Row],[Renewal (months)]]="",N(tblRecords[[#This Row],[Assessed on]])=0),"",IF(tblRecords[[#This Row],[Renewal (months)]]=0,"",EDATE(tblRecords[[#This Row],[Assessed on]],tblRecords[[#This Row],[Renewal (months)]]))))</f>
        <v>46254</v>
      </c>
      <c r="J29" s="38">
        <f>IF(tblRecords[[#This Row],[Person]]="","",IF(tblRecords[[#This Row],[Expires]]="","",tblRecords[[#This Row],[Expires]]-AsOf))</f>
        <v>-41</v>
      </c>
      <c r="K29" s="39" t="str">
        <f>IF(tblRecords[[#This Row],[Person]]="","",IF(tblRecords[[#This Row],[Expires]]="","OK",IF(tblRecords[[#This Row],[Expires]]&lt;AsOf,"Overdue",IF(tblRecords[[#This Row],[Expires]]-AsOf&lt;=DueSoonDays,"Due soon","OK"))))</f>
        <v>Overdue</v>
      </c>
      <c r="L29" s="39" t="str">
        <f>IF(tblRecords[[#This Row],[Person]]="","",IF(AND(N(tblRecords[[#This Row],[Level (0-4)]])&gt;=QualLevel,tblRecords[[#This Row],[Renewal status]]&lt;&gt;"Overdue"),"Yes","No"))</f>
        <v>No</v>
      </c>
      <c r="M29"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29" s="28" t="s">
        <v>157</v>
      </c>
    </row>
    <row r="30" spans="2:14">
      <c r="B30" s="28" t="s">
        <v>102</v>
      </c>
      <c r="C30" s="28" t="s">
        <v>136</v>
      </c>
      <c r="D30" s="30">
        <v>3</v>
      </c>
      <c r="E30" s="29">
        <v>45485</v>
      </c>
      <c r="F30" s="28" t="s">
        <v>156</v>
      </c>
      <c r="G30" s="35" t="str">
        <f>IF(tblRecords[[#This Row],[Person]]="","",IFERROR(INDEX(tblPeople[Shift],MATCH(tblRecords[[#This Row],[Person]],tblPeople[Person],0)),""))</f>
        <v>Early</v>
      </c>
      <c r="H30" s="36">
        <f>IF(tblRecords[[#This Row],[Person]]="","",IFERROR(INDEX(tblSkills[Renewal (months)],MATCH(tblRecords[[#This Row],[Skill]],tblSkills[Skill],0)),""))</f>
        <v>36</v>
      </c>
      <c r="I30" s="37">
        <f>IF(tblRecords[[#This Row],[Person]]="","",IF(OR(tblRecords[[#This Row],[Renewal (months)]]="",N(tblRecords[[#This Row],[Assessed on]])=0),"",IF(tblRecords[[#This Row],[Renewal (months)]]=0,"",EDATE(tblRecords[[#This Row],[Assessed on]],tblRecords[[#This Row],[Renewal (months)]]))))</f>
        <v>46580</v>
      </c>
      <c r="J30" s="38">
        <f>IF(tblRecords[[#This Row],[Person]]="","",IF(tblRecords[[#This Row],[Expires]]="","",tblRecords[[#This Row],[Expires]]-AsOf))</f>
        <v>285</v>
      </c>
      <c r="K30" s="39" t="str">
        <f>IF(tblRecords[[#This Row],[Person]]="","",IF(tblRecords[[#This Row],[Expires]]="","OK",IF(tblRecords[[#This Row],[Expires]]&lt;AsOf,"Overdue",IF(tblRecords[[#This Row],[Expires]]-AsOf&lt;=DueSoonDays,"Due soon","OK"))))</f>
        <v>OK</v>
      </c>
      <c r="L30" s="39" t="str">
        <f>IF(tblRecords[[#This Row],[Person]]="","",IF(AND(N(tblRecords[[#This Row],[Level (0-4)]])&gt;=QualLevel,tblRecords[[#This Row],[Renewal status]]&lt;&gt;"Overdue"),"Yes","No"))</f>
        <v>Yes</v>
      </c>
      <c r="M30"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30" s="28" t="s">
        <v>154</v>
      </c>
    </row>
    <row r="31" spans="2:14">
      <c r="B31" s="28" t="s">
        <v>102</v>
      </c>
      <c r="C31" s="28" t="s">
        <v>142</v>
      </c>
      <c r="D31" s="30">
        <v>2</v>
      </c>
      <c r="E31" s="29">
        <v>46061</v>
      </c>
      <c r="F31" s="28" t="s">
        <v>96</v>
      </c>
      <c r="G31" s="35" t="str">
        <f>IF(tblRecords[[#This Row],[Person]]="","",IFERROR(INDEX(tblPeople[Shift],MATCH(tblRecords[[#This Row],[Person]],tblPeople[Person],0)),""))</f>
        <v>Early</v>
      </c>
      <c r="H31" s="36">
        <f>IF(tblRecords[[#This Row],[Person]]="","",IFERROR(INDEX(tblSkills[Renewal (months)],MATCH(tblRecords[[#This Row],[Skill]],tblSkills[Skill],0)),""))</f>
        <v>12</v>
      </c>
      <c r="I31" s="37">
        <f>IF(tblRecords[[#This Row],[Person]]="","",IF(OR(tblRecords[[#This Row],[Renewal (months)]]="",N(tblRecords[[#This Row],[Assessed on]])=0),"",IF(tblRecords[[#This Row],[Renewal (months)]]=0,"",EDATE(tblRecords[[#This Row],[Assessed on]],tblRecords[[#This Row],[Renewal (months)]]))))</f>
        <v>46426</v>
      </c>
      <c r="J31" s="38">
        <f>IF(tblRecords[[#This Row],[Person]]="","",IF(tblRecords[[#This Row],[Expires]]="","",tblRecords[[#This Row],[Expires]]-AsOf))</f>
        <v>131</v>
      </c>
      <c r="K31" s="39" t="str">
        <f>IF(tblRecords[[#This Row],[Person]]="","",IF(tblRecords[[#This Row],[Expires]]="","OK",IF(tblRecords[[#This Row],[Expires]]&lt;AsOf,"Overdue",IF(tblRecords[[#This Row],[Expires]]-AsOf&lt;=DueSoonDays,"Due soon","OK"))))</f>
        <v>OK</v>
      </c>
      <c r="L31" s="39" t="str">
        <f>IF(tblRecords[[#This Row],[Person]]="","",IF(AND(N(tblRecords[[#This Row],[Level (0-4)]])&gt;=QualLevel,tblRecords[[#This Row],[Renewal status]]&lt;&gt;"Overdue"),"Yes","No"))</f>
        <v>No</v>
      </c>
      <c r="M31"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31" s="28" t="s">
        <v>154</v>
      </c>
    </row>
    <row r="32" spans="2:14">
      <c r="B32" s="28" t="s">
        <v>104</v>
      </c>
      <c r="C32" s="28" t="s">
        <v>129</v>
      </c>
      <c r="D32" s="30">
        <v>2</v>
      </c>
      <c r="E32" s="29">
        <v>46259</v>
      </c>
      <c r="F32" s="28" t="s">
        <v>96</v>
      </c>
      <c r="G32" s="35" t="str">
        <f>IF(tblRecords[[#This Row],[Person]]="","",IFERROR(INDEX(tblPeople[Shift],MATCH(tblRecords[[#This Row],[Person]],tblPeople[Person],0)),""))</f>
        <v>Early</v>
      </c>
      <c r="H32" s="36">
        <f>IF(tblRecords[[#This Row],[Person]]="","",IFERROR(INDEX(tblSkills[Renewal (months)],MATCH(tblRecords[[#This Row],[Skill]],tblSkills[Skill],0)),""))</f>
        <v>0</v>
      </c>
      <c r="I32" s="37">
        <f>IF(tblRecords[[#This Row],[Person]]="","",IF(OR(tblRecords[[#This Row],[Renewal (months)]]="",N(tblRecords[[#This Row],[Assessed on]])=0),"",IF(tblRecords[[#This Row],[Renewal (months)]]=0,"",EDATE(tblRecords[[#This Row],[Assessed on]],tblRecords[[#This Row],[Renewal (months)]]))))</f>
        <v/>
      </c>
      <c r="J32" s="38">
        <f>IF(tblRecords[[#This Row],[Person]]="","",IF(tblRecords[[#This Row],[Expires]]="","",tblRecords[[#This Row],[Expires]]-AsOf))</f>
        <v/>
      </c>
      <c r="K32" s="39" t="str">
        <f>IF(tblRecords[[#This Row],[Person]]="","",IF(tblRecords[[#This Row],[Expires]]="","OK",IF(tblRecords[[#This Row],[Expires]]&lt;AsOf,"Overdue",IF(tblRecords[[#This Row],[Expires]]-AsOf&lt;=DueSoonDays,"Due soon","OK"))))</f>
        <v>OK</v>
      </c>
      <c r="L32" s="39" t="str">
        <f>IF(tblRecords[[#This Row],[Person]]="","",IF(AND(N(tblRecords[[#This Row],[Level (0-4)]])&gt;=QualLevel,tblRecords[[#This Row],[Renewal status]]&lt;&gt;"Overdue"),"Yes","No"))</f>
        <v>No</v>
      </c>
      <c r="M32"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32" s="28" t="s">
        <v>154</v>
      </c>
    </row>
    <row r="33" spans="2:14">
      <c r="B33" s="28" t="s">
        <v>104</v>
      </c>
      <c r="C33" s="28" t="s">
        <v>132</v>
      </c>
      <c r="D33" s="30">
        <v>2</v>
      </c>
      <c r="E33" s="29">
        <v>46172</v>
      </c>
      <c r="F33" s="28" t="s">
        <v>96</v>
      </c>
      <c r="G33" s="35" t="str">
        <f>IF(tblRecords[[#This Row],[Person]]="","",IFERROR(INDEX(tblPeople[Shift],MATCH(tblRecords[[#This Row],[Person]],tblPeople[Person],0)),""))</f>
        <v>Early</v>
      </c>
      <c r="H33" s="36">
        <f>IF(tblRecords[[#This Row],[Person]]="","",IFERROR(INDEX(tblSkills[Renewal (months)],MATCH(tblRecords[[#This Row],[Skill]],tblSkills[Skill],0)),""))</f>
        <v>0</v>
      </c>
      <c r="I33" s="37">
        <f>IF(tblRecords[[#This Row],[Person]]="","",IF(OR(tblRecords[[#This Row],[Renewal (months)]]="",N(tblRecords[[#This Row],[Assessed on]])=0),"",IF(tblRecords[[#This Row],[Renewal (months)]]=0,"",EDATE(tblRecords[[#This Row],[Assessed on]],tblRecords[[#This Row],[Renewal (months)]]))))</f>
        <v/>
      </c>
      <c r="J33" s="38">
        <f>IF(tblRecords[[#This Row],[Person]]="","",IF(tblRecords[[#This Row],[Expires]]="","",tblRecords[[#This Row],[Expires]]-AsOf))</f>
        <v/>
      </c>
      <c r="K33" s="39" t="str">
        <f>IF(tblRecords[[#This Row],[Person]]="","",IF(tblRecords[[#This Row],[Expires]]="","OK",IF(tblRecords[[#This Row],[Expires]]&lt;AsOf,"Overdue",IF(tblRecords[[#This Row],[Expires]]-AsOf&lt;=DueSoonDays,"Due soon","OK"))))</f>
        <v>OK</v>
      </c>
      <c r="L33" s="39" t="str">
        <f>IF(tblRecords[[#This Row],[Person]]="","",IF(AND(N(tblRecords[[#This Row],[Level (0-4)]])&gt;=QualLevel,tblRecords[[#This Row],[Renewal status]]&lt;&gt;"Overdue"),"Yes","No"))</f>
        <v>No</v>
      </c>
      <c r="M33"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33" s="28" t="s">
        <v>154</v>
      </c>
    </row>
    <row r="34" spans="2:14">
      <c r="B34" s="28" t="s">
        <v>104</v>
      </c>
      <c r="C34" s="28" t="s">
        <v>136</v>
      </c>
      <c r="D34" s="30">
        <v>4</v>
      </c>
      <c r="E34" s="29">
        <v>46128</v>
      </c>
      <c r="F34" s="28" t="s">
        <v>156</v>
      </c>
      <c r="G34" s="35" t="str">
        <f>IF(tblRecords[[#This Row],[Person]]="","",IFERROR(INDEX(tblPeople[Shift],MATCH(tblRecords[[#This Row],[Person]],tblPeople[Person],0)),""))</f>
        <v>Early</v>
      </c>
      <c r="H34" s="36">
        <f>IF(tblRecords[[#This Row],[Person]]="","",IFERROR(INDEX(tblSkills[Renewal (months)],MATCH(tblRecords[[#This Row],[Skill]],tblSkills[Skill],0)),""))</f>
        <v>36</v>
      </c>
      <c r="I34" s="37">
        <f>IF(tblRecords[[#This Row],[Person]]="","",IF(OR(tblRecords[[#This Row],[Renewal (months)]]="",N(tblRecords[[#This Row],[Assessed on]])=0),"",IF(tblRecords[[#This Row],[Renewal (months)]]=0,"",EDATE(tblRecords[[#This Row],[Assessed on]],tblRecords[[#This Row],[Renewal (months)]]))))</f>
        <v>47224</v>
      </c>
      <c r="J34" s="38">
        <f>IF(tblRecords[[#This Row],[Person]]="","",IF(tblRecords[[#This Row],[Expires]]="","",tblRecords[[#This Row],[Expires]]-AsOf))</f>
        <v>929</v>
      </c>
      <c r="K34" s="39" t="str">
        <f>IF(tblRecords[[#This Row],[Person]]="","",IF(tblRecords[[#This Row],[Expires]]="","OK",IF(tblRecords[[#This Row],[Expires]]&lt;AsOf,"Overdue",IF(tblRecords[[#This Row],[Expires]]-AsOf&lt;=DueSoonDays,"Due soon","OK"))))</f>
        <v>OK</v>
      </c>
      <c r="L34" s="39" t="str">
        <f>IF(tblRecords[[#This Row],[Person]]="","",IF(AND(N(tblRecords[[#This Row],[Level (0-4)]])&gt;=QualLevel,tblRecords[[#This Row],[Renewal status]]&lt;&gt;"Overdue"),"Yes","No"))</f>
        <v>Yes</v>
      </c>
      <c r="M34"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34" s="28" t="s">
        <v>154</v>
      </c>
    </row>
    <row r="35" spans="2:14">
      <c r="B35" s="28" t="s">
        <v>104</v>
      </c>
      <c r="C35" s="28" t="s">
        <v>139</v>
      </c>
      <c r="D35" s="30">
        <v>1</v>
      </c>
      <c r="E35" s="29">
        <v>45927</v>
      </c>
      <c r="F35" s="28" t="s">
        <v>156</v>
      </c>
      <c r="G35" s="35" t="str">
        <f>IF(tblRecords[[#This Row],[Person]]="","",IFERROR(INDEX(tblPeople[Shift],MATCH(tblRecords[[#This Row],[Person]],tblPeople[Person],0)),""))</f>
        <v>Early</v>
      </c>
      <c r="H35" s="36">
        <f>IF(tblRecords[[#This Row],[Person]]="","",IFERROR(INDEX(tblSkills[Renewal (months)],MATCH(tblRecords[[#This Row],[Skill]],tblSkills[Skill],0)),""))</f>
        <v>36</v>
      </c>
      <c r="I35" s="37">
        <f>IF(tblRecords[[#This Row],[Person]]="","",IF(OR(tblRecords[[#This Row],[Renewal (months)]]="",N(tblRecords[[#This Row],[Assessed on]])=0),"",IF(tblRecords[[#This Row],[Renewal (months)]]=0,"",EDATE(tblRecords[[#This Row],[Assessed on]],tblRecords[[#This Row],[Renewal (months)]]))))</f>
        <v>47023</v>
      </c>
      <c r="J35" s="38">
        <f>IF(tblRecords[[#This Row],[Person]]="","",IF(tblRecords[[#This Row],[Expires]]="","",tblRecords[[#This Row],[Expires]]-AsOf))</f>
        <v>728</v>
      </c>
      <c r="K35" s="39" t="str">
        <f>IF(tblRecords[[#This Row],[Person]]="","",IF(tblRecords[[#This Row],[Expires]]="","OK",IF(tblRecords[[#This Row],[Expires]]&lt;AsOf,"Overdue",IF(tblRecords[[#This Row],[Expires]]-AsOf&lt;=DueSoonDays,"Due soon","OK"))))</f>
        <v>OK</v>
      </c>
      <c r="L35" s="39" t="str">
        <f>IF(tblRecords[[#This Row],[Person]]="","",IF(AND(N(tblRecords[[#This Row],[Level (0-4)]])&gt;=QualLevel,tblRecords[[#This Row],[Renewal status]]&lt;&gt;"Overdue"),"Yes","No"))</f>
        <v>No</v>
      </c>
      <c r="M35"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35" s="28" t="s">
        <v>154</v>
      </c>
    </row>
    <row r="36" spans="2:14">
      <c r="B36" s="28" t="s">
        <v>104</v>
      </c>
      <c r="C36" s="28" t="s">
        <v>142</v>
      </c>
      <c r="D36" s="30">
        <v>3</v>
      </c>
      <c r="E36" s="29">
        <v>46222</v>
      </c>
      <c r="F36" s="28" t="s">
        <v>96</v>
      </c>
      <c r="G36" s="35" t="str">
        <f>IF(tblRecords[[#This Row],[Person]]="","",IFERROR(INDEX(tblPeople[Shift],MATCH(tblRecords[[#This Row],[Person]],tblPeople[Person],0)),""))</f>
        <v>Early</v>
      </c>
      <c r="H36" s="36">
        <f>IF(tblRecords[[#This Row],[Person]]="","",IFERROR(INDEX(tblSkills[Renewal (months)],MATCH(tblRecords[[#This Row],[Skill]],tblSkills[Skill],0)),""))</f>
        <v>12</v>
      </c>
      <c r="I36" s="37">
        <f>IF(tblRecords[[#This Row],[Person]]="","",IF(OR(tblRecords[[#This Row],[Renewal (months)]]="",N(tblRecords[[#This Row],[Assessed on]])=0),"",IF(tblRecords[[#This Row],[Renewal (months)]]=0,"",EDATE(tblRecords[[#This Row],[Assessed on]],tblRecords[[#This Row],[Renewal (months)]]))))</f>
        <v>46587</v>
      </c>
      <c r="J36" s="38">
        <f>IF(tblRecords[[#This Row],[Person]]="","",IF(tblRecords[[#This Row],[Expires]]="","",tblRecords[[#This Row],[Expires]]-AsOf))</f>
        <v>292</v>
      </c>
      <c r="K36" s="39" t="str">
        <f>IF(tblRecords[[#This Row],[Person]]="","",IF(tblRecords[[#This Row],[Expires]]="","OK",IF(tblRecords[[#This Row],[Expires]]&lt;AsOf,"Overdue",IF(tblRecords[[#This Row],[Expires]]-AsOf&lt;=DueSoonDays,"Due soon","OK"))))</f>
        <v>OK</v>
      </c>
      <c r="L36" s="39" t="str">
        <f>IF(tblRecords[[#This Row],[Person]]="","",IF(AND(N(tblRecords[[#This Row],[Level (0-4)]])&gt;=QualLevel,tblRecords[[#This Row],[Renewal status]]&lt;&gt;"Overdue"),"Yes","No"))</f>
        <v>Yes</v>
      </c>
      <c r="M36"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36" s="28" t="s">
        <v>154</v>
      </c>
    </row>
    <row r="37" spans="2:14">
      <c r="B37" s="28" t="s">
        <v>106</v>
      </c>
      <c r="C37" s="28" t="s">
        <v>119</v>
      </c>
      <c r="D37" s="30">
        <v>4</v>
      </c>
      <c r="E37" s="29">
        <v>45020</v>
      </c>
      <c r="F37" s="28" t="s">
        <v>153</v>
      </c>
      <c r="G37" s="35" t="str">
        <f>IF(tblRecords[[#This Row],[Person]]="","",IFERROR(INDEX(tblPeople[Shift],MATCH(tblRecords[[#This Row],[Person]],tblPeople[Person],0)),""))</f>
        <v>Late</v>
      </c>
      <c r="H37" s="36">
        <f>IF(tblRecords[[#This Row],[Person]]="","",IFERROR(INDEX(tblSkills[Renewal (months)],MATCH(tblRecords[[#This Row],[Skill]],tblSkills[Skill],0)),""))</f>
        <v>0</v>
      </c>
      <c r="I37" s="37">
        <f>IF(tblRecords[[#This Row],[Person]]="","",IF(OR(tblRecords[[#This Row],[Renewal (months)]]="",N(tblRecords[[#This Row],[Assessed on]])=0),"",IF(tblRecords[[#This Row],[Renewal (months)]]=0,"",EDATE(tblRecords[[#This Row],[Assessed on]],tblRecords[[#This Row],[Renewal (months)]]))))</f>
        <v/>
      </c>
      <c r="J37" s="38">
        <f>IF(tblRecords[[#This Row],[Person]]="","",IF(tblRecords[[#This Row],[Expires]]="","",tblRecords[[#This Row],[Expires]]-AsOf))</f>
        <v/>
      </c>
      <c r="K37" s="39" t="str">
        <f>IF(tblRecords[[#This Row],[Person]]="","",IF(tblRecords[[#This Row],[Expires]]="","OK",IF(tblRecords[[#This Row],[Expires]]&lt;AsOf,"Overdue",IF(tblRecords[[#This Row],[Expires]]-AsOf&lt;=DueSoonDays,"Due soon","OK"))))</f>
        <v>OK</v>
      </c>
      <c r="L37" s="39" t="str">
        <f>IF(tblRecords[[#This Row],[Person]]="","",IF(AND(N(tblRecords[[#This Row],[Level (0-4)]])&gt;=QualLevel,tblRecords[[#This Row],[Renewal status]]&lt;&gt;"Overdue"),"Yes","No"))</f>
        <v>Yes</v>
      </c>
      <c r="M37"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37" s="28" t="s">
        <v>154</v>
      </c>
    </row>
    <row r="38" spans="2:14">
      <c r="B38" s="28" t="s">
        <v>106</v>
      </c>
      <c r="C38" s="28" t="s">
        <v>122</v>
      </c>
      <c r="D38" s="30">
        <v>3</v>
      </c>
      <c r="E38" s="29">
        <v>45485</v>
      </c>
      <c r="F38" s="28" t="s">
        <v>153</v>
      </c>
      <c r="G38" s="35" t="str">
        <f>IF(tblRecords[[#This Row],[Person]]="","",IFERROR(INDEX(tblPeople[Shift],MATCH(tblRecords[[#This Row],[Person]],tblPeople[Person],0)),""))</f>
        <v>Late</v>
      </c>
      <c r="H38" s="36">
        <f>IF(tblRecords[[#This Row],[Person]]="","",IFERROR(INDEX(tblSkills[Renewal (months)],MATCH(tblRecords[[#This Row],[Skill]],tblSkills[Skill],0)),""))</f>
        <v>0</v>
      </c>
      <c r="I38" s="37">
        <f>IF(tblRecords[[#This Row],[Person]]="","",IF(OR(tblRecords[[#This Row],[Renewal (months)]]="",N(tblRecords[[#This Row],[Assessed on]])=0),"",IF(tblRecords[[#This Row],[Renewal (months)]]=0,"",EDATE(tblRecords[[#This Row],[Assessed on]],tblRecords[[#This Row],[Renewal (months)]]))))</f>
        <v/>
      </c>
      <c r="J38" s="38">
        <f>IF(tblRecords[[#This Row],[Person]]="","",IF(tblRecords[[#This Row],[Expires]]="","",tblRecords[[#This Row],[Expires]]-AsOf))</f>
        <v/>
      </c>
      <c r="K38" s="39" t="str">
        <f>IF(tblRecords[[#This Row],[Person]]="","",IF(tblRecords[[#This Row],[Expires]]="","OK",IF(tblRecords[[#This Row],[Expires]]&lt;AsOf,"Overdue",IF(tblRecords[[#This Row],[Expires]]-AsOf&lt;=DueSoonDays,"Due soon","OK"))))</f>
        <v>OK</v>
      </c>
      <c r="L38" s="39" t="str">
        <f>IF(tblRecords[[#This Row],[Person]]="","",IF(AND(N(tblRecords[[#This Row],[Level (0-4)]])&gt;=QualLevel,tblRecords[[#This Row],[Renewal status]]&lt;&gt;"Overdue"),"Yes","No"))</f>
        <v>Yes</v>
      </c>
      <c r="M38"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38" s="28" t="s">
        <v>154</v>
      </c>
    </row>
    <row r="39" spans="2:14">
      <c r="B39" s="28" t="s">
        <v>106</v>
      </c>
      <c r="C39" s="28" t="s">
        <v>124</v>
      </c>
      <c r="D39" s="30">
        <v>3</v>
      </c>
      <c r="E39" s="29">
        <v>45145</v>
      </c>
      <c r="F39" s="28" t="s">
        <v>153</v>
      </c>
      <c r="G39" s="35" t="str">
        <f>IF(tblRecords[[#This Row],[Person]]="","",IFERROR(INDEX(tblPeople[Shift],MATCH(tblRecords[[#This Row],[Person]],tblPeople[Person],0)),""))</f>
        <v>Late</v>
      </c>
      <c r="H39" s="36">
        <f>IF(tblRecords[[#This Row],[Person]]="","",IFERROR(INDEX(tblSkills[Renewal (months)],MATCH(tblRecords[[#This Row],[Skill]],tblSkills[Skill],0)),""))</f>
        <v>0</v>
      </c>
      <c r="I39" s="37">
        <f>IF(tblRecords[[#This Row],[Person]]="","",IF(OR(tblRecords[[#This Row],[Renewal (months)]]="",N(tblRecords[[#This Row],[Assessed on]])=0),"",IF(tblRecords[[#This Row],[Renewal (months)]]=0,"",EDATE(tblRecords[[#This Row],[Assessed on]],tblRecords[[#This Row],[Renewal (months)]]))))</f>
        <v/>
      </c>
      <c r="J39" s="38">
        <f>IF(tblRecords[[#This Row],[Person]]="","",IF(tblRecords[[#This Row],[Expires]]="","",tblRecords[[#This Row],[Expires]]-AsOf))</f>
        <v/>
      </c>
      <c r="K39" s="39" t="str">
        <f>IF(tblRecords[[#This Row],[Person]]="","",IF(tblRecords[[#This Row],[Expires]]="","OK",IF(tblRecords[[#This Row],[Expires]]&lt;AsOf,"Overdue",IF(tblRecords[[#This Row],[Expires]]-AsOf&lt;=DueSoonDays,"Due soon","OK"))))</f>
        <v>OK</v>
      </c>
      <c r="L39" s="39" t="str">
        <f>IF(tblRecords[[#This Row],[Person]]="","",IF(AND(N(tblRecords[[#This Row],[Level (0-4)]])&gt;=QualLevel,tblRecords[[#This Row],[Renewal status]]&lt;&gt;"Overdue"),"Yes","No"))</f>
        <v>Yes</v>
      </c>
      <c r="M39"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39" s="28" t="s">
        <v>154</v>
      </c>
    </row>
    <row r="40" spans="2:14">
      <c r="B40" s="28" t="s">
        <v>106</v>
      </c>
      <c r="C40" s="28" t="s">
        <v>126</v>
      </c>
      <c r="D40" s="30">
        <v>2</v>
      </c>
      <c r="E40" s="29">
        <v>46144</v>
      </c>
      <c r="F40" s="28" t="s">
        <v>155</v>
      </c>
      <c r="G40" s="35" t="str">
        <f>IF(tblRecords[[#This Row],[Person]]="","",IFERROR(INDEX(tblPeople[Shift],MATCH(tblRecords[[#This Row],[Person]],tblPeople[Person],0)),""))</f>
        <v>Late</v>
      </c>
      <c r="H40" s="36">
        <f>IF(tblRecords[[#This Row],[Person]]="","",IFERROR(INDEX(tblSkills[Renewal (months)],MATCH(tblRecords[[#This Row],[Skill]],tblSkills[Skill],0)),""))</f>
        <v>0</v>
      </c>
      <c r="I40" s="37">
        <f>IF(tblRecords[[#This Row],[Person]]="","",IF(OR(tblRecords[[#This Row],[Renewal (months)]]="",N(tblRecords[[#This Row],[Assessed on]])=0),"",IF(tblRecords[[#This Row],[Renewal (months)]]=0,"",EDATE(tblRecords[[#This Row],[Assessed on]],tblRecords[[#This Row],[Renewal (months)]]))))</f>
        <v/>
      </c>
      <c r="J40" s="38">
        <f>IF(tblRecords[[#This Row],[Person]]="","",IF(tblRecords[[#This Row],[Expires]]="","",tblRecords[[#This Row],[Expires]]-AsOf))</f>
        <v/>
      </c>
      <c r="K40" s="39" t="str">
        <f>IF(tblRecords[[#This Row],[Person]]="","",IF(tblRecords[[#This Row],[Expires]]="","OK",IF(tblRecords[[#This Row],[Expires]]&lt;AsOf,"Overdue",IF(tblRecords[[#This Row],[Expires]]-AsOf&lt;=DueSoonDays,"Due soon","OK"))))</f>
        <v>OK</v>
      </c>
      <c r="L40" s="39" t="str">
        <f>IF(tblRecords[[#This Row],[Person]]="","",IF(AND(N(tblRecords[[#This Row],[Level (0-4)]])&gt;=QualLevel,tblRecords[[#This Row],[Renewal status]]&lt;&gt;"Overdue"),"Yes","No"))</f>
        <v>No</v>
      </c>
      <c r="M40"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40" s="28" t="s">
        <v>154</v>
      </c>
    </row>
    <row r="41" spans="2:14">
      <c r="B41" s="28" t="s">
        <v>106</v>
      </c>
      <c r="C41" s="28" t="s">
        <v>129</v>
      </c>
      <c r="D41" s="30">
        <v>3</v>
      </c>
      <c r="E41" s="29">
        <v>44940</v>
      </c>
      <c r="F41" s="28" t="s">
        <v>153</v>
      </c>
      <c r="G41" s="35" t="str">
        <f>IF(tblRecords[[#This Row],[Person]]="","",IFERROR(INDEX(tblPeople[Shift],MATCH(tblRecords[[#This Row],[Person]],tblPeople[Person],0)),""))</f>
        <v>Late</v>
      </c>
      <c r="H41" s="36">
        <f>IF(tblRecords[[#This Row],[Person]]="","",IFERROR(INDEX(tblSkills[Renewal (months)],MATCH(tblRecords[[#This Row],[Skill]],tblSkills[Skill],0)),""))</f>
        <v>0</v>
      </c>
      <c r="I41" s="37">
        <f>IF(tblRecords[[#This Row],[Person]]="","",IF(OR(tblRecords[[#This Row],[Renewal (months)]]="",N(tblRecords[[#This Row],[Assessed on]])=0),"",IF(tblRecords[[#This Row],[Renewal (months)]]=0,"",EDATE(tblRecords[[#This Row],[Assessed on]],tblRecords[[#This Row],[Renewal (months)]]))))</f>
        <v/>
      </c>
      <c r="J41" s="38">
        <f>IF(tblRecords[[#This Row],[Person]]="","",IF(tblRecords[[#This Row],[Expires]]="","",tblRecords[[#This Row],[Expires]]-AsOf))</f>
        <v/>
      </c>
      <c r="K41" s="39" t="str">
        <f>IF(tblRecords[[#This Row],[Person]]="","",IF(tblRecords[[#This Row],[Expires]]="","OK",IF(tblRecords[[#This Row],[Expires]]&lt;AsOf,"Overdue",IF(tblRecords[[#This Row],[Expires]]-AsOf&lt;=DueSoonDays,"Due soon","OK"))))</f>
        <v>OK</v>
      </c>
      <c r="L41" s="39" t="str">
        <f>IF(tblRecords[[#This Row],[Person]]="","",IF(AND(N(tblRecords[[#This Row],[Level (0-4)]])&gt;=QualLevel,tblRecords[[#This Row],[Renewal status]]&lt;&gt;"Overdue"),"Yes","No"))</f>
        <v>Yes</v>
      </c>
      <c r="M41"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41" s="28" t="s">
        <v>154</v>
      </c>
    </row>
    <row r="42" spans="2:14">
      <c r="B42" s="28" t="s">
        <v>106</v>
      </c>
      <c r="C42" s="28" t="s">
        <v>132</v>
      </c>
      <c r="D42" s="30">
        <v>3</v>
      </c>
      <c r="E42" s="29">
        <v>45850</v>
      </c>
      <c r="F42" s="28" t="s">
        <v>153</v>
      </c>
      <c r="G42" s="35" t="str">
        <f>IF(tblRecords[[#This Row],[Person]]="","",IFERROR(INDEX(tblPeople[Shift],MATCH(tblRecords[[#This Row],[Person]],tblPeople[Person],0)),""))</f>
        <v>Late</v>
      </c>
      <c r="H42" s="36">
        <f>IF(tblRecords[[#This Row],[Person]]="","",IFERROR(INDEX(tblSkills[Renewal (months)],MATCH(tblRecords[[#This Row],[Skill]],tblSkills[Skill],0)),""))</f>
        <v>0</v>
      </c>
      <c r="I42" s="37">
        <f>IF(tblRecords[[#This Row],[Person]]="","",IF(OR(tblRecords[[#This Row],[Renewal (months)]]="",N(tblRecords[[#This Row],[Assessed on]])=0),"",IF(tblRecords[[#This Row],[Renewal (months)]]=0,"",EDATE(tblRecords[[#This Row],[Assessed on]],tblRecords[[#This Row],[Renewal (months)]]))))</f>
        <v/>
      </c>
      <c r="J42" s="38">
        <f>IF(tblRecords[[#This Row],[Person]]="","",IF(tblRecords[[#This Row],[Expires]]="","",tblRecords[[#This Row],[Expires]]-AsOf))</f>
        <v/>
      </c>
      <c r="K42" s="39" t="str">
        <f>IF(tblRecords[[#This Row],[Person]]="","",IF(tblRecords[[#This Row],[Expires]]="","OK",IF(tblRecords[[#This Row],[Expires]]&lt;AsOf,"Overdue",IF(tblRecords[[#This Row],[Expires]]-AsOf&lt;=DueSoonDays,"Due soon","OK"))))</f>
        <v>OK</v>
      </c>
      <c r="L42" s="39" t="str">
        <f>IF(tblRecords[[#This Row],[Person]]="","",IF(AND(N(tblRecords[[#This Row],[Level (0-4)]])&gt;=QualLevel,tblRecords[[#This Row],[Renewal status]]&lt;&gt;"Overdue"),"Yes","No"))</f>
        <v>Yes</v>
      </c>
      <c r="M42"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42" s="28" t="s">
        <v>154</v>
      </c>
    </row>
    <row r="43" spans="2:14">
      <c r="B43" s="28" t="s">
        <v>106</v>
      </c>
      <c r="C43" s="28" t="s">
        <v>134</v>
      </c>
      <c r="D43" s="30">
        <v>2</v>
      </c>
      <c r="E43" s="29">
        <v>46072</v>
      </c>
      <c r="F43" s="28" t="s">
        <v>155</v>
      </c>
      <c r="G43" s="35" t="str">
        <f>IF(tblRecords[[#This Row],[Person]]="","",IFERROR(INDEX(tblPeople[Shift],MATCH(tblRecords[[#This Row],[Person]],tblPeople[Person],0)),""))</f>
        <v>Late</v>
      </c>
      <c r="H43" s="36">
        <f>IF(tblRecords[[#This Row],[Person]]="","",IFERROR(INDEX(tblSkills[Renewal (months)],MATCH(tblRecords[[#This Row],[Skill]],tblSkills[Skill],0)),""))</f>
        <v>24</v>
      </c>
      <c r="I43" s="37">
        <f>IF(tblRecords[[#This Row],[Person]]="","",IF(OR(tblRecords[[#This Row],[Renewal (months)]]="",N(tblRecords[[#This Row],[Assessed on]])=0),"",IF(tblRecords[[#This Row],[Renewal (months)]]=0,"",EDATE(tblRecords[[#This Row],[Assessed on]],tblRecords[[#This Row],[Renewal (months)]]))))</f>
        <v>46802</v>
      </c>
      <c r="J43" s="38">
        <f>IF(tblRecords[[#This Row],[Person]]="","",IF(tblRecords[[#This Row],[Expires]]="","",tblRecords[[#This Row],[Expires]]-AsOf))</f>
        <v>507</v>
      </c>
      <c r="K43" s="39" t="str">
        <f>IF(tblRecords[[#This Row],[Person]]="","",IF(tblRecords[[#This Row],[Expires]]="","OK",IF(tblRecords[[#This Row],[Expires]]&lt;AsOf,"Overdue",IF(tblRecords[[#This Row],[Expires]]-AsOf&lt;=DueSoonDays,"Due soon","OK"))))</f>
        <v>OK</v>
      </c>
      <c r="L43" s="39" t="str">
        <f>IF(tblRecords[[#This Row],[Person]]="","",IF(AND(N(tblRecords[[#This Row],[Level (0-4)]])&gt;=QualLevel,tblRecords[[#This Row],[Renewal status]]&lt;&gt;"Overdue"),"Yes","No"))</f>
        <v>No</v>
      </c>
      <c r="M43"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43" s="28" t="s">
        <v>154</v>
      </c>
    </row>
    <row r="44" spans="2:14">
      <c r="B44" s="28" t="s">
        <v>106</v>
      </c>
      <c r="C44" s="28" t="s">
        <v>136</v>
      </c>
      <c r="D44" s="30">
        <v>3</v>
      </c>
      <c r="E44" s="29">
        <v>45414</v>
      </c>
      <c r="F44" s="28" t="s">
        <v>156</v>
      </c>
      <c r="G44" s="35" t="str">
        <f>IF(tblRecords[[#This Row],[Person]]="","",IFERROR(INDEX(tblPeople[Shift],MATCH(tblRecords[[#This Row],[Person]],tblPeople[Person],0)),""))</f>
        <v>Late</v>
      </c>
      <c r="H44" s="36">
        <f>IF(tblRecords[[#This Row],[Person]]="","",IFERROR(INDEX(tblSkills[Renewal (months)],MATCH(tblRecords[[#This Row],[Skill]],tblSkills[Skill],0)),""))</f>
        <v>36</v>
      </c>
      <c r="I44" s="37">
        <f>IF(tblRecords[[#This Row],[Person]]="","",IF(OR(tblRecords[[#This Row],[Renewal (months)]]="",N(tblRecords[[#This Row],[Assessed on]])=0),"",IF(tblRecords[[#This Row],[Renewal (months)]]=0,"",EDATE(tblRecords[[#This Row],[Assessed on]],tblRecords[[#This Row],[Renewal (months)]]))))</f>
        <v>46509</v>
      </c>
      <c r="J44" s="38">
        <f>IF(tblRecords[[#This Row],[Person]]="","",IF(tblRecords[[#This Row],[Expires]]="","",tblRecords[[#This Row],[Expires]]-AsOf))</f>
        <v>214</v>
      </c>
      <c r="K44" s="39" t="str">
        <f>IF(tblRecords[[#This Row],[Person]]="","",IF(tblRecords[[#This Row],[Expires]]="","OK",IF(tblRecords[[#This Row],[Expires]]&lt;AsOf,"Overdue",IF(tblRecords[[#This Row],[Expires]]-AsOf&lt;=DueSoonDays,"Due soon","OK"))))</f>
        <v>OK</v>
      </c>
      <c r="L44" s="39" t="str">
        <f>IF(tblRecords[[#This Row],[Person]]="","",IF(AND(N(tblRecords[[#This Row],[Level (0-4)]])&gt;=QualLevel,tblRecords[[#This Row],[Renewal status]]&lt;&gt;"Overdue"),"Yes","No"))</f>
        <v>Yes</v>
      </c>
      <c r="M44"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44" s="28" t="s">
        <v>154</v>
      </c>
    </row>
    <row r="45" spans="2:14">
      <c r="B45" s="28" t="s">
        <v>106</v>
      </c>
      <c r="C45" s="28" t="s">
        <v>139</v>
      </c>
      <c r="D45" s="30">
        <v>3</v>
      </c>
      <c r="E45" s="29">
        <v>45384</v>
      </c>
      <c r="F45" s="28" t="s">
        <v>156</v>
      </c>
      <c r="G45" s="35" t="str">
        <f>IF(tblRecords[[#This Row],[Person]]="","",IFERROR(INDEX(tblPeople[Shift],MATCH(tblRecords[[#This Row],[Person]],tblPeople[Person],0)),""))</f>
        <v>Late</v>
      </c>
      <c r="H45" s="36">
        <f>IF(tblRecords[[#This Row],[Person]]="","",IFERROR(INDEX(tblSkills[Renewal (months)],MATCH(tblRecords[[#This Row],[Skill]],tblSkills[Skill],0)),""))</f>
        <v>36</v>
      </c>
      <c r="I45" s="37">
        <f>IF(tblRecords[[#This Row],[Person]]="","",IF(OR(tblRecords[[#This Row],[Renewal (months)]]="",N(tblRecords[[#This Row],[Assessed on]])=0),"",IF(tblRecords[[#This Row],[Renewal (months)]]=0,"",EDATE(tblRecords[[#This Row],[Assessed on]],tblRecords[[#This Row],[Renewal (months)]]))))</f>
        <v>46479</v>
      </c>
      <c r="J45" s="38">
        <f>IF(tblRecords[[#This Row],[Person]]="","",IF(tblRecords[[#This Row],[Expires]]="","",tblRecords[[#This Row],[Expires]]-AsOf))</f>
        <v>184</v>
      </c>
      <c r="K45" s="39" t="str">
        <f>IF(tblRecords[[#This Row],[Person]]="","",IF(tblRecords[[#This Row],[Expires]]="","OK",IF(tblRecords[[#This Row],[Expires]]&lt;AsOf,"Overdue",IF(tblRecords[[#This Row],[Expires]]-AsOf&lt;=DueSoonDays,"Due soon","OK"))))</f>
        <v>OK</v>
      </c>
      <c r="L45" s="39" t="str">
        <f>IF(tblRecords[[#This Row],[Person]]="","",IF(AND(N(tblRecords[[#This Row],[Level (0-4)]])&gt;=QualLevel,tblRecords[[#This Row],[Renewal status]]&lt;&gt;"Overdue"),"Yes","No"))</f>
        <v>Yes</v>
      </c>
      <c r="M45"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45" s="28" t="s">
        <v>154</v>
      </c>
    </row>
    <row r="46" spans="2:14">
      <c r="B46" s="28" t="s">
        <v>106</v>
      </c>
      <c r="C46" s="28" t="s">
        <v>142</v>
      </c>
      <c r="D46" s="30">
        <v>4</v>
      </c>
      <c r="E46" s="29">
        <v>45971</v>
      </c>
      <c r="F46" s="28" t="s">
        <v>153</v>
      </c>
      <c r="G46" s="35" t="str">
        <f>IF(tblRecords[[#This Row],[Person]]="","",IFERROR(INDEX(tblPeople[Shift],MATCH(tblRecords[[#This Row],[Person]],tblPeople[Person],0)),""))</f>
        <v>Late</v>
      </c>
      <c r="H46" s="36">
        <f>IF(tblRecords[[#This Row],[Person]]="","",IFERROR(INDEX(tblSkills[Renewal (months)],MATCH(tblRecords[[#This Row],[Skill]],tblSkills[Skill],0)),""))</f>
        <v>12</v>
      </c>
      <c r="I46" s="37">
        <f>IF(tblRecords[[#This Row],[Person]]="","",IF(OR(tblRecords[[#This Row],[Renewal (months)]]="",N(tblRecords[[#This Row],[Assessed on]])=0),"",IF(tblRecords[[#This Row],[Renewal (months)]]=0,"",EDATE(tblRecords[[#This Row],[Assessed on]],tblRecords[[#This Row],[Renewal (months)]]))))</f>
        <v>46336</v>
      </c>
      <c r="J46" s="38">
        <f>IF(tblRecords[[#This Row],[Person]]="","",IF(tblRecords[[#This Row],[Expires]]="","",tblRecords[[#This Row],[Expires]]-AsOf))</f>
        <v>41</v>
      </c>
      <c r="K46" s="39" t="str">
        <f>IF(tblRecords[[#This Row],[Person]]="","",IF(tblRecords[[#This Row],[Expires]]="","OK",IF(tblRecords[[#This Row],[Expires]]&lt;AsOf,"Overdue",IF(tblRecords[[#This Row],[Expires]]-AsOf&lt;=DueSoonDays,"Due soon","OK"))))</f>
        <v>Due soon</v>
      </c>
      <c r="L46" s="39" t="str">
        <f>IF(tblRecords[[#This Row],[Person]]="","",IF(AND(N(tblRecords[[#This Row],[Level (0-4)]])&gt;=QualLevel,tblRecords[[#This Row],[Renewal status]]&lt;&gt;"Overdue"),"Yes","No"))</f>
        <v>Yes</v>
      </c>
      <c r="M46"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46" s="28" t="s">
        <v>154</v>
      </c>
    </row>
    <row r="47" spans="2:14">
      <c r="B47" s="28" t="s">
        <v>107</v>
      </c>
      <c r="C47" s="28" t="s">
        <v>119</v>
      </c>
      <c r="D47" s="30">
        <v>3</v>
      </c>
      <c r="E47" s="29">
        <v>44966</v>
      </c>
      <c r="F47" s="28" t="s">
        <v>106</v>
      </c>
      <c r="G47" s="35" t="str">
        <f>IF(tblRecords[[#This Row],[Person]]="","",IFERROR(INDEX(tblPeople[Shift],MATCH(tblRecords[[#This Row],[Person]],tblPeople[Person],0)),""))</f>
        <v>Late</v>
      </c>
      <c r="H47" s="36">
        <f>IF(tblRecords[[#This Row],[Person]]="","",IFERROR(INDEX(tblSkills[Renewal (months)],MATCH(tblRecords[[#This Row],[Skill]],tblSkills[Skill],0)),""))</f>
        <v>0</v>
      </c>
      <c r="I47" s="37">
        <f>IF(tblRecords[[#This Row],[Person]]="","",IF(OR(tblRecords[[#This Row],[Renewal (months)]]="",N(tblRecords[[#This Row],[Assessed on]])=0),"",IF(tblRecords[[#This Row],[Renewal (months)]]=0,"",EDATE(tblRecords[[#This Row],[Assessed on]],tblRecords[[#This Row],[Renewal (months)]]))))</f>
        <v/>
      </c>
      <c r="J47" s="38">
        <f>IF(tblRecords[[#This Row],[Person]]="","",IF(tblRecords[[#This Row],[Expires]]="","",tblRecords[[#This Row],[Expires]]-AsOf))</f>
        <v/>
      </c>
      <c r="K47" s="39" t="str">
        <f>IF(tblRecords[[#This Row],[Person]]="","",IF(tblRecords[[#This Row],[Expires]]="","OK",IF(tblRecords[[#This Row],[Expires]]&lt;AsOf,"Overdue",IF(tblRecords[[#This Row],[Expires]]-AsOf&lt;=DueSoonDays,"Due soon","OK"))))</f>
        <v>OK</v>
      </c>
      <c r="L47" s="39" t="str">
        <f>IF(tblRecords[[#This Row],[Person]]="","",IF(AND(N(tblRecords[[#This Row],[Level (0-4)]])&gt;=QualLevel,tblRecords[[#This Row],[Renewal status]]&lt;&gt;"Overdue"),"Yes","No"))</f>
        <v>Yes</v>
      </c>
      <c r="M47"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47" s="28" t="s">
        <v>154</v>
      </c>
    </row>
    <row r="48" spans="2:14">
      <c r="B48" s="28" t="s">
        <v>107</v>
      </c>
      <c r="C48" s="28" t="s">
        <v>122</v>
      </c>
      <c r="D48" s="30">
        <v>4</v>
      </c>
      <c r="E48" s="29">
        <v>45719</v>
      </c>
      <c r="F48" s="28" t="s">
        <v>106</v>
      </c>
      <c r="G48" s="35" t="str">
        <f>IF(tblRecords[[#This Row],[Person]]="","",IFERROR(INDEX(tblPeople[Shift],MATCH(tblRecords[[#This Row],[Person]],tblPeople[Person],0)),""))</f>
        <v>Late</v>
      </c>
      <c r="H48" s="36">
        <f>IF(tblRecords[[#This Row],[Person]]="","",IFERROR(INDEX(tblSkills[Renewal (months)],MATCH(tblRecords[[#This Row],[Skill]],tblSkills[Skill],0)),""))</f>
        <v>0</v>
      </c>
      <c r="I48" s="37">
        <f>IF(tblRecords[[#This Row],[Person]]="","",IF(OR(tblRecords[[#This Row],[Renewal (months)]]="",N(tblRecords[[#This Row],[Assessed on]])=0),"",IF(tblRecords[[#This Row],[Renewal (months)]]=0,"",EDATE(tblRecords[[#This Row],[Assessed on]],tblRecords[[#This Row],[Renewal (months)]]))))</f>
        <v/>
      </c>
      <c r="J48" s="38">
        <f>IF(tblRecords[[#This Row],[Person]]="","",IF(tblRecords[[#This Row],[Expires]]="","",tblRecords[[#This Row],[Expires]]-AsOf))</f>
        <v/>
      </c>
      <c r="K48" s="39" t="str">
        <f>IF(tblRecords[[#This Row],[Person]]="","",IF(tblRecords[[#This Row],[Expires]]="","OK",IF(tblRecords[[#This Row],[Expires]]&lt;AsOf,"Overdue",IF(tblRecords[[#This Row],[Expires]]-AsOf&lt;=DueSoonDays,"Due soon","OK"))))</f>
        <v>OK</v>
      </c>
      <c r="L48" s="39" t="str">
        <f>IF(tblRecords[[#This Row],[Person]]="","",IF(AND(N(tblRecords[[#This Row],[Level (0-4)]])&gt;=QualLevel,tblRecords[[#This Row],[Renewal status]]&lt;&gt;"Overdue"),"Yes","No"))</f>
        <v>Yes</v>
      </c>
      <c r="M48"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48" s="28" t="s">
        <v>154</v>
      </c>
    </row>
    <row r="49" spans="2:14">
      <c r="B49" s="28" t="s">
        <v>107</v>
      </c>
      <c r="C49" s="28" t="s">
        <v>124</v>
      </c>
      <c r="D49" s="30">
        <v>2</v>
      </c>
      <c r="E49" s="29">
        <v>46207</v>
      </c>
      <c r="F49" s="28" t="s">
        <v>106</v>
      </c>
      <c r="G49" s="35" t="str">
        <f>IF(tblRecords[[#This Row],[Person]]="","",IFERROR(INDEX(tblPeople[Shift],MATCH(tblRecords[[#This Row],[Person]],tblPeople[Person],0)),""))</f>
        <v>Late</v>
      </c>
      <c r="H49" s="36">
        <f>IF(tblRecords[[#This Row],[Person]]="","",IFERROR(INDEX(tblSkills[Renewal (months)],MATCH(tblRecords[[#This Row],[Skill]],tblSkills[Skill],0)),""))</f>
        <v>0</v>
      </c>
      <c r="I49" s="37">
        <f>IF(tblRecords[[#This Row],[Person]]="","",IF(OR(tblRecords[[#This Row],[Renewal (months)]]="",N(tblRecords[[#This Row],[Assessed on]])=0),"",IF(tblRecords[[#This Row],[Renewal (months)]]=0,"",EDATE(tblRecords[[#This Row],[Assessed on]],tblRecords[[#This Row],[Renewal (months)]]))))</f>
        <v/>
      </c>
      <c r="J49" s="38">
        <f>IF(tblRecords[[#This Row],[Person]]="","",IF(tblRecords[[#This Row],[Expires]]="","",tblRecords[[#This Row],[Expires]]-AsOf))</f>
        <v/>
      </c>
      <c r="K49" s="39" t="str">
        <f>IF(tblRecords[[#This Row],[Person]]="","",IF(tblRecords[[#This Row],[Expires]]="","OK",IF(tblRecords[[#This Row],[Expires]]&lt;AsOf,"Overdue",IF(tblRecords[[#This Row],[Expires]]-AsOf&lt;=DueSoonDays,"Due soon","OK"))))</f>
        <v>OK</v>
      </c>
      <c r="L49" s="39" t="str">
        <f>IF(tblRecords[[#This Row],[Person]]="","",IF(AND(N(tblRecords[[#This Row],[Level (0-4)]])&gt;=QualLevel,tblRecords[[#This Row],[Renewal status]]&lt;&gt;"Overdue"),"Yes","No"))</f>
        <v>No</v>
      </c>
      <c r="M49"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49" s="28" t="s">
        <v>154</v>
      </c>
    </row>
    <row r="50" spans="2:14">
      <c r="B50" s="28" t="s">
        <v>107</v>
      </c>
      <c r="C50" s="28" t="s">
        <v>129</v>
      </c>
      <c r="D50" s="30">
        <v>3</v>
      </c>
      <c r="E50" s="29">
        <v>45340</v>
      </c>
      <c r="F50" s="28" t="s">
        <v>106</v>
      </c>
      <c r="G50" s="35" t="str">
        <f>IF(tblRecords[[#This Row],[Person]]="","",IFERROR(INDEX(tblPeople[Shift],MATCH(tblRecords[[#This Row],[Person]],tblPeople[Person],0)),""))</f>
        <v>Late</v>
      </c>
      <c r="H50" s="36">
        <f>IF(tblRecords[[#This Row],[Person]]="","",IFERROR(INDEX(tblSkills[Renewal (months)],MATCH(tblRecords[[#This Row],[Skill]],tblSkills[Skill],0)),""))</f>
        <v>0</v>
      </c>
      <c r="I50" s="37">
        <f>IF(tblRecords[[#This Row],[Person]]="","",IF(OR(tblRecords[[#This Row],[Renewal (months)]]="",N(tblRecords[[#This Row],[Assessed on]])=0),"",IF(tblRecords[[#This Row],[Renewal (months)]]=0,"",EDATE(tblRecords[[#This Row],[Assessed on]],tblRecords[[#This Row],[Renewal (months)]]))))</f>
        <v/>
      </c>
      <c r="J50" s="38">
        <f>IF(tblRecords[[#This Row],[Person]]="","",IF(tblRecords[[#This Row],[Expires]]="","",tblRecords[[#This Row],[Expires]]-AsOf))</f>
        <v/>
      </c>
      <c r="K50" s="39" t="str">
        <f>IF(tblRecords[[#This Row],[Person]]="","",IF(tblRecords[[#This Row],[Expires]]="","OK",IF(tblRecords[[#This Row],[Expires]]&lt;AsOf,"Overdue",IF(tblRecords[[#This Row],[Expires]]-AsOf&lt;=DueSoonDays,"Due soon","OK"))))</f>
        <v>OK</v>
      </c>
      <c r="L50" s="39" t="str">
        <f>IF(tblRecords[[#This Row],[Person]]="","",IF(AND(N(tblRecords[[#This Row],[Level (0-4)]])&gt;=QualLevel,tblRecords[[#This Row],[Renewal status]]&lt;&gt;"Overdue"),"Yes","No"))</f>
        <v>Yes</v>
      </c>
      <c r="M50"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50" s="28" t="s">
        <v>154</v>
      </c>
    </row>
    <row r="51" spans="2:14">
      <c r="B51" s="28" t="s">
        <v>107</v>
      </c>
      <c r="C51" s="28" t="s">
        <v>142</v>
      </c>
      <c r="D51" s="30">
        <v>3</v>
      </c>
      <c r="E51" s="29">
        <v>46012</v>
      </c>
      <c r="F51" s="28" t="s">
        <v>106</v>
      </c>
      <c r="G51" s="35" t="str">
        <f>IF(tblRecords[[#This Row],[Person]]="","",IFERROR(INDEX(tblPeople[Shift],MATCH(tblRecords[[#This Row],[Person]],tblPeople[Person],0)),""))</f>
        <v>Late</v>
      </c>
      <c r="H51" s="36">
        <f>IF(tblRecords[[#This Row],[Person]]="","",IFERROR(INDEX(tblSkills[Renewal (months)],MATCH(tblRecords[[#This Row],[Skill]],tblSkills[Skill],0)),""))</f>
        <v>12</v>
      </c>
      <c r="I51" s="37">
        <f>IF(tblRecords[[#This Row],[Person]]="","",IF(OR(tblRecords[[#This Row],[Renewal (months)]]="",N(tblRecords[[#This Row],[Assessed on]])=0),"",IF(tblRecords[[#This Row],[Renewal (months)]]=0,"",EDATE(tblRecords[[#This Row],[Assessed on]],tblRecords[[#This Row],[Renewal (months)]]))))</f>
        <v>46377</v>
      </c>
      <c r="J51" s="38">
        <f>IF(tblRecords[[#This Row],[Person]]="","",IF(tblRecords[[#This Row],[Expires]]="","",tblRecords[[#This Row],[Expires]]-AsOf))</f>
        <v>82</v>
      </c>
      <c r="K51" s="39" t="str">
        <f>IF(tblRecords[[#This Row],[Person]]="","",IF(tblRecords[[#This Row],[Expires]]="","OK",IF(tblRecords[[#This Row],[Expires]]&lt;AsOf,"Overdue",IF(tblRecords[[#This Row],[Expires]]-AsOf&lt;=DueSoonDays,"Due soon","OK"))))</f>
        <v>OK</v>
      </c>
      <c r="L51" s="39" t="str">
        <f>IF(tblRecords[[#This Row],[Person]]="","",IF(AND(N(tblRecords[[#This Row],[Level (0-4)]])&gt;=QualLevel,tblRecords[[#This Row],[Renewal status]]&lt;&gt;"Overdue"),"Yes","No"))</f>
        <v>Yes</v>
      </c>
      <c r="M51"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51" s="28" t="s">
        <v>154</v>
      </c>
    </row>
    <row r="52" spans="2:14">
      <c r="B52" s="28" t="s">
        <v>108</v>
      </c>
      <c r="C52" s="28" t="s">
        <v>126</v>
      </c>
      <c r="D52" s="30">
        <v>3</v>
      </c>
      <c r="E52" s="29">
        <v>44974</v>
      </c>
      <c r="F52" s="28" t="s">
        <v>155</v>
      </c>
      <c r="G52" s="35" t="str">
        <f>IF(tblRecords[[#This Row],[Person]]="","",IFERROR(INDEX(tblPeople[Shift],MATCH(tblRecords[[#This Row],[Person]],tblPeople[Person],0)),""))</f>
        <v>Late</v>
      </c>
      <c r="H52" s="36">
        <f>IF(tblRecords[[#This Row],[Person]]="","",IFERROR(INDEX(tblSkills[Renewal (months)],MATCH(tblRecords[[#This Row],[Skill]],tblSkills[Skill],0)),""))</f>
        <v>0</v>
      </c>
      <c r="I52" s="37">
        <f>IF(tblRecords[[#This Row],[Person]]="","",IF(OR(tblRecords[[#This Row],[Renewal (months)]]="",N(tblRecords[[#This Row],[Assessed on]])=0),"",IF(tblRecords[[#This Row],[Renewal (months)]]=0,"",EDATE(tblRecords[[#This Row],[Assessed on]],tblRecords[[#This Row],[Renewal (months)]]))))</f>
        <v/>
      </c>
      <c r="J52" s="38">
        <f>IF(tblRecords[[#This Row],[Person]]="","",IF(tblRecords[[#This Row],[Expires]]="","",tblRecords[[#This Row],[Expires]]-AsOf))</f>
        <v/>
      </c>
      <c r="K52" s="39" t="str">
        <f>IF(tblRecords[[#This Row],[Person]]="","",IF(tblRecords[[#This Row],[Expires]]="","OK",IF(tblRecords[[#This Row],[Expires]]&lt;AsOf,"Overdue",IF(tblRecords[[#This Row],[Expires]]-AsOf&lt;=DueSoonDays,"Due soon","OK"))))</f>
        <v>OK</v>
      </c>
      <c r="L52" s="39" t="str">
        <f>IF(tblRecords[[#This Row],[Person]]="","",IF(AND(N(tblRecords[[#This Row],[Level (0-4)]])&gt;=QualLevel,tblRecords[[#This Row],[Renewal status]]&lt;&gt;"Overdue"),"Yes","No"))</f>
        <v>Yes</v>
      </c>
      <c r="M52"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52" s="28" t="s">
        <v>154</v>
      </c>
    </row>
    <row r="53" spans="2:14">
      <c r="B53" s="28" t="s">
        <v>108</v>
      </c>
      <c r="C53" s="28" t="s">
        <v>129</v>
      </c>
      <c r="D53" s="30">
        <v>2</v>
      </c>
      <c r="E53" s="29">
        <v>46205</v>
      </c>
      <c r="F53" s="28" t="s">
        <v>106</v>
      </c>
      <c r="G53" s="35" t="str">
        <f>IF(tblRecords[[#This Row],[Person]]="","",IFERROR(INDEX(tblPeople[Shift],MATCH(tblRecords[[#This Row],[Person]],tblPeople[Person],0)),""))</f>
        <v>Late</v>
      </c>
      <c r="H53" s="36">
        <f>IF(tblRecords[[#This Row],[Person]]="","",IFERROR(INDEX(tblSkills[Renewal (months)],MATCH(tblRecords[[#This Row],[Skill]],tblSkills[Skill],0)),""))</f>
        <v>0</v>
      </c>
      <c r="I53" s="37">
        <f>IF(tblRecords[[#This Row],[Person]]="","",IF(OR(tblRecords[[#This Row],[Renewal (months)]]="",N(tblRecords[[#This Row],[Assessed on]])=0),"",IF(tblRecords[[#This Row],[Renewal (months)]]=0,"",EDATE(tblRecords[[#This Row],[Assessed on]],tblRecords[[#This Row],[Renewal (months)]]))))</f>
        <v/>
      </c>
      <c r="J53" s="38">
        <f>IF(tblRecords[[#This Row],[Person]]="","",IF(tblRecords[[#This Row],[Expires]]="","",tblRecords[[#This Row],[Expires]]-AsOf))</f>
        <v/>
      </c>
      <c r="K53" s="39" t="str">
        <f>IF(tblRecords[[#This Row],[Person]]="","",IF(tblRecords[[#This Row],[Expires]]="","OK",IF(tblRecords[[#This Row],[Expires]]&lt;AsOf,"Overdue",IF(tblRecords[[#This Row],[Expires]]-AsOf&lt;=DueSoonDays,"Due soon","OK"))))</f>
        <v>OK</v>
      </c>
      <c r="L53" s="39" t="str">
        <f>IF(tblRecords[[#This Row],[Person]]="","",IF(AND(N(tblRecords[[#This Row],[Level (0-4)]])&gt;=QualLevel,tblRecords[[#This Row],[Renewal status]]&lt;&gt;"Overdue"),"Yes","No"))</f>
        <v>No</v>
      </c>
      <c r="M53"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53" s="28" t="s">
        <v>154</v>
      </c>
    </row>
    <row r="54" spans="2:14">
      <c r="B54" s="28" t="s">
        <v>108</v>
      </c>
      <c r="C54" s="28" t="s">
        <v>132</v>
      </c>
      <c r="D54" s="30">
        <v>2</v>
      </c>
      <c r="E54" s="29">
        <v>46238</v>
      </c>
      <c r="F54" s="28" t="s">
        <v>106</v>
      </c>
      <c r="G54" s="35" t="str">
        <f>IF(tblRecords[[#This Row],[Person]]="","",IFERROR(INDEX(tblPeople[Shift],MATCH(tblRecords[[#This Row],[Person]],tblPeople[Person],0)),""))</f>
        <v>Late</v>
      </c>
      <c r="H54" s="36">
        <f>IF(tblRecords[[#This Row],[Person]]="","",IFERROR(INDEX(tblSkills[Renewal (months)],MATCH(tblRecords[[#This Row],[Skill]],tblSkills[Skill],0)),""))</f>
        <v>0</v>
      </c>
      <c r="I54" s="37">
        <f>IF(tblRecords[[#This Row],[Person]]="","",IF(OR(tblRecords[[#This Row],[Renewal (months)]]="",N(tblRecords[[#This Row],[Assessed on]])=0),"",IF(tblRecords[[#This Row],[Renewal (months)]]=0,"",EDATE(tblRecords[[#This Row],[Assessed on]],tblRecords[[#This Row],[Renewal (months)]]))))</f>
        <v/>
      </c>
      <c r="J54" s="38">
        <f>IF(tblRecords[[#This Row],[Person]]="","",IF(tblRecords[[#This Row],[Expires]]="","",tblRecords[[#This Row],[Expires]]-AsOf))</f>
        <v/>
      </c>
      <c r="K54" s="39" t="str">
        <f>IF(tblRecords[[#This Row],[Person]]="","",IF(tblRecords[[#This Row],[Expires]]="","OK",IF(tblRecords[[#This Row],[Expires]]&lt;AsOf,"Overdue",IF(tblRecords[[#This Row],[Expires]]-AsOf&lt;=DueSoonDays,"Due soon","OK"))))</f>
        <v>OK</v>
      </c>
      <c r="L54" s="39" t="str">
        <f>IF(tblRecords[[#This Row],[Person]]="","",IF(AND(N(tblRecords[[#This Row],[Level (0-4)]])&gt;=QualLevel,tblRecords[[#This Row],[Renewal status]]&lt;&gt;"Overdue"),"Yes","No"))</f>
        <v>No</v>
      </c>
      <c r="M54"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54" s="28" t="s">
        <v>154</v>
      </c>
    </row>
    <row r="55" spans="2:14">
      <c r="B55" s="28" t="s">
        <v>108</v>
      </c>
      <c r="C55" s="28" t="s">
        <v>134</v>
      </c>
      <c r="D55" s="30">
        <v>3</v>
      </c>
      <c r="E55" s="29">
        <v>45794</v>
      </c>
      <c r="F55" s="28" t="s">
        <v>106</v>
      </c>
      <c r="G55" s="35" t="str">
        <f>IF(tblRecords[[#This Row],[Person]]="","",IFERROR(INDEX(tblPeople[Shift],MATCH(tblRecords[[#This Row],[Person]],tblPeople[Person],0)),""))</f>
        <v>Late</v>
      </c>
      <c r="H55" s="36">
        <f>IF(tblRecords[[#This Row],[Person]]="","",IFERROR(INDEX(tblSkills[Renewal (months)],MATCH(tblRecords[[#This Row],[Skill]],tblSkills[Skill],0)),""))</f>
        <v>24</v>
      </c>
      <c r="I55" s="37">
        <f>IF(tblRecords[[#This Row],[Person]]="","",IF(OR(tblRecords[[#This Row],[Renewal (months)]]="",N(tblRecords[[#This Row],[Assessed on]])=0),"",IF(tblRecords[[#This Row],[Renewal (months)]]=0,"",EDATE(tblRecords[[#This Row],[Assessed on]],tblRecords[[#This Row],[Renewal (months)]]))))</f>
        <v>46524</v>
      </c>
      <c r="J55" s="38">
        <f>IF(tblRecords[[#This Row],[Person]]="","",IF(tblRecords[[#This Row],[Expires]]="","",tblRecords[[#This Row],[Expires]]-AsOf))</f>
        <v>229</v>
      </c>
      <c r="K55" s="39" t="str">
        <f>IF(tblRecords[[#This Row],[Person]]="","",IF(tblRecords[[#This Row],[Expires]]="","OK",IF(tblRecords[[#This Row],[Expires]]&lt;AsOf,"Overdue",IF(tblRecords[[#This Row],[Expires]]-AsOf&lt;=DueSoonDays,"Due soon","OK"))))</f>
        <v>OK</v>
      </c>
      <c r="L55" s="39" t="str">
        <f>IF(tblRecords[[#This Row],[Person]]="","",IF(AND(N(tblRecords[[#This Row],[Level (0-4)]])&gt;=QualLevel,tblRecords[[#This Row],[Renewal status]]&lt;&gt;"Overdue"),"Yes","No"))</f>
        <v>Yes</v>
      </c>
      <c r="M55"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55" s="28" t="s">
        <v>154</v>
      </c>
    </row>
    <row r="56" spans="2:14">
      <c r="B56" s="28" t="s">
        <v>108</v>
      </c>
      <c r="C56" s="28" t="s">
        <v>139</v>
      </c>
      <c r="D56" s="30">
        <v>3</v>
      </c>
      <c r="E56" s="29">
        <v>45232</v>
      </c>
      <c r="F56" s="28" t="s">
        <v>156</v>
      </c>
      <c r="G56" s="35" t="str">
        <f>IF(tblRecords[[#This Row],[Person]]="","",IFERROR(INDEX(tblPeople[Shift],MATCH(tblRecords[[#This Row],[Person]],tblPeople[Person],0)),""))</f>
        <v>Late</v>
      </c>
      <c r="H56" s="36">
        <f>IF(tblRecords[[#This Row],[Person]]="","",IFERROR(INDEX(tblSkills[Renewal (months)],MATCH(tblRecords[[#This Row],[Skill]],tblSkills[Skill],0)),""))</f>
        <v>36</v>
      </c>
      <c r="I56" s="37">
        <f>IF(tblRecords[[#This Row],[Person]]="","",IF(OR(tblRecords[[#This Row],[Renewal (months)]]="",N(tblRecords[[#This Row],[Assessed on]])=0),"",IF(tblRecords[[#This Row],[Renewal (months)]]=0,"",EDATE(tblRecords[[#This Row],[Assessed on]],tblRecords[[#This Row],[Renewal (months)]]))))</f>
        <v>46328</v>
      </c>
      <c r="J56" s="38">
        <f>IF(tblRecords[[#This Row],[Person]]="","",IF(tblRecords[[#This Row],[Expires]]="","",tblRecords[[#This Row],[Expires]]-AsOf))</f>
        <v>33</v>
      </c>
      <c r="K56" s="39" t="str">
        <f>IF(tblRecords[[#This Row],[Person]]="","",IF(tblRecords[[#This Row],[Expires]]="","OK",IF(tblRecords[[#This Row],[Expires]]&lt;AsOf,"Overdue",IF(tblRecords[[#This Row],[Expires]]-AsOf&lt;=DueSoonDays,"Due soon","OK"))))</f>
        <v>Due soon</v>
      </c>
      <c r="L56" s="39" t="str">
        <f>IF(tblRecords[[#This Row],[Person]]="","",IF(AND(N(tblRecords[[#This Row],[Level (0-4)]])&gt;=QualLevel,tblRecords[[#This Row],[Renewal status]]&lt;&gt;"Overdue"),"Yes","No"))</f>
        <v>Yes</v>
      </c>
      <c r="M56"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56" s="28" t="s">
        <v>154</v>
      </c>
    </row>
    <row r="57" spans="2:14">
      <c r="B57" s="28" t="s">
        <v>108</v>
      </c>
      <c r="C57" s="28" t="s">
        <v>142</v>
      </c>
      <c r="D57" s="30">
        <v>3</v>
      </c>
      <c r="E57" s="29">
        <v>46133</v>
      </c>
      <c r="F57" s="28" t="s">
        <v>106</v>
      </c>
      <c r="G57" s="35" t="str">
        <f>IF(tblRecords[[#This Row],[Person]]="","",IFERROR(INDEX(tblPeople[Shift],MATCH(tblRecords[[#This Row],[Person]],tblPeople[Person],0)),""))</f>
        <v>Late</v>
      </c>
      <c r="H57" s="36">
        <f>IF(tblRecords[[#This Row],[Person]]="","",IFERROR(INDEX(tblSkills[Renewal (months)],MATCH(tblRecords[[#This Row],[Skill]],tblSkills[Skill],0)),""))</f>
        <v>12</v>
      </c>
      <c r="I57" s="37">
        <f>IF(tblRecords[[#This Row],[Person]]="","",IF(OR(tblRecords[[#This Row],[Renewal (months)]]="",N(tblRecords[[#This Row],[Assessed on]])=0),"",IF(tblRecords[[#This Row],[Renewal (months)]]=0,"",EDATE(tblRecords[[#This Row],[Assessed on]],tblRecords[[#This Row],[Renewal (months)]]))))</f>
        <v>46498</v>
      </c>
      <c r="J57" s="38">
        <f>IF(tblRecords[[#This Row],[Person]]="","",IF(tblRecords[[#This Row],[Expires]]="","",tblRecords[[#This Row],[Expires]]-AsOf))</f>
        <v>203</v>
      </c>
      <c r="K57" s="39" t="str">
        <f>IF(tblRecords[[#This Row],[Person]]="","",IF(tblRecords[[#This Row],[Expires]]="","OK",IF(tblRecords[[#This Row],[Expires]]&lt;AsOf,"Overdue",IF(tblRecords[[#This Row],[Expires]]-AsOf&lt;=DueSoonDays,"Due soon","OK"))))</f>
        <v>OK</v>
      </c>
      <c r="L57" s="39" t="str">
        <f>IF(tblRecords[[#This Row],[Person]]="","",IF(AND(N(tblRecords[[#This Row],[Level (0-4)]])&gt;=QualLevel,tblRecords[[#This Row],[Renewal status]]&lt;&gt;"Overdue"),"Yes","No"))</f>
        <v>Yes</v>
      </c>
      <c r="M57"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57" s="28" t="s">
        <v>154</v>
      </c>
    </row>
    <row r="58" spans="2:14">
      <c r="B58" s="28" t="s">
        <v>109</v>
      </c>
      <c r="C58" s="28" t="s">
        <v>129</v>
      </c>
      <c r="D58" s="30">
        <v>3</v>
      </c>
      <c r="E58" s="29">
        <v>45985</v>
      </c>
      <c r="F58" s="28" t="s">
        <v>106</v>
      </c>
      <c r="G58" s="35" t="str">
        <f>IF(tblRecords[[#This Row],[Person]]="","",IFERROR(INDEX(tblPeople[Shift],MATCH(tblRecords[[#This Row],[Person]],tblPeople[Person],0)),""))</f>
        <v>Late</v>
      </c>
      <c r="H58" s="36">
        <f>IF(tblRecords[[#This Row],[Person]]="","",IFERROR(INDEX(tblSkills[Renewal (months)],MATCH(tblRecords[[#This Row],[Skill]],tblSkills[Skill],0)),""))</f>
        <v>0</v>
      </c>
      <c r="I58" s="37">
        <f>IF(tblRecords[[#This Row],[Person]]="","",IF(OR(tblRecords[[#This Row],[Renewal (months)]]="",N(tblRecords[[#This Row],[Assessed on]])=0),"",IF(tblRecords[[#This Row],[Renewal (months)]]=0,"",EDATE(tblRecords[[#This Row],[Assessed on]],tblRecords[[#This Row],[Renewal (months)]]))))</f>
        <v/>
      </c>
      <c r="J58" s="38">
        <f>IF(tblRecords[[#This Row],[Person]]="","",IF(tblRecords[[#This Row],[Expires]]="","",tblRecords[[#This Row],[Expires]]-AsOf))</f>
        <v/>
      </c>
      <c r="K58" s="39" t="str">
        <f>IF(tblRecords[[#This Row],[Person]]="","",IF(tblRecords[[#This Row],[Expires]]="","OK",IF(tblRecords[[#This Row],[Expires]]&lt;AsOf,"Overdue",IF(tblRecords[[#This Row],[Expires]]-AsOf&lt;=DueSoonDays,"Due soon","OK"))))</f>
        <v>OK</v>
      </c>
      <c r="L58" s="39" t="str">
        <f>IF(tblRecords[[#This Row],[Person]]="","",IF(AND(N(tblRecords[[#This Row],[Level (0-4)]])&gt;=QualLevel,tblRecords[[#This Row],[Renewal status]]&lt;&gt;"Overdue"),"Yes","No"))</f>
        <v>Yes</v>
      </c>
      <c r="M58"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58" s="28" t="s">
        <v>154</v>
      </c>
    </row>
    <row r="59" spans="2:14">
      <c r="B59" s="28" t="s">
        <v>109</v>
      </c>
      <c r="C59" s="28" t="s">
        <v>132</v>
      </c>
      <c r="D59" s="30">
        <v>3</v>
      </c>
      <c r="E59" s="29">
        <v>45248</v>
      </c>
      <c r="F59" s="28" t="s">
        <v>106</v>
      </c>
      <c r="G59" s="35" t="str">
        <f>IF(tblRecords[[#This Row],[Person]]="","",IFERROR(INDEX(tblPeople[Shift],MATCH(tblRecords[[#This Row],[Person]],tblPeople[Person],0)),""))</f>
        <v>Late</v>
      </c>
      <c r="H59" s="36">
        <f>IF(tblRecords[[#This Row],[Person]]="","",IFERROR(INDEX(tblSkills[Renewal (months)],MATCH(tblRecords[[#This Row],[Skill]],tblSkills[Skill],0)),""))</f>
        <v>0</v>
      </c>
      <c r="I59" s="37">
        <f>IF(tblRecords[[#This Row],[Person]]="","",IF(OR(tblRecords[[#This Row],[Renewal (months)]]="",N(tblRecords[[#This Row],[Assessed on]])=0),"",IF(tblRecords[[#This Row],[Renewal (months)]]=0,"",EDATE(tblRecords[[#This Row],[Assessed on]],tblRecords[[#This Row],[Renewal (months)]]))))</f>
        <v/>
      </c>
      <c r="J59" s="38">
        <f>IF(tblRecords[[#This Row],[Person]]="","",IF(tblRecords[[#This Row],[Expires]]="","",tblRecords[[#This Row],[Expires]]-AsOf))</f>
        <v/>
      </c>
      <c r="K59" s="39" t="str">
        <f>IF(tblRecords[[#This Row],[Person]]="","",IF(tblRecords[[#This Row],[Expires]]="","OK",IF(tblRecords[[#This Row],[Expires]]&lt;AsOf,"Overdue",IF(tblRecords[[#This Row],[Expires]]-AsOf&lt;=DueSoonDays,"Due soon","OK"))))</f>
        <v>OK</v>
      </c>
      <c r="L59" s="39" t="str">
        <f>IF(tblRecords[[#This Row],[Person]]="","",IF(AND(N(tblRecords[[#This Row],[Level (0-4)]])&gt;=QualLevel,tblRecords[[#This Row],[Renewal status]]&lt;&gt;"Overdue"),"Yes","No"))</f>
        <v>Yes</v>
      </c>
      <c r="M59"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59" s="28" t="s">
        <v>154</v>
      </c>
    </row>
    <row r="60" spans="2:14">
      <c r="B60" s="28" t="s">
        <v>109</v>
      </c>
      <c r="C60" s="28" t="s">
        <v>134</v>
      </c>
      <c r="D60" s="30">
        <v>3</v>
      </c>
      <c r="E60" s="29">
        <v>46155</v>
      </c>
      <c r="F60" s="28" t="s">
        <v>106</v>
      </c>
      <c r="G60" s="35" t="str">
        <f>IF(tblRecords[[#This Row],[Person]]="","",IFERROR(INDEX(tblPeople[Shift],MATCH(tblRecords[[#This Row],[Person]],tblPeople[Person],0)),""))</f>
        <v>Late</v>
      </c>
      <c r="H60" s="36">
        <f>IF(tblRecords[[#This Row],[Person]]="","",IFERROR(INDEX(tblSkills[Renewal (months)],MATCH(tblRecords[[#This Row],[Skill]],tblSkills[Skill],0)),""))</f>
        <v>24</v>
      </c>
      <c r="I60" s="37">
        <f>IF(tblRecords[[#This Row],[Person]]="","",IF(OR(tblRecords[[#This Row],[Renewal (months)]]="",N(tblRecords[[#This Row],[Assessed on]])=0),"",IF(tblRecords[[#This Row],[Renewal (months)]]=0,"",EDATE(tblRecords[[#This Row],[Assessed on]],tblRecords[[#This Row],[Renewal (months)]]))))</f>
        <v>46886</v>
      </c>
      <c r="J60" s="38">
        <f>IF(tblRecords[[#This Row],[Person]]="","",IF(tblRecords[[#This Row],[Expires]]="","",tblRecords[[#This Row],[Expires]]-AsOf))</f>
        <v>591</v>
      </c>
      <c r="K60" s="39" t="str">
        <f>IF(tblRecords[[#This Row],[Person]]="","",IF(tblRecords[[#This Row],[Expires]]="","OK",IF(tblRecords[[#This Row],[Expires]]&lt;AsOf,"Overdue",IF(tblRecords[[#This Row],[Expires]]-AsOf&lt;=DueSoonDays,"Due soon","OK"))))</f>
        <v>OK</v>
      </c>
      <c r="L60" s="39" t="str">
        <f>IF(tblRecords[[#This Row],[Person]]="","",IF(AND(N(tblRecords[[#This Row],[Level (0-4)]])&gt;=QualLevel,tblRecords[[#This Row],[Renewal status]]&lt;&gt;"Overdue"),"Yes","No"))</f>
        <v>Yes</v>
      </c>
      <c r="M60"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60" s="28" t="s">
        <v>154</v>
      </c>
    </row>
    <row r="61" spans="2:14">
      <c r="B61" s="28" t="s">
        <v>109</v>
      </c>
      <c r="C61" s="28" t="s">
        <v>136</v>
      </c>
      <c r="D61" s="30">
        <v>2</v>
      </c>
      <c r="E61" s="29">
        <v>45670</v>
      </c>
      <c r="F61" s="28" t="s">
        <v>156</v>
      </c>
      <c r="G61" s="35" t="str">
        <f>IF(tblRecords[[#This Row],[Person]]="","",IFERROR(INDEX(tblPeople[Shift],MATCH(tblRecords[[#This Row],[Person]],tblPeople[Person],0)),""))</f>
        <v>Late</v>
      </c>
      <c r="H61" s="36">
        <f>IF(tblRecords[[#This Row],[Person]]="","",IFERROR(INDEX(tblSkills[Renewal (months)],MATCH(tblRecords[[#This Row],[Skill]],tblSkills[Skill],0)),""))</f>
        <v>36</v>
      </c>
      <c r="I61" s="37">
        <f>IF(tblRecords[[#This Row],[Person]]="","",IF(OR(tblRecords[[#This Row],[Renewal (months)]]="",N(tblRecords[[#This Row],[Assessed on]])=0),"",IF(tblRecords[[#This Row],[Renewal (months)]]=0,"",EDATE(tblRecords[[#This Row],[Assessed on]],tblRecords[[#This Row],[Renewal (months)]]))))</f>
        <v>46765</v>
      </c>
      <c r="J61" s="38">
        <f>IF(tblRecords[[#This Row],[Person]]="","",IF(tblRecords[[#This Row],[Expires]]="","",tblRecords[[#This Row],[Expires]]-AsOf))</f>
        <v>470</v>
      </c>
      <c r="K61" s="39" t="str">
        <f>IF(tblRecords[[#This Row],[Person]]="","",IF(tblRecords[[#This Row],[Expires]]="","OK",IF(tblRecords[[#This Row],[Expires]]&lt;AsOf,"Overdue",IF(tblRecords[[#This Row],[Expires]]-AsOf&lt;=DueSoonDays,"Due soon","OK"))))</f>
        <v>OK</v>
      </c>
      <c r="L61" s="39" t="str">
        <f>IF(tblRecords[[#This Row],[Person]]="","",IF(AND(N(tblRecords[[#This Row],[Level (0-4)]])&gt;=QualLevel,tblRecords[[#This Row],[Renewal status]]&lt;&gt;"Overdue"),"Yes","No"))</f>
        <v>No</v>
      </c>
      <c r="M61"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61" s="28" t="s">
        <v>154</v>
      </c>
    </row>
    <row r="62" spans="2:14">
      <c r="B62" s="28" t="s">
        <v>109</v>
      </c>
      <c r="C62" s="28" t="s">
        <v>142</v>
      </c>
      <c r="D62" s="30">
        <v>2</v>
      </c>
      <c r="E62" s="29">
        <v>46090</v>
      </c>
      <c r="F62" s="28" t="s">
        <v>106</v>
      </c>
      <c r="G62" s="35" t="str">
        <f>IF(tblRecords[[#This Row],[Person]]="","",IFERROR(INDEX(tblPeople[Shift],MATCH(tblRecords[[#This Row],[Person]],tblPeople[Person],0)),""))</f>
        <v>Late</v>
      </c>
      <c r="H62" s="36">
        <f>IF(tblRecords[[#This Row],[Person]]="","",IFERROR(INDEX(tblSkills[Renewal (months)],MATCH(tblRecords[[#This Row],[Skill]],tblSkills[Skill],0)),""))</f>
        <v>12</v>
      </c>
      <c r="I62" s="37">
        <f>IF(tblRecords[[#This Row],[Person]]="","",IF(OR(tblRecords[[#This Row],[Renewal (months)]]="",N(tblRecords[[#This Row],[Assessed on]])=0),"",IF(tblRecords[[#This Row],[Renewal (months)]]=0,"",EDATE(tblRecords[[#This Row],[Assessed on]],tblRecords[[#This Row],[Renewal (months)]]))))</f>
        <v>46455</v>
      </c>
      <c r="J62" s="38">
        <f>IF(tblRecords[[#This Row],[Person]]="","",IF(tblRecords[[#This Row],[Expires]]="","",tblRecords[[#This Row],[Expires]]-AsOf))</f>
        <v>160</v>
      </c>
      <c r="K62" s="39" t="str">
        <f>IF(tblRecords[[#This Row],[Person]]="","",IF(tblRecords[[#This Row],[Expires]]="","OK",IF(tblRecords[[#This Row],[Expires]]&lt;AsOf,"Overdue",IF(tblRecords[[#This Row],[Expires]]-AsOf&lt;=DueSoonDays,"Due soon","OK"))))</f>
        <v>OK</v>
      </c>
      <c r="L62" s="39" t="str">
        <f>IF(tblRecords[[#This Row],[Person]]="","",IF(AND(N(tblRecords[[#This Row],[Level (0-4)]])&gt;=QualLevel,tblRecords[[#This Row],[Renewal status]]&lt;&gt;"Overdue"),"Yes","No"))</f>
        <v>No</v>
      </c>
      <c r="M62"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62" s="28" t="s">
        <v>154</v>
      </c>
    </row>
    <row r="63" spans="2:14">
      <c r="B63" s="28" t="s">
        <v>110</v>
      </c>
      <c r="C63" s="28" t="s">
        <v>119</v>
      </c>
      <c r="D63" s="30">
        <v>2</v>
      </c>
      <c r="E63" s="29">
        <v>46208</v>
      </c>
      <c r="F63" s="28" t="s">
        <v>106</v>
      </c>
      <c r="G63" s="35" t="str">
        <f>IF(tblRecords[[#This Row],[Person]]="","",IFERROR(INDEX(tblPeople[Shift],MATCH(tblRecords[[#This Row],[Person]],tblPeople[Person],0)),""))</f>
        <v>Late</v>
      </c>
      <c r="H63" s="36">
        <f>IF(tblRecords[[#This Row],[Person]]="","",IFERROR(INDEX(tblSkills[Renewal (months)],MATCH(tblRecords[[#This Row],[Skill]],tblSkills[Skill],0)),""))</f>
        <v>0</v>
      </c>
      <c r="I63" s="37">
        <f>IF(tblRecords[[#This Row],[Person]]="","",IF(OR(tblRecords[[#This Row],[Renewal (months)]]="",N(tblRecords[[#This Row],[Assessed on]])=0),"",IF(tblRecords[[#This Row],[Renewal (months)]]=0,"",EDATE(tblRecords[[#This Row],[Assessed on]],tblRecords[[#This Row],[Renewal (months)]]))))</f>
        <v/>
      </c>
      <c r="J63" s="38">
        <f>IF(tblRecords[[#This Row],[Person]]="","",IF(tblRecords[[#This Row],[Expires]]="","",tblRecords[[#This Row],[Expires]]-AsOf))</f>
        <v/>
      </c>
      <c r="K63" s="39" t="str">
        <f>IF(tblRecords[[#This Row],[Person]]="","",IF(tblRecords[[#This Row],[Expires]]="","OK",IF(tblRecords[[#This Row],[Expires]]&lt;AsOf,"Overdue",IF(tblRecords[[#This Row],[Expires]]-AsOf&lt;=DueSoonDays,"Due soon","OK"))))</f>
        <v>OK</v>
      </c>
      <c r="L63" s="39" t="str">
        <f>IF(tblRecords[[#This Row],[Person]]="","",IF(AND(N(tblRecords[[#This Row],[Level (0-4)]])&gt;=QualLevel,tblRecords[[#This Row],[Renewal status]]&lt;&gt;"Overdue"),"Yes","No"))</f>
        <v>No</v>
      </c>
      <c r="M63"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63" s="28" t="s">
        <v>158</v>
      </c>
    </row>
    <row r="64" spans="2:14">
      <c r="B64" s="28" t="s">
        <v>110</v>
      </c>
      <c r="C64" s="28" t="s">
        <v>122</v>
      </c>
      <c r="D64" s="30">
        <v>1</v>
      </c>
      <c r="E64" s="29">
        <v>46096</v>
      </c>
      <c r="F64" s="28" t="s">
        <v>106</v>
      </c>
      <c r="G64" s="35" t="str">
        <f>IF(tblRecords[[#This Row],[Person]]="","",IFERROR(INDEX(tblPeople[Shift],MATCH(tblRecords[[#This Row],[Person]],tblPeople[Person],0)),""))</f>
        <v>Late</v>
      </c>
      <c r="H64" s="36">
        <f>IF(tblRecords[[#This Row],[Person]]="","",IFERROR(INDEX(tblSkills[Renewal (months)],MATCH(tblRecords[[#This Row],[Skill]],tblSkills[Skill],0)),""))</f>
        <v>0</v>
      </c>
      <c r="I64" s="37">
        <f>IF(tblRecords[[#This Row],[Person]]="","",IF(OR(tblRecords[[#This Row],[Renewal (months)]]="",N(tblRecords[[#This Row],[Assessed on]])=0),"",IF(tblRecords[[#This Row],[Renewal (months)]]=0,"",EDATE(tblRecords[[#This Row],[Assessed on]],tblRecords[[#This Row],[Renewal (months)]]))))</f>
        <v/>
      </c>
      <c r="J64" s="38">
        <f>IF(tblRecords[[#This Row],[Person]]="","",IF(tblRecords[[#This Row],[Expires]]="","",tblRecords[[#This Row],[Expires]]-AsOf))</f>
        <v/>
      </c>
      <c r="K64" s="39" t="str">
        <f>IF(tblRecords[[#This Row],[Person]]="","",IF(tblRecords[[#This Row],[Expires]]="","OK",IF(tblRecords[[#This Row],[Expires]]&lt;AsOf,"Overdue",IF(tblRecords[[#This Row],[Expires]]-AsOf&lt;=DueSoonDays,"Due soon","OK"))))</f>
        <v>OK</v>
      </c>
      <c r="L64" s="39" t="str">
        <f>IF(tblRecords[[#This Row],[Person]]="","",IF(AND(N(tblRecords[[#This Row],[Level (0-4)]])&gt;=QualLevel,tblRecords[[#This Row],[Renewal status]]&lt;&gt;"Overdue"),"Yes","No"))</f>
        <v>No</v>
      </c>
      <c r="M64"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64" s="28" t="s">
        <v>154</v>
      </c>
    </row>
    <row r="65" spans="2:14">
      <c r="B65" s="28" t="s">
        <v>110</v>
      </c>
      <c r="C65" s="28" t="s">
        <v>129</v>
      </c>
      <c r="D65" s="30">
        <v>3</v>
      </c>
      <c r="E65" s="29">
        <v>46030</v>
      </c>
      <c r="F65" s="28" t="s">
        <v>106</v>
      </c>
      <c r="G65" s="35" t="str">
        <f>IF(tblRecords[[#This Row],[Person]]="","",IFERROR(INDEX(tblPeople[Shift],MATCH(tblRecords[[#This Row],[Person]],tblPeople[Person],0)),""))</f>
        <v>Late</v>
      </c>
      <c r="H65" s="36">
        <f>IF(tblRecords[[#This Row],[Person]]="","",IFERROR(INDEX(tblSkills[Renewal (months)],MATCH(tblRecords[[#This Row],[Skill]],tblSkills[Skill],0)),""))</f>
        <v>0</v>
      </c>
      <c r="I65" s="37">
        <f>IF(tblRecords[[#This Row],[Person]]="","",IF(OR(tblRecords[[#This Row],[Renewal (months)]]="",N(tblRecords[[#This Row],[Assessed on]])=0),"",IF(tblRecords[[#This Row],[Renewal (months)]]=0,"",EDATE(tblRecords[[#This Row],[Assessed on]],tblRecords[[#This Row],[Renewal (months)]]))))</f>
        <v/>
      </c>
      <c r="J65" s="38">
        <f>IF(tblRecords[[#This Row],[Person]]="","",IF(tblRecords[[#This Row],[Expires]]="","",tblRecords[[#This Row],[Expires]]-AsOf))</f>
        <v/>
      </c>
      <c r="K65" s="39" t="str">
        <f>IF(tblRecords[[#This Row],[Person]]="","",IF(tblRecords[[#This Row],[Expires]]="","OK",IF(tblRecords[[#This Row],[Expires]]&lt;AsOf,"Overdue",IF(tblRecords[[#This Row],[Expires]]-AsOf&lt;=DueSoonDays,"Due soon","OK"))))</f>
        <v>OK</v>
      </c>
      <c r="L65" s="39" t="str">
        <f>IF(tblRecords[[#This Row],[Person]]="","",IF(AND(N(tblRecords[[#This Row],[Level (0-4)]])&gt;=QualLevel,tblRecords[[#This Row],[Renewal status]]&lt;&gt;"Overdue"),"Yes","No"))</f>
        <v>Yes</v>
      </c>
      <c r="M65"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65" s="28" t="s">
        <v>154</v>
      </c>
    </row>
    <row r="66" spans="2:14">
      <c r="B66" s="28" t="s">
        <v>110</v>
      </c>
      <c r="C66" s="28" t="s">
        <v>142</v>
      </c>
      <c r="D66" s="30">
        <v>1</v>
      </c>
      <c r="E66" s="29">
        <v>46058</v>
      </c>
      <c r="F66" s="28" t="s">
        <v>106</v>
      </c>
      <c r="G66" s="35" t="str">
        <f>IF(tblRecords[[#This Row],[Person]]="","",IFERROR(INDEX(tblPeople[Shift],MATCH(tblRecords[[#This Row],[Person]],tblPeople[Person],0)),""))</f>
        <v>Late</v>
      </c>
      <c r="H66" s="36">
        <f>IF(tblRecords[[#This Row],[Person]]="","",IFERROR(INDEX(tblSkills[Renewal (months)],MATCH(tblRecords[[#This Row],[Skill]],tblSkills[Skill],0)),""))</f>
        <v>12</v>
      </c>
      <c r="I66" s="37">
        <f>IF(tblRecords[[#This Row],[Person]]="","",IF(OR(tblRecords[[#This Row],[Renewal (months)]]="",N(tblRecords[[#This Row],[Assessed on]])=0),"",IF(tblRecords[[#This Row],[Renewal (months)]]=0,"",EDATE(tblRecords[[#This Row],[Assessed on]],tblRecords[[#This Row],[Renewal (months)]]))))</f>
        <v>46423</v>
      </c>
      <c r="J66" s="38">
        <f>IF(tblRecords[[#This Row],[Person]]="","",IF(tblRecords[[#This Row],[Expires]]="","",tblRecords[[#This Row],[Expires]]-AsOf))</f>
        <v>128</v>
      </c>
      <c r="K66" s="39" t="str">
        <f>IF(tblRecords[[#This Row],[Person]]="","",IF(tblRecords[[#This Row],[Expires]]="","OK",IF(tblRecords[[#This Row],[Expires]]&lt;AsOf,"Overdue",IF(tblRecords[[#This Row],[Expires]]-AsOf&lt;=DueSoonDays,"Due soon","OK"))))</f>
        <v>OK</v>
      </c>
      <c r="L66" s="39" t="str">
        <f>IF(tblRecords[[#This Row],[Person]]="","",IF(AND(N(tblRecords[[#This Row],[Level (0-4)]])&gt;=QualLevel,tblRecords[[#This Row],[Renewal status]]&lt;&gt;"Overdue"),"Yes","No"))</f>
        <v>No</v>
      </c>
      <c r="M66"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66" s="28" t="s">
        <v>154</v>
      </c>
    </row>
    <row r="67" spans="2:14">
      <c r="B67" s="28" t="s">
        <v>112</v>
      </c>
      <c r="C67" s="28" t="s">
        <v>119</v>
      </c>
      <c r="D67" s="30">
        <v>3</v>
      </c>
      <c r="E67" s="29">
        <v>45664</v>
      </c>
      <c r="F67" s="28" t="s">
        <v>153</v>
      </c>
      <c r="G67" s="35" t="str">
        <f>IF(tblRecords[[#This Row],[Person]]="","",IFERROR(INDEX(tblPeople[Shift],MATCH(tblRecords[[#This Row],[Person]],tblPeople[Person],0)),""))</f>
        <v>Night</v>
      </c>
      <c r="H67" s="36">
        <f>IF(tblRecords[[#This Row],[Person]]="","",IFERROR(INDEX(tblSkills[Renewal (months)],MATCH(tblRecords[[#This Row],[Skill]],tblSkills[Skill],0)),""))</f>
        <v>0</v>
      </c>
      <c r="I67" s="37">
        <f>IF(tblRecords[[#This Row],[Person]]="","",IF(OR(tblRecords[[#This Row],[Renewal (months)]]="",N(tblRecords[[#This Row],[Assessed on]])=0),"",IF(tblRecords[[#This Row],[Renewal (months)]]=0,"",EDATE(tblRecords[[#This Row],[Assessed on]],tblRecords[[#This Row],[Renewal (months)]]))))</f>
        <v/>
      </c>
      <c r="J67" s="38">
        <f>IF(tblRecords[[#This Row],[Person]]="","",IF(tblRecords[[#This Row],[Expires]]="","",tblRecords[[#This Row],[Expires]]-AsOf))</f>
        <v/>
      </c>
      <c r="K67" s="39" t="str">
        <f>IF(tblRecords[[#This Row],[Person]]="","",IF(tblRecords[[#This Row],[Expires]]="","OK",IF(tblRecords[[#This Row],[Expires]]&lt;AsOf,"Overdue",IF(tblRecords[[#This Row],[Expires]]-AsOf&lt;=DueSoonDays,"Due soon","OK"))))</f>
        <v>OK</v>
      </c>
      <c r="L67" s="39" t="str">
        <f>IF(tblRecords[[#This Row],[Person]]="","",IF(AND(N(tblRecords[[#This Row],[Level (0-4)]])&gt;=QualLevel,tblRecords[[#This Row],[Renewal status]]&lt;&gt;"Overdue"),"Yes","No"))</f>
        <v>Yes</v>
      </c>
      <c r="M67"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67" s="28" t="s">
        <v>154</v>
      </c>
    </row>
    <row r="68" spans="2:14">
      <c r="B68" s="28" t="s">
        <v>112</v>
      </c>
      <c r="C68" s="28" t="s">
        <v>122</v>
      </c>
      <c r="D68" s="30">
        <v>3</v>
      </c>
      <c r="E68" s="29">
        <v>45353</v>
      </c>
      <c r="F68" s="28" t="s">
        <v>153</v>
      </c>
      <c r="G68" s="35" t="str">
        <f>IF(tblRecords[[#This Row],[Person]]="","",IFERROR(INDEX(tblPeople[Shift],MATCH(tblRecords[[#This Row],[Person]],tblPeople[Person],0)),""))</f>
        <v>Night</v>
      </c>
      <c r="H68" s="36">
        <f>IF(tblRecords[[#This Row],[Person]]="","",IFERROR(INDEX(tblSkills[Renewal (months)],MATCH(tblRecords[[#This Row],[Skill]],tblSkills[Skill],0)),""))</f>
        <v>0</v>
      </c>
      <c r="I68" s="37">
        <f>IF(tblRecords[[#This Row],[Person]]="","",IF(OR(tblRecords[[#This Row],[Renewal (months)]]="",N(tblRecords[[#This Row],[Assessed on]])=0),"",IF(tblRecords[[#This Row],[Renewal (months)]]=0,"",EDATE(tblRecords[[#This Row],[Assessed on]],tblRecords[[#This Row],[Renewal (months)]]))))</f>
        <v/>
      </c>
      <c r="J68" s="38">
        <f>IF(tblRecords[[#This Row],[Person]]="","",IF(tblRecords[[#This Row],[Expires]]="","",tblRecords[[#This Row],[Expires]]-AsOf))</f>
        <v/>
      </c>
      <c r="K68" s="39" t="str">
        <f>IF(tblRecords[[#This Row],[Person]]="","",IF(tblRecords[[#This Row],[Expires]]="","OK",IF(tblRecords[[#This Row],[Expires]]&lt;AsOf,"Overdue",IF(tblRecords[[#This Row],[Expires]]-AsOf&lt;=DueSoonDays,"Due soon","OK"))))</f>
        <v>OK</v>
      </c>
      <c r="L68" s="39" t="str">
        <f>IF(tblRecords[[#This Row],[Person]]="","",IF(AND(N(tblRecords[[#This Row],[Level (0-4)]])&gt;=QualLevel,tblRecords[[#This Row],[Renewal status]]&lt;&gt;"Overdue"),"Yes","No"))</f>
        <v>Yes</v>
      </c>
      <c r="M68"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68" s="28" t="s">
        <v>154</v>
      </c>
    </row>
    <row r="69" spans="2:14">
      <c r="B69" s="28" t="s">
        <v>112</v>
      </c>
      <c r="C69" s="28" t="s">
        <v>124</v>
      </c>
      <c r="D69" s="30">
        <v>3</v>
      </c>
      <c r="E69" s="29">
        <v>45514</v>
      </c>
      <c r="F69" s="28" t="s">
        <v>153</v>
      </c>
      <c r="G69" s="35" t="str">
        <f>IF(tblRecords[[#This Row],[Person]]="","",IFERROR(INDEX(tblPeople[Shift],MATCH(tblRecords[[#This Row],[Person]],tblPeople[Person],0)),""))</f>
        <v>Night</v>
      </c>
      <c r="H69" s="36">
        <f>IF(tblRecords[[#This Row],[Person]]="","",IFERROR(INDEX(tblSkills[Renewal (months)],MATCH(tblRecords[[#This Row],[Skill]],tblSkills[Skill],0)),""))</f>
        <v>0</v>
      </c>
      <c r="I69" s="37">
        <f>IF(tblRecords[[#This Row],[Person]]="","",IF(OR(tblRecords[[#This Row],[Renewal (months)]]="",N(tblRecords[[#This Row],[Assessed on]])=0),"",IF(tblRecords[[#This Row],[Renewal (months)]]=0,"",EDATE(tblRecords[[#This Row],[Assessed on]],tblRecords[[#This Row],[Renewal (months)]]))))</f>
        <v/>
      </c>
      <c r="J69" s="38">
        <f>IF(tblRecords[[#This Row],[Person]]="","",IF(tblRecords[[#This Row],[Expires]]="","",tblRecords[[#This Row],[Expires]]-AsOf))</f>
        <v/>
      </c>
      <c r="K69" s="39" t="str">
        <f>IF(tblRecords[[#This Row],[Person]]="","",IF(tblRecords[[#This Row],[Expires]]="","OK",IF(tblRecords[[#This Row],[Expires]]&lt;AsOf,"Overdue",IF(tblRecords[[#This Row],[Expires]]-AsOf&lt;=DueSoonDays,"Due soon","OK"))))</f>
        <v>OK</v>
      </c>
      <c r="L69" s="39" t="str">
        <f>IF(tblRecords[[#This Row],[Person]]="","",IF(AND(N(tblRecords[[#This Row],[Level (0-4)]])&gt;=QualLevel,tblRecords[[#This Row],[Renewal status]]&lt;&gt;"Overdue"),"Yes","No"))</f>
        <v>Yes</v>
      </c>
      <c r="M69"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69" s="28" t="s">
        <v>154</v>
      </c>
    </row>
    <row r="70" spans="2:14">
      <c r="B70" s="28" t="s">
        <v>112</v>
      </c>
      <c r="C70" s="28" t="s">
        <v>126</v>
      </c>
      <c r="D70" s="30">
        <v>2</v>
      </c>
      <c r="E70" s="29">
        <v>46188</v>
      </c>
      <c r="F70" s="28" t="s">
        <v>155</v>
      </c>
      <c r="G70" s="35" t="str">
        <f>IF(tblRecords[[#This Row],[Person]]="","",IFERROR(INDEX(tblPeople[Shift],MATCH(tblRecords[[#This Row],[Person]],tblPeople[Person],0)),""))</f>
        <v>Night</v>
      </c>
      <c r="H70" s="36">
        <f>IF(tblRecords[[#This Row],[Person]]="","",IFERROR(INDEX(tblSkills[Renewal (months)],MATCH(tblRecords[[#This Row],[Skill]],tblSkills[Skill],0)),""))</f>
        <v>0</v>
      </c>
      <c r="I70" s="37">
        <f>IF(tblRecords[[#This Row],[Person]]="","",IF(OR(tblRecords[[#This Row],[Renewal (months)]]="",N(tblRecords[[#This Row],[Assessed on]])=0),"",IF(tblRecords[[#This Row],[Renewal (months)]]=0,"",EDATE(tblRecords[[#This Row],[Assessed on]],tblRecords[[#This Row],[Renewal (months)]]))))</f>
        <v/>
      </c>
      <c r="J70" s="38">
        <f>IF(tblRecords[[#This Row],[Person]]="","",IF(tblRecords[[#This Row],[Expires]]="","",tblRecords[[#This Row],[Expires]]-AsOf))</f>
        <v/>
      </c>
      <c r="K70" s="39" t="str">
        <f>IF(tblRecords[[#This Row],[Person]]="","",IF(tblRecords[[#This Row],[Expires]]="","OK",IF(tblRecords[[#This Row],[Expires]]&lt;AsOf,"Overdue",IF(tblRecords[[#This Row],[Expires]]-AsOf&lt;=DueSoonDays,"Due soon","OK"))))</f>
        <v>OK</v>
      </c>
      <c r="L70" s="39" t="str">
        <f>IF(tblRecords[[#This Row],[Person]]="","",IF(AND(N(tblRecords[[#This Row],[Level (0-4)]])&gt;=QualLevel,tblRecords[[#This Row],[Renewal status]]&lt;&gt;"Overdue"),"Yes","No"))</f>
        <v>No</v>
      </c>
      <c r="M70"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70" s="28" t="s">
        <v>154</v>
      </c>
    </row>
    <row r="71" spans="2:14">
      <c r="B71" s="28" t="s">
        <v>112</v>
      </c>
      <c r="C71" s="28" t="s">
        <v>129</v>
      </c>
      <c r="D71" s="30">
        <v>3</v>
      </c>
      <c r="E71" s="29">
        <v>45674</v>
      </c>
      <c r="F71" s="28" t="s">
        <v>153</v>
      </c>
      <c r="G71" s="35" t="str">
        <f>IF(tblRecords[[#This Row],[Person]]="","",IFERROR(INDEX(tblPeople[Shift],MATCH(tblRecords[[#This Row],[Person]],tblPeople[Person],0)),""))</f>
        <v>Night</v>
      </c>
      <c r="H71" s="36">
        <f>IF(tblRecords[[#This Row],[Person]]="","",IFERROR(INDEX(tblSkills[Renewal (months)],MATCH(tblRecords[[#This Row],[Skill]],tblSkills[Skill],0)),""))</f>
        <v>0</v>
      </c>
      <c r="I71" s="37">
        <f>IF(tblRecords[[#This Row],[Person]]="","",IF(OR(tblRecords[[#This Row],[Renewal (months)]]="",N(tblRecords[[#This Row],[Assessed on]])=0),"",IF(tblRecords[[#This Row],[Renewal (months)]]=0,"",EDATE(tblRecords[[#This Row],[Assessed on]],tblRecords[[#This Row],[Renewal (months)]]))))</f>
        <v/>
      </c>
      <c r="J71" s="38">
        <f>IF(tblRecords[[#This Row],[Person]]="","",IF(tblRecords[[#This Row],[Expires]]="","",tblRecords[[#This Row],[Expires]]-AsOf))</f>
        <v/>
      </c>
      <c r="K71" s="39" t="str">
        <f>IF(tblRecords[[#This Row],[Person]]="","",IF(tblRecords[[#This Row],[Expires]]="","OK",IF(tblRecords[[#This Row],[Expires]]&lt;AsOf,"Overdue",IF(tblRecords[[#This Row],[Expires]]-AsOf&lt;=DueSoonDays,"Due soon","OK"))))</f>
        <v>OK</v>
      </c>
      <c r="L71" s="39" t="str">
        <f>IF(tblRecords[[#This Row],[Person]]="","",IF(AND(N(tblRecords[[#This Row],[Level (0-4)]])&gt;=QualLevel,tblRecords[[#This Row],[Renewal status]]&lt;&gt;"Overdue"),"Yes","No"))</f>
        <v>Yes</v>
      </c>
      <c r="M71"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71" s="28" t="s">
        <v>154</v>
      </c>
    </row>
    <row r="72" spans="2:14">
      <c r="B72" s="28" t="s">
        <v>112</v>
      </c>
      <c r="C72" s="28" t="s">
        <v>132</v>
      </c>
      <c r="D72" s="30">
        <v>2</v>
      </c>
      <c r="E72" s="29">
        <v>46258</v>
      </c>
      <c r="F72" s="28" t="s">
        <v>153</v>
      </c>
      <c r="G72" s="35" t="str">
        <f>IF(tblRecords[[#This Row],[Person]]="","",IFERROR(INDEX(tblPeople[Shift],MATCH(tblRecords[[#This Row],[Person]],tblPeople[Person],0)),""))</f>
        <v>Night</v>
      </c>
      <c r="H72" s="36">
        <f>IF(tblRecords[[#This Row],[Person]]="","",IFERROR(INDEX(tblSkills[Renewal (months)],MATCH(tblRecords[[#This Row],[Skill]],tblSkills[Skill],0)),""))</f>
        <v>0</v>
      </c>
      <c r="I72" s="37">
        <f>IF(tblRecords[[#This Row],[Person]]="","",IF(OR(tblRecords[[#This Row],[Renewal (months)]]="",N(tblRecords[[#This Row],[Assessed on]])=0),"",IF(tblRecords[[#This Row],[Renewal (months)]]=0,"",EDATE(tblRecords[[#This Row],[Assessed on]],tblRecords[[#This Row],[Renewal (months)]]))))</f>
        <v/>
      </c>
      <c r="J72" s="38">
        <f>IF(tblRecords[[#This Row],[Person]]="","",IF(tblRecords[[#This Row],[Expires]]="","",tblRecords[[#This Row],[Expires]]-AsOf))</f>
        <v/>
      </c>
      <c r="K72" s="39" t="str">
        <f>IF(tblRecords[[#This Row],[Person]]="","",IF(tblRecords[[#This Row],[Expires]]="","OK",IF(tblRecords[[#This Row],[Expires]]&lt;AsOf,"Overdue",IF(tblRecords[[#This Row],[Expires]]-AsOf&lt;=DueSoonDays,"Due soon","OK"))))</f>
        <v>OK</v>
      </c>
      <c r="L72" s="39" t="str">
        <f>IF(tblRecords[[#This Row],[Person]]="","",IF(AND(N(tblRecords[[#This Row],[Level (0-4)]])&gt;=QualLevel,tblRecords[[#This Row],[Renewal status]]&lt;&gt;"Overdue"),"Yes","No"))</f>
        <v>No</v>
      </c>
      <c r="M72"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72" s="28" t="s">
        <v>154</v>
      </c>
    </row>
    <row r="73" spans="2:14">
      <c r="B73" s="28" t="s">
        <v>112</v>
      </c>
      <c r="C73" s="28" t="s">
        <v>136</v>
      </c>
      <c r="D73" s="30">
        <v>3</v>
      </c>
      <c r="E73" s="29">
        <v>45152</v>
      </c>
      <c r="F73" s="28" t="s">
        <v>156</v>
      </c>
      <c r="G73" s="35" t="str">
        <f>IF(tblRecords[[#This Row],[Person]]="","",IFERROR(INDEX(tblPeople[Shift],MATCH(tblRecords[[#This Row],[Person]],tblPeople[Person],0)),""))</f>
        <v>Night</v>
      </c>
      <c r="H73" s="36">
        <f>IF(tblRecords[[#This Row],[Person]]="","",IFERROR(INDEX(tblSkills[Renewal (months)],MATCH(tblRecords[[#This Row],[Skill]],tblSkills[Skill],0)),""))</f>
        <v>36</v>
      </c>
      <c r="I73" s="37">
        <f>IF(tblRecords[[#This Row],[Person]]="","",IF(OR(tblRecords[[#This Row],[Renewal (months)]]="",N(tblRecords[[#This Row],[Assessed on]])=0),"",IF(tblRecords[[#This Row],[Renewal (months)]]=0,"",EDATE(tblRecords[[#This Row],[Assessed on]],tblRecords[[#This Row],[Renewal (months)]]))))</f>
        <v>46248</v>
      </c>
      <c r="J73" s="38">
        <f>IF(tblRecords[[#This Row],[Person]]="","",IF(tblRecords[[#This Row],[Expires]]="","",tblRecords[[#This Row],[Expires]]-AsOf))</f>
        <v>-47</v>
      </c>
      <c r="K73" s="39" t="str">
        <f>IF(tblRecords[[#This Row],[Person]]="","",IF(tblRecords[[#This Row],[Expires]]="","OK",IF(tblRecords[[#This Row],[Expires]]&lt;AsOf,"Overdue",IF(tblRecords[[#This Row],[Expires]]-AsOf&lt;=DueSoonDays,"Due soon","OK"))))</f>
        <v>Overdue</v>
      </c>
      <c r="L73" s="39" t="str">
        <f>IF(tblRecords[[#This Row],[Person]]="","",IF(AND(N(tblRecords[[#This Row],[Level (0-4)]])&gt;=QualLevel,tblRecords[[#This Row],[Renewal status]]&lt;&gt;"Overdue"),"Yes","No"))</f>
        <v>No</v>
      </c>
      <c r="M73"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73" s="28" t="s">
        <v>159</v>
      </c>
    </row>
    <row r="74" spans="2:14">
      <c r="B74" s="28" t="s">
        <v>112</v>
      </c>
      <c r="C74" s="28" t="s">
        <v>139</v>
      </c>
      <c r="D74" s="30">
        <v>3</v>
      </c>
      <c r="E74" s="29">
        <v>46036</v>
      </c>
      <c r="F74" s="28" t="s">
        <v>156</v>
      </c>
      <c r="G74" s="35" t="str">
        <f>IF(tblRecords[[#This Row],[Person]]="","",IFERROR(INDEX(tblPeople[Shift],MATCH(tblRecords[[#This Row],[Person]],tblPeople[Person],0)),""))</f>
        <v>Night</v>
      </c>
      <c r="H74" s="36">
        <f>IF(tblRecords[[#This Row],[Person]]="","",IFERROR(INDEX(tblSkills[Renewal (months)],MATCH(tblRecords[[#This Row],[Skill]],tblSkills[Skill],0)),""))</f>
        <v>36</v>
      </c>
      <c r="I74" s="37">
        <f>IF(tblRecords[[#This Row],[Person]]="","",IF(OR(tblRecords[[#This Row],[Renewal (months)]]="",N(tblRecords[[#This Row],[Assessed on]])=0),"",IF(tblRecords[[#This Row],[Renewal (months)]]=0,"",EDATE(tblRecords[[#This Row],[Assessed on]],tblRecords[[#This Row],[Renewal (months)]]))))</f>
        <v>47132</v>
      </c>
      <c r="J74" s="38">
        <f>IF(tblRecords[[#This Row],[Person]]="","",IF(tblRecords[[#This Row],[Expires]]="","",tblRecords[[#This Row],[Expires]]-AsOf))</f>
        <v>837</v>
      </c>
      <c r="K74" s="39" t="str">
        <f>IF(tblRecords[[#This Row],[Person]]="","",IF(tblRecords[[#This Row],[Expires]]="","OK",IF(tblRecords[[#This Row],[Expires]]&lt;AsOf,"Overdue",IF(tblRecords[[#This Row],[Expires]]-AsOf&lt;=DueSoonDays,"Due soon","OK"))))</f>
        <v>OK</v>
      </c>
      <c r="L74" s="39" t="str">
        <f>IF(tblRecords[[#This Row],[Person]]="","",IF(AND(N(tblRecords[[#This Row],[Level (0-4)]])&gt;=QualLevel,tblRecords[[#This Row],[Renewal status]]&lt;&gt;"Overdue"),"Yes","No"))</f>
        <v>Yes</v>
      </c>
      <c r="M74"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74" s="28" t="s">
        <v>154</v>
      </c>
    </row>
    <row r="75" spans="2:14">
      <c r="B75" s="28" t="s">
        <v>112</v>
      </c>
      <c r="C75" s="28" t="s">
        <v>142</v>
      </c>
      <c r="D75" s="30">
        <v>4</v>
      </c>
      <c r="E75" s="29">
        <v>46040</v>
      </c>
      <c r="F75" s="28" t="s">
        <v>153</v>
      </c>
      <c r="G75" s="35" t="str">
        <f>IF(tblRecords[[#This Row],[Person]]="","",IFERROR(INDEX(tblPeople[Shift],MATCH(tblRecords[[#This Row],[Person]],tblPeople[Person],0)),""))</f>
        <v>Night</v>
      </c>
      <c r="H75" s="36">
        <f>IF(tblRecords[[#This Row],[Person]]="","",IFERROR(INDEX(tblSkills[Renewal (months)],MATCH(tblRecords[[#This Row],[Skill]],tblSkills[Skill],0)),""))</f>
        <v>12</v>
      </c>
      <c r="I75" s="37">
        <f>IF(tblRecords[[#This Row],[Person]]="","",IF(OR(tblRecords[[#This Row],[Renewal (months)]]="",N(tblRecords[[#This Row],[Assessed on]])=0),"",IF(tblRecords[[#This Row],[Renewal (months)]]=0,"",EDATE(tblRecords[[#This Row],[Assessed on]],tblRecords[[#This Row],[Renewal (months)]]))))</f>
        <v>46405</v>
      </c>
      <c r="J75" s="38">
        <f>IF(tblRecords[[#This Row],[Person]]="","",IF(tblRecords[[#This Row],[Expires]]="","",tblRecords[[#This Row],[Expires]]-AsOf))</f>
        <v>110</v>
      </c>
      <c r="K75" s="39" t="str">
        <f>IF(tblRecords[[#This Row],[Person]]="","",IF(tblRecords[[#This Row],[Expires]]="","OK",IF(tblRecords[[#This Row],[Expires]]&lt;AsOf,"Overdue",IF(tblRecords[[#This Row],[Expires]]-AsOf&lt;=DueSoonDays,"Due soon","OK"))))</f>
        <v>OK</v>
      </c>
      <c r="L75" s="39" t="str">
        <f>IF(tblRecords[[#This Row],[Person]]="","",IF(AND(N(tblRecords[[#This Row],[Level (0-4)]])&gt;=QualLevel,tblRecords[[#This Row],[Renewal status]]&lt;&gt;"Overdue"),"Yes","No"))</f>
        <v>Yes</v>
      </c>
      <c r="M75"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75" s="28" t="s">
        <v>154</v>
      </c>
    </row>
    <row r="76" spans="2:14">
      <c r="B76" s="28" t="s">
        <v>113</v>
      </c>
      <c r="C76" s="28" t="s">
        <v>119</v>
      </c>
      <c r="D76" s="30">
        <v>3</v>
      </c>
      <c r="E76" s="29">
        <v>45539</v>
      </c>
      <c r="F76" s="28" t="s">
        <v>112</v>
      </c>
      <c r="G76" s="35" t="str">
        <f>IF(tblRecords[[#This Row],[Person]]="","",IFERROR(INDEX(tblPeople[Shift],MATCH(tblRecords[[#This Row],[Person]],tblPeople[Person],0)),""))</f>
        <v>Night</v>
      </c>
      <c r="H76" s="36">
        <f>IF(tblRecords[[#This Row],[Person]]="","",IFERROR(INDEX(tblSkills[Renewal (months)],MATCH(tblRecords[[#This Row],[Skill]],tblSkills[Skill],0)),""))</f>
        <v>0</v>
      </c>
      <c r="I76" s="37">
        <f>IF(tblRecords[[#This Row],[Person]]="","",IF(OR(tblRecords[[#This Row],[Renewal (months)]]="",N(tblRecords[[#This Row],[Assessed on]])=0),"",IF(tblRecords[[#This Row],[Renewal (months)]]=0,"",EDATE(tblRecords[[#This Row],[Assessed on]],tblRecords[[#This Row],[Renewal (months)]]))))</f>
        <v/>
      </c>
      <c r="J76" s="38">
        <f>IF(tblRecords[[#This Row],[Person]]="","",IF(tblRecords[[#This Row],[Expires]]="","",tblRecords[[#This Row],[Expires]]-AsOf))</f>
        <v/>
      </c>
      <c r="K76" s="39" t="str">
        <f>IF(tblRecords[[#This Row],[Person]]="","",IF(tblRecords[[#This Row],[Expires]]="","OK",IF(tblRecords[[#This Row],[Expires]]&lt;AsOf,"Overdue",IF(tblRecords[[#This Row],[Expires]]-AsOf&lt;=DueSoonDays,"Due soon","OK"))))</f>
        <v>OK</v>
      </c>
      <c r="L76" s="39" t="str">
        <f>IF(tblRecords[[#This Row],[Person]]="","",IF(AND(N(tblRecords[[#This Row],[Level (0-4)]])&gt;=QualLevel,tblRecords[[#This Row],[Renewal status]]&lt;&gt;"Overdue"),"Yes","No"))</f>
        <v>Yes</v>
      </c>
      <c r="M76"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76" s="28" t="s">
        <v>154</v>
      </c>
    </row>
    <row r="77" spans="2:14">
      <c r="B77" s="28" t="s">
        <v>113</v>
      </c>
      <c r="C77" s="28" t="s">
        <v>122</v>
      </c>
      <c r="D77" s="30">
        <v>3</v>
      </c>
      <c r="E77" s="29">
        <v>45163</v>
      </c>
      <c r="F77" s="28" t="s">
        <v>112</v>
      </c>
      <c r="G77" s="35" t="str">
        <f>IF(tblRecords[[#This Row],[Person]]="","",IFERROR(INDEX(tblPeople[Shift],MATCH(tblRecords[[#This Row],[Person]],tblPeople[Person],0)),""))</f>
        <v>Night</v>
      </c>
      <c r="H77" s="36">
        <f>IF(tblRecords[[#This Row],[Person]]="","",IFERROR(INDEX(tblSkills[Renewal (months)],MATCH(tblRecords[[#This Row],[Skill]],tblSkills[Skill],0)),""))</f>
        <v>0</v>
      </c>
      <c r="I77" s="37">
        <f>IF(tblRecords[[#This Row],[Person]]="","",IF(OR(tblRecords[[#This Row],[Renewal (months)]]="",N(tblRecords[[#This Row],[Assessed on]])=0),"",IF(tblRecords[[#This Row],[Renewal (months)]]=0,"",EDATE(tblRecords[[#This Row],[Assessed on]],tblRecords[[#This Row],[Renewal (months)]]))))</f>
        <v/>
      </c>
      <c r="J77" s="38">
        <f>IF(tblRecords[[#This Row],[Person]]="","",IF(tblRecords[[#This Row],[Expires]]="","",tblRecords[[#This Row],[Expires]]-AsOf))</f>
        <v/>
      </c>
      <c r="K77" s="39" t="str">
        <f>IF(tblRecords[[#This Row],[Person]]="","",IF(tblRecords[[#This Row],[Expires]]="","OK",IF(tblRecords[[#This Row],[Expires]]&lt;AsOf,"Overdue",IF(tblRecords[[#This Row],[Expires]]-AsOf&lt;=DueSoonDays,"Due soon","OK"))))</f>
        <v>OK</v>
      </c>
      <c r="L77" s="39" t="str">
        <f>IF(tblRecords[[#This Row],[Person]]="","",IF(AND(N(tblRecords[[#This Row],[Level (0-4)]])&gt;=QualLevel,tblRecords[[#This Row],[Renewal status]]&lt;&gt;"Overdue"),"Yes","No"))</f>
        <v>Yes</v>
      </c>
      <c r="M77"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77" s="28" t="s">
        <v>154</v>
      </c>
    </row>
    <row r="78" spans="2:14">
      <c r="B78" s="28" t="s">
        <v>113</v>
      </c>
      <c r="C78" s="28" t="s">
        <v>124</v>
      </c>
      <c r="D78" s="30">
        <v>1</v>
      </c>
      <c r="E78" s="29">
        <v>46157</v>
      </c>
      <c r="F78" s="28" t="s">
        <v>112</v>
      </c>
      <c r="G78" s="35" t="str">
        <f>IF(tblRecords[[#This Row],[Person]]="","",IFERROR(INDEX(tblPeople[Shift],MATCH(tblRecords[[#This Row],[Person]],tblPeople[Person],0)),""))</f>
        <v>Night</v>
      </c>
      <c r="H78" s="36">
        <f>IF(tblRecords[[#This Row],[Person]]="","",IFERROR(INDEX(tblSkills[Renewal (months)],MATCH(tblRecords[[#This Row],[Skill]],tblSkills[Skill],0)),""))</f>
        <v>0</v>
      </c>
      <c r="I78" s="37">
        <f>IF(tblRecords[[#This Row],[Person]]="","",IF(OR(tblRecords[[#This Row],[Renewal (months)]]="",N(tblRecords[[#This Row],[Assessed on]])=0),"",IF(tblRecords[[#This Row],[Renewal (months)]]=0,"",EDATE(tblRecords[[#This Row],[Assessed on]],tblRecords[[#This Row],[Renewal (months)]]))))</f>
        <v/>
      </c>
      <c r="J78" s="38">
        <f>IF(tblRecords[[#This Row],[Person]]="","",IF(tblRecords[[#This Row],[Expires]]="","",tblRecords[[#This Row],[Expires]]-AsOf))</f>
        <v/>
      </c>
      <c r="K78" s="39" t="str">
        <f>IF(tblRecords[[#This Row],[Person]]="","",IF(tblRecords[[#This Row],[Expires]]="","OK",IF(tblRecords[[#This Row],[Expires]]&lt;AsOf,"Overdue",IF(tblRecords[[#This Row],[Expires]]-AsOf&lt;=DueSoonDays,"Due soon","OK"))))</f>
        <v>OK</v>
      </c>
      <c r="L78" s="39" t="str">
        <f>IF(tblRecords[[#This Row],[Person]]="","",IF(AND(N(tblRecords[[#This Row],[Level (0-4)]])&gt;=QualLevel,tblRecords[[#This Row],[Renewal status]]&lt;&gt;"Overdue"),"Yes","No"))</f>
        <v>No</v>
      </c>
      <c r="M78"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78" s="28" t="s">
        <v>160</v>
      </c>
    </row>
    <row r="79" spans="2:14">
      <c r="B79" s="28" t="s">
        <v>113</v>
      </c>
      <c r="C79" s="28" t="s">
        <v>129</v>
      </c>
      <c r="D79" s="30">
        <v>3</v>
      </c>
      <c r="E79" s="29">
        <v>45495</v>
      </c>
      <c r="F79" s="28" t="s">
        <v>112</v>
      </c>
      <c r="G79" s="35" t="str">
        <f>IF(tblRecords[[#This Row],[Person]]="","",IFERROR(INDEX(tblPeople[Shift],MATCH(tblRecords[[#This Row],[Person]],tblPeople[Person],0)),""))</f>
        <v>Night</v>
      </c>
      <c r="H79" s="36">
        <f>IF(tblRecords[[#This Row],[Person]]="","",IFERROR(INDEX(tblSkills[Renewal (months)],MATCH(tblRecords[[#This Row],[Skill]],tblSkills[Skill],0)),""))</f>
        <v>0</v>
      </c>
      <c r="I79" s="37">
        <f>IF(tblRecords[[#This Row],[Person]]="","",IF(OR(tblRecords[[#This Row],[Renewal (months)]]="",N(tblRecords[[#This Row],[Assessed on]])=0),"",IF(tblRecords[[#This Row],[Renewal (months)]]=0,"",EDATE(tblRecords[[#This Row],[Assessed on]],tblRecords[[#This Row],[Renewal (months)]]))))</f>
        <v/>
      </c>
      <c r="J79" s="38">
        <f>IF(tblRecords[[#This Row],[Person]]="","",IF(tblRecords[[#This Row],[Expires]]="","",tblRecords[[#This Row],[Expires]]-AsOf))</f>
        <v/>
      </c>
      <c r="K79" s="39" t="str">
        <f>IF(tblRecords[[#This Row],[Person]]="","",IF(tblRecords[[#This Row],[Expires]]="","OK",IF(tblRecords[[#This Row],[Expires]]&lt;AsOf,"Overdue",IF(tblRecords[[#This Row],[Expires]]-AsOf&lt;=DueSoonDays,"Due soon","OK"))))</f>
        <v>OK</v>
      </c>
      <c r="L79" s="39" t="str">
        <f>IF(tblRecords[[#This Row],[Person]]="","",IF(AND(N(tblRecords[[#This Row],[Level (0-4)]])&gt;=QualLevel,tblRecords[[#This Row],[Renewal status]]&lt;&gt;"Overdue"),"Yes","No"))</f>
        <v>Yes</v>
      </c>
      <c r="M79"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79" s="28" t="s">
        <v>154</v>
      </c>
    </row>
    <row r="80" spans="2:14">
      <c r="B80" s="28" t="s">
        <v>113</v>
      </c>
      <c r="C80" s="28" t="s">
        <v>142</v>
      </c>
      <c r="D80" s="30">
        <v>3</v>
      </c>
      <c r="E80" s="29">
        <v>46062</v>
      </c>
      <c r="F80" s="28" t="s">
        <v>112</v>
      </c>
      <c r="G80" s="35" t="str">
        <f>IF(tblRecords[[#This Row],[Person]]="","",IFERROR(INDEX(tblPeople[Shift],MATCH(tblRecords[[#This Row],[Person]],tblPeople[Person],0)),""))</f>
        <v>Night</v>
      </c>
      <c r="H80" s="36">
        <f>IF(tblRecords[[#This Row],[Person]]="","",IFERROR(INDEX(tblSkills[Renewal (months)],MATCH(tblRecords[[#This Row],[Skill]],tblSkills[Skill],0)),""))</f>
        <v>12</v>
      </c>
      <c r="I80" s="37">
        <f>IF(tblRecords[[#This Row],[Person]]="","",IF(OR(tblRecords[[#This Row],[Renewal (months)]]="",N(tblRecords[[#This Row],[Assessed on]])=0),"",IF(tblRecords[[#This Row],[Renewal (months)]]=0,"",EDATE(tblRecords[[#This Row],[Assessed on]],tblRecords[[#This Row],[Renewal (months)]]))))</f>
        <v>46427</v>
      </c>
      <c r="J80" s="38">
        <f>IF(tblRecords[[#This Row],[Person]]="","",IF(tblRecords[[#This Row],[Expires]]="","",tblRecords[[#This Row],[Expires]]-AsOf))</f>
        <v>132</v>
      </c>
      <c r="K80" s="39" t="str">
        <f>IF(tblRecords[[#This Row],[Person]]="","",IF(tblRecords[[#This Row],[Expires]]="","OK",IF(tblRecords[[#This Row],[Expires]]&lt;AsOf,"Overdue",IF(tblRecords[[#This Row],[Expires]]-AsOf&lt;=DueSoonDays,"Due soon","OK"))))</f>
        <v>OK</v>
      </c>
      <c r="L80" s="39" t="str">
        <f>IF(tblRecords[[#This Row],[Person]]="","",IF(AND(N(tblRecords[[#This Row],[Level (0-4)]])&gt;=QualLevel,tblRecords[[#This Row],[Renewal status]]&lt;&gt;"Overdue"),"Yes","No"))</f>
        <v>Yes</v>
      </c>
      <c r="M80"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80" s="28" t="s">
        <v>154</v>
      </c>
    </row>
    <row r="81" spans="2:14">
      <c r="B81" s="28" t="s">
        <v>114</v>
      </c>
      <c r="C81" s="28" t="s">
        <v>129</v>
      </c>
      <c r="D81" s="30">
        <v>2</v>
      </c>
      <c r="E81" s="29">
        <v>46153</v>
      </c>
      <c r="F81" s="28" t="s">
        <v>112</v>
      </c>
      <c r="G81" s="35" t="str">
        <f>IF(tblRecords[[#This Row],[Person]]="","",IFERROR(INDEX(tblPeople[Shift],MATCH(tblRecords[[#This Row],[Person]],tblPeople[Person],0)),""))</f>
        <v>Night</v>
      </c>
      <c r="H81" s="36">
        <f>IF(tblRecords[[#This Row],[Person]]="","",IFERROR(INDEX(tblSkills[Renewal (months)],MATCH(tblRecords[[#This Row],[Skill]],tblSkills[Skill],0)),""))</f>
        <v>0</v>
      </c>
      <c r="I81" s="37">
        <f>IF(tblRecords[[#This Row],[Person]]="","",IF(OR(tblRecords[[#This Row],[Renewal (months)]]="",N(tblRecords[[#This Row],[Assessed on]])=0),"",IF(tblRecords[[#This Row],[Renewal (months)]]=0,"",EDATE(tblRecords[[#This Row],[Assessed on]],tblRecords[[#This Row],[Renewal (months)]]))))</f>
        <v/>
      </c>
      <c r="J81" s="38">
        <f>IF(tblRecords[[#This Row],[Person]]="","",IF(tblRecords[[#This Row],[Expires]]="","",tblRecords[[#This Row],[Expires]]-AsOf))</f>
        <v/>
      </c>
      <c r="K81" s="39" t="str">
        <f>IF(tblRecords[[#This Row],[Person]]="","",IF(tblRecords[[#This Row],[Expires]]="","OK",IF(tblRecords[[#This Row],[Expires]]&lt;AsOf,"Overdue",IF(tblRecords[[#This Row],[Expires]]-AsOf&lt;=DueSoonDays,"Due soon","OK"))))</f>
        <v>OK</v>
      </c>
      <c r="L81" s="39" t="str">
        <f>IF(tblRecords[[#This Row],[Person]]="","",IF(AND(N(tblRecords[[#This Row],[Level (0-4)]])&gt;=QualLevel,tblRecords[[#This Row],[Renewal status]]&lt;&gt;"Overdue"),"Yes","No"))</f>
        <v>No</v>
      </c>
      <c r="M81"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81" s="28" t="s">
        <v>154</v>
      </c>
    </row>
    <row r="82" spans="2:14">
      <c r="B82" s="28" t="s">
        <v>114</v>
      </c>
      <c r="C82" s="28" t="s">
        <v>132</v>
      </c>
      <c r="D82" s="30">
        <v>3</v>
      </c>
      <c r="E82" s="29">
        <v>45961</v>
      </c>
      <c r="F82" s="28" t="s">
        <v>112</v>
      </c>
      <c r="G82" s="35" t="str">
        <f>IF(tblRecords[[#This Row],[Person]]="","",IFERROR(INDEX(tblPeople[Shift],MATCH(tblRecords[[#This Row],[Person]],tblPeople[Person],0)),""))</f>
        <v>Night</v>
      </c>
      <c r="H82" s="36">
        <f>IF(tblRecords[[#This Row],[Person]]="","",IFERROR(INDEX(tblSkills[Renewal (months)],MATCH(tblRecords[[#This Row],[Skill]],tblSkills[Skill],0)),""))</f>
        <v>0</v>
      </c>
      <c r="I82" s="37">
        <f>IF(tblRecords[[#This Row],[Person]]="","",IF(OR(tblRecords[[#This Row],[Renewal (months)]]="",N(tblRecords[[#This Row],[Assessed on]])=0),"",IF(tblRecords[[#This Row],[Renewal (months)]]=0,"",EDATE(tblRecords[[#This Row],[Assessed on]],tblRecords[[#This Row],[Renewal (months)]]))))</f>
        <v/>
      </c>
      <c r="J82" s="38">
        <f>IF(tblRecords[[#This Row],[Person]]="","",IF(tblRecords[[#This Row],[Expires]]="","",tblRecords[[#This Row],[Expires]]-AsOf))</f>
        <v/>
      </c>
      <c r="K82" s="39" t="str">
        <f>IF(tblRecords[[#This Row],[Person]]="","",IF(tblRecords[[#This Row],[Expires]]="","OK",IF(tblRecords[[#This Row],[Expires]]&lt;AsOf,"Overdue",IF(tblRecords[[#This Row],[Expires]]-AsOf&lt;=DueSoonDays,"Due soon","OK"))))</f>
        <v>OK</v>
      </c>
      <c r="L82" s="39" t="str">
        <f>IF(tblRecords[[#This Row],[Person]]="","",IF(AND(N(tblRecords[[#This Row],[Level (0-4)]])&gt;=QualLevel,tblRecords[[#This Row],[Renewal status]]&lt;&gt;"Overdue"),"Yes","No"))</f>
        <v>Yes</v>
      </c>
      <c r="M82"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82" s="28" t="s">
        <v>154</v>
      </c>
    </row>
    <row r="83" spans="2:14">
      <c r="B83" s="28" t="s">
        <v>114</v>
      </c>
      <c r="C83" s="28" t="s">
        <v>134</v>
      </c>
      <c r="D83" s="30">
        <v>2</v>
      </c>
      <c r="E83" s="29">
        <v>45727</v>
      </c>
      <c r="F83" s="28" t="s">
        <v>112</v>
      </c>
      <c r="G83" s="35" t="str">
        <f>IF(tblRecords[[#This Row],[Person]]="","",IFERROR(INDEX(tblPeople[Shift],MATCH(tblRecords[[#This Row],[Person]],tblPeople[Person],0)),""))</f>
        <v>Night</v>
      </c>
      <c r="H83" s="36">
        <f>IF(tblRecords[[#This Row],[Person]]="","",IFERROR(INDEX(tblSkills[Renewal (months)],MATCH(tblRecords[[#This Row],[Skill]],tblSkills[Skill],0)),""))</f>
        <v>24</v>
      </c>
      <c r="I83" s="37">
        <f>IF(tblRecords[[#This Row],[Person]]="","",IF(OR(tblRecords[[#This Row],[Renewal (months)]]="",N(tblRecords[[#This Row],[Assessed on]])=0),"",IF(tblRecords[[#This Row],[Renewal (months)]]=0,"",EDATE(tblRecords[[#This Row],[Assessed on]],tblRecords[[#This Row],[Renewal (months)]]))))</f>
        <v>46457</v>
      </c>
      <c r="J83" s="38">
        <f>IF(tblRecords[[#This Row],[Person]]="","",IF(tblRecords[[#This Row],[Expires]]="","",tblRecords[[#This Row],[Expires]]-AsOf))</f>
        <v>162</v>
      </c>
      <c r="K83" s="39" t="str">
        <f>IF(tblRecords[[#This Row],[Person]]="","",IF(tblRecords[[#This Row],[Expires]]="","OK",IF(tblRecords[[#This Row],[Expires]]&lt;AsOf,"Overdue",IF(tblRecords[[#This Row],[Expires]]-AsOf&lt;=DueSoonDays,"Due soon","OK"))))</f>
        <v>OK</v>
      </c>
      <c r="L83" s="39" t="str">
        <f>IF(tblRecords[[#This Row],[Person]]="","",IF(AND(N(tblRecords[[#This Row],[Level (0-4)]])&gt;=QualLevel,tblRecords[[#This Row],[Renewal status]]&lt;&gt;"Overdue"),"Yes","No"))</f>
        <v>No</v>
      </c>
      <c r="M83"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83" s="28" t="s">
        <v>154</v>
      </c>
    </row>
    <row r="84" spans="2:14">
      <c r="B84" s="28" t="s">
        <v>114</v>
      </c>
      <c r="C84" s="28" t="s">
        <v>139</v>
      </c>
      <c r="D84" s="30">
        <v>1</v>
      </c>
      <c r="E84" s="29">
        <v>45611</v>
      </c>
      <c r="F84" s="28" t="s">
        <v>156</v>
      </c>
      <c r="G84" s="35" t="str">
        <f>IF(tblRecords[[#This Row],[Person]]="","",IFERROR(INDEX(tblPeople[Shift],MATCH(tblRecords[[#This Row],[Person]],tblPeople[Person],0)),""))</f>
        <v>Night</v>
      </c>
      <c r="H84" s="36">
        <f>IF(tblRecords[[#This Row],[Person]]="","",IFERROR(INDEX(tblSkills[Renewal (months)],MATCH(tblRecords[[#This Row],[Skill]],tblSkills[Skill],0)),""))</f>
        <v>36</v>
      </c>
      <c r="I84" s="37">
        <f>IF(tblRecords[[#This Row],[Person]]="","",IF(OR(tblRecords[[#This Row],[Renewal (months)]]="",N(tblRecords[[#This Row],[Assessed on]])=0),"",IF(tblRecords[[#This Row],[Renewal (months)]]=0,"",EDATE(tblRecords[[#This Row],[Assessed on]],tblRecords[[#This Row],[Renewal (months)]]))))</f>
        <v>46706</v>
      </c>
      <c r="J84" s="38">
        <f>IF(tblRecords[[#This Row],[Person]]="","",IF(tblRecords[[#This Row],[Expires]]="","",tblRecords[[#This Row],[Expires]]-AsOf))</f>
        <v>411</v>
      </c>
      <c r="K84" s="39" t="str">
        <f>IF(tblRecords[[#This Row],[Person]]="","",IF(tblRecords[[#This Row],[Expires]]="","OK",IF(tblRecords[[#This Row],[Expires]]&lt;AsOf,"Overdue",IF(tblRecords[[#This Row],[Expires]]-AsOf&lt;=DueSoonDays,"Due soon","OK"))))</f>
        <v>OK</v>
      </c>
      <c r="L84" s="39" t="str">
        <f>IF(tblRecords[[#This Row],[Person]]="","",IF(AND(N(tblRecords[[#This Row],[Level (0-4)]])&gt;=QualLevel,tblRecords[[#This Row],[Renewal status]]&lt;&gt;"Overdue"),"Yes","No"))</f>
        <v>No</v>
      </c>
      <c r="M84"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84" s="28" t="s">
        <v>154</v>
      </c>
    </row>
    <row r="85" spans="2:14">
      <c r="B85" s="28" t="s">
        <v>114</v>
      </c>
      <c r="C85" s="28" t="s">
        <v>142</v>
      </c>
      <c r="D85" s="30">
        <v>3</v>
      </c>
      <c r="E85" s="29">
        <v>46073</v>
      </c>
      <c r="F85" s="28" t="s">
        <v>112</v>
      </c>
      <c r="G85" s="35" t="str">
        <f>IF(tblRecords[[#This Row],[Person]]="","",IFERROR(INDEX(tblPeople[Shift],MATCH(tblRecords[[#This Row],[Person]],tblPeople[Person],0)),""))</f>
        <v>Night</v>
      </c>
      <c r="H85" s="36">
        <f>IF(tblRecords[[#This Row],[Person]]="","",IFERROR(INDEX(tblSkills[Renewal (months)],MATCH(tblRecords[[#This Row],[Skill]],tblSkills[Skill],0)),""))</f>
        <v>12</v>
      </c>
      <c r="I85" s="37">
        <f>IF(tblRecords[[#This Row],[Person]]="","",IF(OR(tblRecords[[#This Row],[Renewal (months)]]="",N(tblRecords[[#This Row],[Assessed on]])=0),"",IF(tblRecords[[#This Row],[Renewal (months)]]=0,"",EDATE(tblRecords[[#This Row],[Assessed on]],tblRecords[[#This Row],[Renewal (months)]]))))</f>
        <v>46438</v>
      </c>
      <c r="J85" s="38">
        <f>IF(tblRecords[[#This Row],[Person]]="","",IF(tblRecords[[#This Row],[Expires]]="","",tblRecords[[#This Row],[Expires]]-AsOf))</f>
        <v>143</v>
      </c>
      <c r="K85" s="39" t="str">
        <f>IF(tblRecords[[#This Row],[Person]]="","",IF(tblRecords[[#This Row],[Expires]]="","OK",IF(tblRecords[[#This Row],[Expires]]&lt;AsOf,"Overdue",IF(tblRecords[[#This Row],[Expires]]-AsOf&lt;=DueSoonDays,"Due soon","OK"))))</f>
        <v>OK</v>
      </c>
      <c r="L85" s="39" t="str">
        <f>IF(tblRecords[[#This Row],[Person]]="","",IF(AND(N(tblRecords[[#This Row],[Level (0-4)]])&gt;=QualLevel,tblRecords[[#This Row],[Renewal status]]&lt;&gt;"Overdue"),"Yes","No"))</f>
        <v>Yes</v>
      </c>
      <c r="M85"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85" s="28" t="s">
        <v>154</v>
      </c>
    </row>
    <row r="86" spans="2:14">
      <c r="B86" s="28" t="s">
        <v>115</v>
      </c>
      <c r="C86" s="28" t="s">
        <v>126</v>
      </c>
      <c r="D86" s="30">
        <v>2</v>
      </c>
      <c r="E86" s="29">
        <v>46209</v>
      </c>
      <c r="F86" s="28" t="s">
        <v>155</v>
      </c>
      <c r="G86" s="35" t="str">
        <f>IF(tblRecords[[#This Row],[Person]]="","",IFERROR(INDEX(tblPeople[Shift],MATCH(tblRecords[[#This Row],[Person]],tblPeople[Person],0)),""))</f>
        <v>Night</v>
      </c>
      <c r="H86" s="36">
        <f>IF(tblRecords[[#This Row],[Person]]="","",IFERROR(INDEX(tblSkills[Renewal (months)],MATCH(tblRecords[[#This Row],[Skill]],tblSkills[Skill],0)),""))</f>
        <v>0</v>
      </c>
      <c r="I86" s="37">
        <f>IF(tblRecords[[#This Row],[Person]]="","",IF(OR(tblRecords[[#This Row],[Renewal (months)]]="",N(tblRecords[[#This Row],[Assessed on]])=0),"",IF(tblRecords[[#This Row],[Renewal (months)]]=0,"",EDATE(tblRecords[[#This Row],[Assessed on]],tblRecords[[#This Row],[Renewal (months)]]))))</f>
        <v/>
      </c>
      <c r="J86" s="38">
        <f>IF(tblRecords[[#This Row],[Person]]="","",IF(tblRecords[[#This Row],[Expires]]="","",tblRecords[[#This Row],[Expires]]-AsOf))</f>
        <v/>
      </c>
      <c r="K86" s="39" t="str">
        <f>IF(tblRecords[[#This Row],[Person]]="","",IF(tblRecords[[#This Row],[Expires]]="","OK",IF(tblRecords[[#This Row],[Expires]]&lt;AsOf,"Overdue",IF(tblRecords[[#This Row],[Expires]]-AsOf&lt;=DueSoonDays,"Due soon","OK"))))</f>
        <v>OK</v>
      </c>
      <c r="L86" s="39" t="str">
        <f>IF(tblRecords[[#This Row],[Person]]="","",IF(AND(N(tblRecords[[#This Row],[Level (0-4)]])&gt;=QualLevel,tblRecords[[#This Row],[Renewal status]]&lt;&gt;"Overdue"),"Yes","No"))</f>
        <v>No</v>
      </c>
      <c r="M86"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86" s="28" t="s">
        <v>161</v>
      </c>
    </row>
    <row r="87" spans="2:14">
      <c r="B87" s="28" t="s">
        <v>115</v>
      </c>
      <c r="C87" s="28" t="s">
        <v>129</v>
      </c>
      <c r="D87" s="30">
        <v>2</v>
      </c>
      <c r="E87" s="29">
        <v>46099</v>
      </c>
      <c r="F87" s="28" t="s">
        <v>112</v>
      </c>
      <c r="G87" s="35" t="str">
        <f>IF(tblRecords[[#This Row],[Person]]="","",IFERROR(INDEX(tblPeople[Shift],MATCH(tblRecords[[#This Row],[Person]],tblPeople[Person],0)),""))</f>
        <v>Night</v>
      </c>
      <c r="H87" s="36">
        <f>IF(tblRecords[[#This Row],[Person]]="","",IFERROR(INDEX(tblSkills[Renewal (months)],MATCH(tblRecords[[#This Row],[Skill]],tblSkills[Skill],0)),""))</f>
        <v>0</v>
      </c>
      <c r="I87" s="37">
        <f>IF(tblRecords[[#This Row],[Person]]="","",IF(OR(tblRecords[[#This Row],[Renewal (months)]]="",N(tblRecords[[#This Row],[Assessed on]])=0),"",IF(tblRecords[[#This Row],[Renewal (months)]]=0,"",EDATE(tblRecords[[#This Row],[Assessed on]],tblRecords[[#This Row],[Renewal (months)]]))))</f>
        <v/>
      </c>
      <c r="J87" s="38">
        <f>IF(tblRecords[[#This Row],[Person]]="","",IF(tblRecords[[#This Row],[Expires]]="","",tblRecords[[#This Row],[Expires]]-AsOf))</f>
        <v/>
      </c>
      <c r="K87" s="39" t="str">
        <f>IF(tblRecords[[#This Row],[Person]]="","",IF(tblRecords[[#This Row],[Expires]]="","OK",IF(tblRecords[[#This Row],[Expires]]&lt;AsOf,"Overdue",IF(tblRecords[[#This Row],[Expires]]-AsOf&lt;=DueSoonDays,"Due soon","OK"))))</f>
        <v>OK</v>
      </c>
      <c r="L87" s="39" t="str">
        <f>IF(tblRecords[[#This Row],[Person]]="","",IF(AND(N(tblRecords[[#This Row],[Level (0-4)]])&gt;=QualLevel,tblRecords[[#This Row],[Renewal status]]&lt;&gt;"Overdue"),"Yes","No"))</f>
        <v>No</v>
      </c>
      <c r="M87"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87" s="28" t="s">
        <v>154</v>
      </c>
    </row>
    <row r="88" spans="2:14">
      <c r="B88" s="28" t="s">
        <v>115</v>
      </c>
      <c r="C88" s="28" t="s">
        <v>132</v>
      </c>
      <c r="D88" s="30">
        <v>3</v>
      </c>
      <c r="E88" s="29">
        <v>45870</v>
      </c>
      <c r="F88" s="28" t="s">
        <v>112</v>
      </c>
      <c r="G88" s="35" t="str">
        <f>IF(tblRecords[[#This Row],[Person]]="","",IFERROR(INDEX(tblPeople[Shift],MATCH(tblRecords[[#This Row],[Person]],tblPeople[Person],0)),""))</f>
        <v>Night</v>
      </c>
      <c r="H88" s="36">
        <f>IF(tblRecords[[#This Row],[Person]]="","",IFERROR(INDEX(tblSkills[Renewal (months)],MATCH(tblRecords[[#This Row],[Skill]],tblSkills[Skill],0)),""))</f>
        <v>0</v>
      </c>
      <c r="I88" s="37">
        <f>IF(tblRecords[[#This Row],[Person]]="","",IF(OR(tblRecords[[#This Row],[Renewal (months)]]="",N(tblRecords[[#This Row],[Assessed on]])=0),"",IF(tblRecords[[#This Row],[Renewal (months)]]=0,"",EDATE(tblRecords[[#This Row],[Assessed on]],tblRecords[[#This Row],[Renewal (months)]]))))</f>
        <v/>
      </c>
      <c r="J88" s="38">
        <f>IF(tblRecords[[#This Row],[Person]]="","",IF(tblRecords[[#This Row],[Expires]]="","",tblRecords[[#This Row],[Expires]]-AsOf))</f>
        <v/>
      </c>
      <c r="K88" s="39" t="str">
        <f>IF(tblRecords[[#This Row],[Person]]="","",IF(tblRecords[[#This Row],[Expires]]="","OK",IF(tblRecords[[#This Row],[Expires]]&lt;AsOf,"Overdue",IF(tblRecords[[#This Row],[Expires]]-AsOf&lt;=DueSoonDays,"Due soon","OK"))))</f>
        <v>OK</v>
      </c>
      <c r="L88" s="39" t="str">
        <f>IF(tblRecords[[#This Row],[Person]]="","",IF(AND(N(tblRecords[[#This Row],[Level (0-4)]])&gt;=QualLevel,tblRecords[[#This Row],[Renewal status]]&lt;&gt;"Overdue"),"Yes","No"))</f>
        <v>Yes</v>
      </c>
      <c r="M88"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88" s="28" t="s">
        <v>154</v>
      </c>
    </row>
    <row r="89" spans="2:14">
      <c r="B89" s="28" t="s">
        <v>115</v>
      </c>
      <c r="C89" s="28" t="s">
        <v>134</v>
      </c>
      <c r="D89" s="30">
        <v>3</v>
      </c>
      <c r="E89" s="29">
        <v>46155</v>
      </c>
      <c r="F89" s="28" t="s">
        <v>112</v>
      </c>
      <c r="G89" s="35" t="str">
        <f>IF(tblRecords[[#This Row],[Person]]="","",IFERROR(INDEX(tblPeople[Shift],MATCH(tblRecords[[#This Row],[Person]],tblPeople[Person],0)),""))</f>
        <v>Night</v>
      </c>
      <c r="H89" s="36">
        <f>IF(tblRecords[[#This Row],[Person]]="","",IFERROR(INDEX(tblSkills[Renewal (months)],MATCH(tblRecords[[#This Row],[Skill]],tblSkills[Skill],0)),""))</f>
        <v>24</v>
      </c>
      <c r="I89" s="37">
        <f>IF(tblRecords[[#This Row],[Person]]="","",IF(OR(tblRecords[[#This Row],[Renewal (months)]]="",N(tblRecords[[#This Row],[Assessed on]])=0),"",IF(tblRecords[[#This Row],[Renewal (months)]]=0,"",EDATE(tblRecords[[#This Row],[Assessed on]],tblRecords[[#This Row],[Renewal (months)]]))))</f>
        <v>46886</v>
      </c>
      <c r="J89" s="38">
        <f>IF(tblRecords[[#This Row],[Person]]="","",IF(tblRecords[[#This Row],[Expires]]="","",tblRecords[[#This Row],[Expires]]-AsOf))</f>
        <v>591</v>
      </c>
      <c r="K89" s="39" t="str">
        <f>IF(tblRecords[[#This Row],[Person]]="","",IF(tblRecords[[#This Row],[Expires]]="","OK",IF(tblRecords[[#This Row],[Expires]]&lt;AsOf,"Overdue",IF(tblRecords[[#This Row],[Expires]]-AsOf&lt;=DueSoonDays,"Due soon","OK"))))</f>
        <v>OK</v>
      </c>
      <c r="L89" s="39" t="str">
        <f>IF(tblRecords[[#This Row],[Person]]="","",IF(AND(N(tblRecords[[#This Row],[Level (0-4)]])&gt;=QualLevel,tblRecords[[#This Row],[Renewal status]]&lt;&gt;"Overdue"),"Yes","No"))</f>
        <v>Yes</v>
      </c>
      <c r="M89"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89" s="28" t="s">
        <v>154</v>
      </c>
    </row>
    <row r="90" spans="2:14">
      <c r="B90" s="28" t="s">
        <v>115</v>
      </c>
      <c r="C90" s="28" t="s">
        <v>142</v>
      </c>
      <c r="D90" s="30">
        <v>2</v>
      </c>
      <c r="E90" s="29">
        <v>46078</v>
      </c>
      <c r="F90" s="28" t="s">
        <v>112</v>
      </c>
      <c r="G90" s="35" t="str">
        <f>IF(tblRecords[[#This Row],[Person]]="","",IFERROR(INDEX(tblPeople[Shift],MATCH(tblRecords[[#This Row],[Person]],tblPeople[Person],0)),""))</f>
        <v>Night</v>
      </c>
      <c r="H90" s="36">
        <f>IF(tblRecords[[#This Row],[Person]]="","",IFERROR(INDEX(tblSkills[Renewal (months)],MATCH(tblRecords[[#This Row],[Skill]],tblSkills[Skill],0)),""))</f>
        <v>12</v>
      </c>
      <c r="I90" s="37">
        <f>IF(tblRecords[[#This Row],[Person]]="","",IF(OR(tblRecords[[#This Row],[Renewal (months)]]="",N(tblRecords[[#This Row],[Assessed on]])=0),"",IF(tblRecords[[#This Row],[Renewal (months)]]=0,"",EDATE(tblRecords[[#This Row],[Assessed on]],tblRecords[[#This Row],[Renewal (months)]]))))</f>
        <v>46443</v>
      </c>
      <c r="J90" s="38">
        <f>IF(tblRecords[[#This Row],[Person]]="","",IF(tblRecords[[#This Row],[Expires]]="","",tblRecords[[#This Row],[Expires]]-AsOf))</f>
        <v>148</v>
      </c>
      <c r="K90" s="39" t="str">
        <f>IF(tblRecords[[#This Row],[Person]]="","",IF(tblRecords[[#This Row],[Expires]]="","OK",IF(tblRecords[[#This Row],[Expires]]&lt;AsOf,"Overdue",IF(tblRecords[[#This Row],[Expires]]-AsOf&lt;=DueSoonDays,"Due soon","OK"))))</f>
        <v>OK</v>
      </c>
      <c r="L90" s="39" t="str">
        <f>IF(tblRecords[[#This Row],[Person]]="","",IF(AND(N(tblRecords[[#This Row],[Level (0-4)]])&gt;=QualLevel,tblRecords[[#This Row],[Renewal status]]&lt;&gt;"Overdue"),"Yes","No"))</f>
        <v>No</v>
      </c>
      <c r="M90"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90" s="28" t="s">
        <v>154</v>
      </c>
    </row>
    <row r="91" spans="2:14">
      <c r="B91" s="28" t="s">
        <v>117</v>
      </c>
      <c r="C91" s="28" t="s">
        <v>119</v>
      </c>
      <c r="D91" s="30">
        <v>2</v>
      </c>
      <c r="E91" s="29">
        <v>46233</v>
      </c>
      <c r="F91" s="28" t="s">
        <v>112</v>
      </c>
      <c r="G91" s="35" t="str">
        <f>IF(tblRecords[[#This Row],[Person]]="","",IFERROR(INDEX(tblPeople[Shift],MATCH(tblRecords[[#This Row],[Person]],tblPeople[Person],0)),""))</f>
        <v>Night</v>
      </c>
      <c r="H91" s="36">
        <f>IF(tblRecords[[#This Row],[Person]]="","",IFERROR(INDEX(tblSkills[Renewal (months)],MATCH(tblRecords[[#This Row],[Skill]],tblSkills[Skill],0)),""))</f>
        <v>0</v>
      </c>
      <c r="I91" s="37">
        <f>IF(tblRecords[[#This Row],[Person]]="","",IF(OR(tblRecords[[#This Row],[Renewal (months)]]="",N(tblRecords[[#This Row],[Assessed on]])=0),"",IF(tblRecords[[#This Row],[Renewal (months)]]=0,"",EDATE(tblRecords[[#This Row],[Assessed on]],tblRecords[[#This Row],[Renewal (months)]]))))</f>
        <v/>
      </c>
      <c r="J91" s="38">
        <f>IF(tblRecords[[#This Row],[Person]]="","",IF(tblRecords[[#This Row],[Expires]]="","",tblRecords[[#This Row],[Expires]]-AsOf))</f>
        <v/>
      </c>
      <c r="K91" s="39" t="str">
        <f>IF(tblRecords[[#This Row],[Person]]="","",IF(tblRecords[[#This Row],[Expires]]="","OK",IF(tblRecords[[#This Row],[Expires]]&lt;AsOf,"Overdue",IF(tblRecords[[#This Row],[Expires]]-AsOf&lt;=DueSoonDays,"Due soon","OK"))))</f>
        <v>OK</v>
      </c>
      <c r="L91" s="39" t="str">
        <f>IF(tblRecords[[#This Row],[Person]]="","",IF(AND(N(tblRecords[[#This Row],[Level (0-4)]])&gt;=QualLevel,tblRecords[[#This Row],[Renewal status]]&lt;&gt;"Overdue"),"Yes","No"))</f>
        <v>No</v>
      </c>
      <c r="M91"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91" s="28" t="s">
        <v>154</v>
      </c>
    </row>
    <row r="92" spans="2:14">
      <c r="B92" s="28" t="s">
        <v>117</v>
      </c>
      <c r="C92" s="28" t="s">
        <v>122</v>
      </c>
      <c r="D92" s="30">
        <v>3</v>
      </c>
      <c r="E92" s="29">
        <v>45497</v>
      </c>
      <c r="F92" s="28" t="s">
        <v>112</v>
      </c>
      <c r="G92" s="35" t="str">
        <f>IF(tblRecords[[#This Row],[Person]]="","",IFERROR(INDEX(tblPeople[Shift],MATCH(tblRecords[[#This Row],[Person]],tblPeople[Person],0)),""))</f>
        <v>Night</v>
      </c>
      <c r="H92" s="36">
        <f>IF(tblRecords[[#This Row],[Person]]="","",IFERROR(INDEX(tblSkills[Renewal (months)],MATCH(tblRecords[[#This Row],[Skill]],tblSkills[Skill],0)),""))</f>
        <v>0</v>
      </c>
      <c r="I92" s="37">
        <f>IF(tblRecords[[#This Row],[Person]]="","",IF(OR(tblRecords[[#This Row],[Renewal (months)]]="",N(tblRecords[[#This Row],[Assessed on]])=0),"",IF(tblRecords[[#This Row],[Renewal (months)]]=0,"",EDATE(tblRecords[[#This Row],[Assessed on]],tblRecords[[#This Row],[Renewal (months)]]))))</f>
        <v/>
      </c>
      <c r="J92" s="38">
        <f>IF(tblRecords[[#This Row],[Person]]="","",IF(tblRecords[[#This Row],[Expires]]="","",tblRecords[[#This Row],[Expires]]-AsOf))</f>
        <v/>
      </c>
      <c r="K92" s="39" t="str">
        <f>IF(tblRecords[[#This Row],[Person]]="","",IF(tblRecords[[#This Row],[Expires]]="","OK",IF(tblRecords[[#This Row],[Expires]]&lt;AsOf,"Overdue",IF(tblRecords[[#This Row],[Expires]]-AsOf&lt;=DueSoonDays,"Due soon","OK"))))</f>
        <v>OK</v>
      </c>
      <c r="L92" s="39" t="str">
        <f>IF(tblRecords[[#This Row],[Person]]="","",IF(AND(N(tblRecords[[#This Row],[Level (0-4)]])&gt;=QualLevel,tblRecords[[#This Row],[Renewal status]]&lt;&gt;"Overdue"),"Yes","No"))</f>
        <v>Yes</v>
      </c>
      <c r="M92"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92" s="28" t="s">
        <v>154</v>
      </c>
    </row>
    <row r="93" spans="2:14">
      <c r="B93" s="28" t="s">
        <v>117</v>
      </c>
      <c r="C93" s="28" t="s">
        <v>129</v>
      </c>
      <c r="D93" s="30">
        <v>3</v>
      </c>
      <c r="E93" s="29">
        <v>45253</v>
      </c>
      <c r="F93" s="28" t="s">
        <v>112</v>
      </c>
      <c r="G93" s="35" t="str">
        <f>IF(tblRecords[[#This Row],[Person]]="","",IFERROR(INDEX(tblPeople[Shift],MATCH(tblRecords[[#This Row],[Person]],tblPeople[Person],0)),""))</f>
        <v>Night</v>
      </c>
      <c r="H93" s="36">
        <f>IF(tblRecords[[#This Row],[Person]]="","",IFERROR(INDEX(tblSkills[Renewal (months)],MATCH(tblRecords[[#This Row],[Skill]],tblSkills[Skill],0)),""))</f>
        <v>0</v>
      </c>
      <c r="I93" s="37">
        <f>IF(tblRecords[[#This Row],[Person]]="","",IF(OR(tblRecords[[#This Row],[Renewal (months)]]="",N(tblRecords[[#This Row],[Assessed on]])=0),"",IF(tblRecords[[#This Row],[Renewal (months)]]=0,"",EDATE(tblRecords[[#This Row],[Assessed on]],tblRecords[[#This Row],[Renewal (months)]]))))</f>
        <v/>
      </c>
      <c r="J93" s="38">
        <f>IF(tblRecords[[#This Row],[Person]]="","",IF(tblRecords[[#This Row],[Expires]]="","",tblRecords[[#This Row],[Expires]]-AsOf))</f>
        <v/>
      </c>
      <c r="K93" s="39" t="str">
        <f>IF(tblRecords[[#This Row],[Person]]="","",IF(tblRecords[[#This Row],[Expires]]="","OK",IF(tblRecords[[#This Row],[Expires]]&lt;AsOf,"Overdue",IF(tblRecords[[#This Row],[Expires]]-AsOf&lt;=DueSoonDays,"Due soon","OK"))))</f>
        <v>OK</v>
      </c>
      <c r="L93" s="39" t="str">
        <f>IF(tblRecords[[#This Row],[Person]]="","",IF(AND(N(tblRecords[[#This Row],[Level (0-4)]])&gt;=QualLevel,tblRecords[[#This Row],[Renewal status]]&lt;&gt;"Overdue"),"Yes","No"))</f>
        <v>Yes</v>
      </c>
      <c r="M93"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93" s="28" t="s">
        <v>154</v>
      </c>
    </row>
    <row r="94" spans="2:14">
      <c r="B94" s="28" t="s">
        <v>117</v>
      </c>
      <c r="C94" s="28" t="s">
        <v>136</v>
      </c>
      <c r="D94" s="30">
        <v>3</v>
      </c>
      <c r="E94" s="29">
        <v>45753</v>
      </c>
      <c r="F94" s="28" t="s">
        <v>156</v>
      </c>
      <c r="G94" s="35" t="str">
        <f>IF(tblRecords[[#This Row],[Person]]="","",IFERROR(INDEX(tblPeople[Shift],MATCH(tblRecords[[#This Row],[Person]],tblPeople[Person],0)),""))</f>
        <v>Night</v>
      </c>
      <c r="H94" s="36">
        <f>IF(tblRecords[[#This Row],[Person]]="","",IFERROR(INDEX(tblSkills[Renewal (months)],MATCH(tblRecords[[#This Row],[Skill]],tblSkills[Skill],0)),""))</f>
        <v>36</v>
      </c>
      <c r="I94" s="37">
        <f>IF(tblRecords[[#This Row],[Person]]="","",IF(OR(tblRecords[[#This Row],[Renewal (months)]]="",N(tblRecords[[#This Row],[Assessed on]])=0),"",IF(tblRecords[[#This Row],[Renewal (months)]]=0,"",EDATE(tblRecords[[#This Row],[Assessed on]],tblRecords[[#This Row],[Renewal (months)]]))))</f>
        <v>46849</v>
      </c>
      <c r="J94" s="38">
        <f>IF(tblRecords[[#This Row],[Person]]="","",IF(tblRecords[[#This Row],[Expires]]="","",tblRecords[[#This Row],[Expires]]-AsOf))</f>
        <v>554</v>
      </c>
      <c r="K94" s="39" t="str">
        <f>IF(tblRecords[[#This Row],[Person]]="","",IF(tblRecords[[#This Row],[Expires]]="","OK",IF(tblRecords[[#This Row],[Expires]]&lt;AsOf,"Overdue",IF(tblRecords[[#This Row],[Expires]]-AsOf&lt;=DueSoonDays,"Due soon","OK"))))</f>
        <v>OK</v>
      </c>
      <c r="L94" s="39" t="str">
        <f>IF(tblRecords[[#This Row],[Person]]="","",IF(AND(N(tblRecords[[#This Row],[Level (0-4)]])&gt;=QualLevel,tblRecords[[#This Row],[Renewal status]]&lt;&gt;"Overdue"),"Yes","No"))</f>
        <v>Yes</v>
      </c>
      <c r="M94"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94" s="28" t="s">
        <v>154</v>
      </c>
    </row>
    <row r="95" spans="2:14">
      <c r="B95" s="28" t="s">
        <v>117</v>
      </c>
      <c r="C95" s="28" t="s">
        <v>142</v>
      </c>
      <c r="D95" s="30">
        <v>3</v>
      </c>
      <c r="E95" s="29">
        <v>46208</v>
      </c>
      <c r="F95" s="28" t="s">
        <v>112</v>
      </c>
      <c r="G95" s="35" t="str">
        <f>IF(tblRecords[[#This Row],[Person]]="","",IFERROR(INDEX(tblPeople[Shift],MATCH(tblRecords[[#This Row],[Person]],tblPeople[Person],0)),""))</f>
        <v>Night</v>
      </c>
      <c r="H95" s="36">
        <f>IF(tblRecords[[#This Row],[Person]]="","",IFERROR(INDEX(tblSkills[Renewal (months)],MATCH(tblRecords[[#This Row],[Skill]],tblSkills[Skill],0)),""))</f>
        <v>12</v>
      </c>
      <c r="I95" s="37">
        <f>IF(tblRecords[[#This Row],[Person]]="","",IF(OR(tblRecords[[#This Row],[Renewal (months)]]="",N(tblRecords[[#This Row],[Assessed on]])=0),"",IF(tblRecords[[#This Row],[Renewal (months)]]=0,"",EDATE(tblRecords[[#This Row],[Assessed on]],tblRecords[[#This Row],[Renewal (months)]]))))</f>
        <v>46573</v>
      </c>
      <c r="J95" s="38">
        <f>IF(tblRecords[[#This Row],[Person]]="","",IF(tblRecords[[#This Row],[Expires]]="","",tblRecords[[#This Row],[Expires]]-AsOf))</f>
        <v>278</v>
      </c>
      <c r="K95" s="39" t="str">
        <f>IF(tblRecords[[#This Row],[Person]]="","",IF(tblRecords[[#This Row],[Expires]]="","OK",IF(tblRecords[[#This Row],[Expires]]&lt;AsOf,"Overdue",IF(tblRecords[[#This Row],[Expires]]-AsOf&lt;=DueSoonDays,"Due soon","OK"))))</f>
        <v>OK</v>
      </c>
      <c r="L95" s="39" t="str">
        <f>IF(tblRecords[[#This Row],[Person]]="","",IF(AND(N(tblRecords[[#This Row],[Level (0-4)]])&gt;=QualLevel,tblRecords[[#This Row],[Renewal status]]&lt;&gt;"Overdue"),"Yes","No"))</f>
        <v>Yes</v>
      </c>
      <c r="M95" s="40" t="str">
        <f>IF(tblRecords[[#This Row],[Person]]="","",IF(tblRecords[[#This Row],[Skill]]="","Missing skill",IF(tblRecords[[#This Row],[Level (0-4)]]="","Missing level",IF(tblRecords[[#This Row],[Assessed on]]="","Missing assessed on",IF(tblRecords[[#This Row],[Shift]]="","Person not on Setup list",IF(tblRecords[[#This Row],[Renewal (months)]]="","Skill not on Setup list",IF(COUNTIFS(tblRecords[Person],tblRecords[[#This Row],[Person]],tblRecords[Skill],tblRecords[[#This Row],[Skill]])&gt;1,"Duplicate person and skill",IF(tblRecords[[#This Row],[Assessed on]]&gt;AsOf,"Assessed after the as-of date","OK"))))))))</f>
        <v>OK</v>
      </c>
      <c r="N95" s="28" t="s">
        <v>154</v>
      </c>
    </row>
  </sheetData>
  <mergeCells count="3">
    <mergeCell ref="A1:N1"/>
    <mergeCell ref="B2:M2"/>
    <mergeCell ref="B4:N4"/>
  </mergeCells>
  <conditionalFormatting sqref="K6:K595">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L6:L595">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M6:M595">
    <cfRule type="expression" dxfId="3" priority="41">
      <formula>$M6="OK"</formula>
    </cfRule>
    <cfRule type="expression" dxfId="1" priority="42">
      <formula>AND($M6&lt;&gt;"",$M6&lt;&gt;"OK")</formula>
    </cfRule>
  </conditionalFormatting>
  <dataValidations count="6">
    <dataValidation type="list" allowBlank="1" showInputMessage="1" showErrorMessage="1" errorTitle="Check this entry" error="Pick from the list (edit the list on Setup: People)." promptTitle="Person" prompt="Pick from the list (edit the list on Setup: People)." sqref="B6:B595">
      <formula1>People</formula1>
    </dataValidation>
    <dataValidation type="list" allowBlank="1" showInputMessage="1" showErrorMessage="1" errorTitle="Check this entry" error="Pick from the list (edit the list on Setup: Skills)." promptTitle="Skill" prompt="Pick from the list (edit the list on Setup: Skills)." sqref="C6:C595">
      <formula1>Skills</formula1>
    </dataValidation>
    <dataValidation type="whole" allowBlank="1" showInputMessage="1" showErrorMessage="1" errorTitle="Check this entry" error="Enter a whole number from 0 to 4." promptTitle="Level (0-4)" prompt="0 not trained, 1 in training, 2 with support, 3 qualified (works alone), 4 expert (can train). See Setup. Enter a whole number from 0 to 4." sqref="D6:D595">
      <formula1>0</formula1>
      <formula2>4</formula2>
    </dataValidation>
    <dataValidation type="date" allowBlank="1" showInputMessage="1" showErrorMessage="1" errorTitle="Check this entry" error="Enter a date between 01 Jan 2000 and 31 Dec 2100." promptTitle="Assessed on" prompt="Date the level was last assessed or the certificate issued. Enter a date between 01 Jan 2000 and 31 Dec 2100." sqref="E6:E595">
      <formula1>36526</formula1>
      <formula2>73415</formula2>
    </dataValidation>
    <dataValidation type="textLength" allowBlank="1" showInputMessage="1" showErrorMessage="1" errorTitle="Check this entry" error="Text up to 60 characters." promptTitle="Assessor" prompt="Who assessed or signed off this level. Text up to 60 characters." sqref="F6:F595">
      <formula1>0</formula1>
      <formula2>60</formula2>
    </dataValidation>
    <dataValidation type="textLength" allowBlank="1" showInputMessage="1" showErrorMessage="1" errorTitle="Check this entry" error="Text up to 255 characters." promptTitle="Notes" prompt="Text up to 255 characters." sqref="N6:N595">
      <formula1>0</formula1>
      <formula2>255</formula2>
    </dataValidation>
  </dataValidations>
  <hyperlinks>
    <hyperlink ref="N2" r:id="rId1" tooltip="Free manufacturing calculators and templates"/>
  </hyperlinks>
  <pageMargins left="0.4" right="0.4" top="0.7" bottom="0.65" header="0.3" footer="0.3"/>
  <pageSetup fitToHeight="0" orientation="landscape"/>
  <headerFooter>
    <oddHeader>&amp;L&amp;8MFG Calcs - Skills and Training Matrix&amp;R&amp;8&amp;A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M75"/>
  <sheetViews>
    <sheetView showGridLines="0" zoomScale="90" zoomScaleNormal="90" workbookViewId="0"/>
  </sheetViews>
  <sheetFormatPr defaultRowHeight="15" x14ac:dyDescent="0.25"/>
  <cols>
    <col min="1" max="1" width="2.7109375" customWidth="1"/>
    <col min="2" max="2" width="18.7109375" customWidth="1"/>
    <col min="3" max="13" width="9.7109375" customWidth="1"/>
  </cols>
  <sheetData>
    <row r="1" spans="1:13" ht="30" customHeight="1" x14ac:dyDescent="0.25">
      <c r="A1" s="1" t="s">
        <v>0</v>
      </c>
      <c r="B1" s="1"/>
      <c r="C1" s="1"/>
      <c r="D1" s="1"/>
      <c r="E1" s="1"/>
      <c r="F1" s="1"/>
      <c r="G1" s="1"/>
      <c r="H1" s="1"/>
      <c r="I1" s="1"/>
      <c r="J1" s="1"/>
      <c r="K1" s="1"/>
      <c r="L1" s="1"/>
      <c r="M1" s="1"/>
    </row>
    <row r="2" spans="1:13" ht="21" customHeight="1" x14ac:dyDescent="0.25">
      <c r="B2" s="2" t="s">
        <v>22</v>
      </c>
      <c r="C2" s="2"/>
      <c r="D2" s="2"/>
      <c r="E2" s="2"/>
      <c r="F2" s="2"/>
      <c r="G2" s="2"/>
      <c r="H2" s="2"/>
      <c r="I2" s="2"/>
      <c r="J2" s="2"/>
      <c r="K2" s="2"/>
      <c r="L2" s="3" t="s">
        <v>2</v>
      </c>
      <c r="M2" s="3"/>
    </row>
    <row r="3" spans="1:13" ht="6" customHeight="1" x14ac:dyDescent="0.25"/>
    <row r="4" spans="1:13" x14ac:dyDescent="0.25">
      <c r="B4" s="41" t="str">
        <f>PlantName&amp;": "&amp;COUNTA(tblPeople[Person])&amp;" people, "&amp;COUNTA(tblSkills[Skill])&amp;" skills, "&amp;COUNTA(tblRecords[Person])&amp;" training records. Status as of "&amp;TEXT(AsOf,"d mmm yyyy")&amp;"; qualified = level "&amp;QualLevel&amp;" or higher and not lapsed."</f>
        <v>Northgate Precision (example): 15 people, 10 skills, 90 training records. Status as of 30 Sep 2026; qualified = level 3 or higher and not lapsed.</v>
      </c>
      <c r="C4" s="41"/>
      <c r="D4" s="41"/>
      <c r="E4" s="41"/>
      <c r="F4" s="41"/>
      <c r="G4" s="41"/>
      <c r="H4" s="41"/>
      <c r="I4" s="41"/>
      <c r="J4" s="41"/>
      <c r="K4" s="41"/>
      <c r="L4" s="41"/>
      <c r="M4" s="41"/>
    </row>
    <row r="6" spans="1:13" ht="18" customHeight="1" x14ac:dyDescent="0.25">
      <c r="B6" s="42" t="s">
        <v>162</v>
      </c>
      <c r="C6" s="42"/>
      <c r="D6" s="42" t="s">
        <v>163</v>
      </c>
      <c r="E6" s="42"/>
      <c r="F6" s="42"/>
      <c r="G6" s="42" t="s">
        <v>164</v>
      </c>
      <c r="H6" s="42"/>
      <c r="I6" s="42"/>
      <c r="J6" s="42"/>
      <c r="K6" s="42" t="s">
        <v>165</v>
      </c>
      <c r="L6" s="42"/>
      <c r="M6" s="42"/>
    </row>
    <row r="7" spans="1:13" ht="21" customHeight="1" x14ac:dyDescent="0.25">
      <c r="B7" s="43">
        <f>IF((SUM($C$31:$C$40))=0,"",(SUM($H$31:$H$40))/(SUM($C$31:$C$40)))</f>
        <v>0.962264150943396</v>
      </c>
      <c r="C7" s="43"/>
      <c r="D7" s="44">
        <f>COUNTIF($M$31:$M$40,"Below target")</f>
        <v>2</v>
      </c>
      <c r="E7" s="44"/>
      <c r="F7" s="44"/>
      <c r="G7" s="44">
        <f>SUM($J$31:$J$40)</f>
        <v>1</v>
      </c>
      <c r="H7" s="44"/>
      <c r="I7" s="44"/>
      <c r="J7" s="44"/>
      <c r="K7" s="44">
        <f>COUNTIF(tblRecords[Renewal status],"Overdue")</f>
        <v>2</v>
      </c>
      <c r="L7" s="44"/>
      <c r="M7" s="44"/>
    </row>
    <row r="8" spans="1:13" ht="21" customHeight="1" x14ac:dyDescent="0.25">
      <c r="B8" s="43"/>
      <c r="C8" s="43"/>
      <c r="D8" s="44"/>
      <c r="E8" s="44"/>
      <c r="F8" s="44"/>
      <c r="G8" s="44"/>
      <c r="H8" s="44"/>
      <c r="I8" s="44"/>
      <c r="J8" s="44"/>
      <c r="K8" s="44"/>
      <c r="L8" s="44"/>
      <c r="M8" s="44"/>
    </row>
    <row r="9" spans="1:13" x14ac:dyDescent="0.25">
      <c r="B9" s="45">
        <f>TargetCover</f>
        <v>1</v>
      </c>
      <c r="C9" s="45"/>
      <c r="D9" s="46">
        <f>0</f>
        <v>0</v>
      </c>
      <c r="E9" s="46"/>
      <c r="F9" s="46"/>
      <c r="G9" s="46">
        <f>0</f>
        <v>0</v>
      </c>
      <c r="H9" s="46"/>
      <c r="I9" s="46"/>
      <c r="J9" s="46"/>
      <c r="K9" s="46">
        <f>0</f>
        <v>0</v>
      </c>
      <c r="L9" s="46"/>
      <c r="M9" s="46"/>
    </row>
    <row r="10" spans="1:13" ht="18" customHeight="1" x14ac:dyDescent="0.25">
      <c r="B10" s="47" t="str">
        <f>IF(NOT(ISNUMBER(KpiCover)),"No data",IF(KpiCover&gt;=(TargetCover),"On target",IF(KpiCover&gt;=(TargetCover)*(1-0.05),"Near target","Below target")))</f>
        <v>Near target</v>
      </c>
      <c r="C10" s="47"/>
      <c r="D10" s="47" t="str">
        <f>IF(NOT(ISNUMBER(KpiShort)),"No data",IF(KpiShort&lt;=(0),"On target",IF(KpiShort&lt;=(0)*(1+0.05),"Near target","Above target")))</f>
        <v>Above target</v>
      </c>
      <c r="E10" s="47"/>
      <c r="F10" s="47"/>
      <c r="G10" s="47" t="str">
        <f>IF(NOT(ISNUMBER(KpiGaps)),"No data",IF(KpiGaps&lt;=(0),"On target",IF(KpiGaps&lt;=(0)*(1+0.05),"Near target","Above target")))</f>
        <v>Above target</v>
      </c>
      <c r="H10" s="47"/>
      <c r="I10" s="47"/>
      <c r="J10" s="47"/>
      <c r="K10" s="47" t="str">
        <f>IF(NOT(ISNUMBER(KpiOverdue)),"No data",IF(KpiOverdue&lt;=(0),"On target",IF(KpiOverdue&lt;=(0)*(1+0.05),"Near target","Above target")))</f>
        <v>Above target</v>
      </c>
      <c r="L10" s="47"/>
      <c r="M10" s="47"/>
    </row>
    <row r="29" spans="2:13" x14ac:dyDescent="0.25">
      <c r="B29" s="32" t="s">
        <v>166</v>
      </c>
      <c r="C29" s="32"/>
      <c r="D29" s="32"/>
      <c r="E29" s="32"/>
      <c r="F29" s="32"/>
      <c r="G29" s="32"/>
      <c r="H29" s="32"/>
      <c r="I29" s="32"/>
      <c r="J29" s="32"/>
      <c r="K29" s="32"/>
      <c r="L29" s="32"/>
      <c r="M29" s="32"/>
    </row>
    <row r="30" spans="2:13" ht="45.5" customHeight="1" x14ac:dyDescent="0.25">
      <c r="B30" s="48" t="s">
        <v>64</v>
      </c>
      <c r="C30" s="33" t="s">
        <v>66</v>
      </c>
      <c r="D30" s="33" t="s">
        <v>167</v>
      </c>
      <c r="E30" s="33" t="s">
        <v>168</v>
      </c>
      <c r="F30" s="33" t="s">
        <v>169</v>
      </c>
      <c r="G30" s="33" t="s">
        <v>170</v>
      </c>
      <c r="H30" s="33" t="s">
        <v>171</v>
      </c>
      <c r="I30" s="33" t="s">
        <v>172</v>
      </c>
      <c r="J30" s="33" t="s">
        <v>173</v>
      </c>
      <c r="K30" s="33" t="s">
        <v>174</v>
      </c>
      <c r="L30" s="33" t="s">
        <v>175</v>
      </c>
      <c r="M30" s="33" t="s">
        <v>176</v>
      </c>
    </row>
    <row r="31" spans="2:13" x14ac:dyDescent="0.25">
      <c r="B31" s="49" t="str">
        <f>IFERROR(INDEX(tblSkills[Skill],1)&amp;"","")</f>
        <v>CNC lathe</v>
      </c>
      <c r="C31" s="36">
        <f>IF($B$31="","",INDEX(tblSkills[Needed (people)],MATCH($B$31,tblSkills[Skill],0)))</f>
        <v>6</v>
      </c>
      <c r="D31" s="36">
        <f>IF($B$31="","",COUNTIFS(tblRecords[Skill],$B$31,tblRecords[Qualified],"Yes"))</f>
        <v>6</v>
      </c>
      <c r="E31" s="36">
        <f>IF($B$31="","",COUNTIFS(tblRecords[Skill],$B$31,tblRecords[Level (0-4)],"&gt;=1",tblRecords[Level (0-4)],"&lt;"&amp;QualLevel))</f>
        <v>3</v>
      </c>
      <c r="F31" s="50">
        <f>IF($B$31="","",IF(($C$31)=0,"",($D$31)/($C$31)))</f>
        <v>1</v>
      </c>
      <c r="G31" s="36">
        <f>IF($B$31="","",MAX(0,$C$31-$D$31))</f>
        <v>0</v>
      </c>
      <c r="H31" s="36">
        <f>IF($B$31="","",MIN($D$31,$C$31))</f>
        <v>6</v>
      </c>
      <c r="I31" s="36">
        <f>IF($B$31="","",INDEX(tblSkills[Min per shift (people)],MATCH($B$31,tblSkills[Skill],0)))</f>
        <v>2</v>
      </c>
      <c r="J31" s="36">
        <f>IF($B$31="","",SUMPRODUCT(--(COUNTIFS(tblRecords[Skill],$B$31,tblRecords[Qualified],"Yes",tblRecords[Shift],tblShiftList[Shift])&lt;$I$31)))</f>
        <v>0</v>
      </c>
      <c r="K31" s="36">
        <f>IF($B$31="","",COUNTIFS(tblRecords[Skill],$B$31,tblRecords[Renewal status],"Overdue"))</f>
        <v>0</v>
      </c>
      <c r="L31" s="36">
        <f>IF($B$31="","",COUNTIFS(tblRecords[Skill],$B$31,tblRecords[Renewal status],"Due soon"))</f>
        <v>0</v>
      </c>
      <c r="M31" s="39" t="str">
        <f>IF($B$31="","",IF($F$31="","",IF($F$31&lt;TargetCover,"Below target",IF($J$31&gt;0,"Check","On target"))))</f>
        <v>On target</v>
      </c>
    </row>
    <row r="32" spans="2:13" x14ac:dyDescent="0.25">
      <c r="B32" s="49" t="str">
        <f>IFERROR(INDEX(tblSkills[Skill],2)&amp;"","")</f>
        <v>CNC mill</v>
      </c>
      <c r="C32" s="36">
        <f>IF($B$32="","",INDEX(tblSkills[Needed (people)],MATCH($B$32,tblSkills[Skill],0)))</f>
        <v>6</v>
      </c>
      <c r="D32" s="36">
        <f>IF($B$32="","",COUNTIFS(tblRecords[Skill],$B$32,tblRecords[Qualified],"Yes"))</f>
        <v>7</v>
      </c>
      <c r="E32" s="36">
        <f>IF($B$32="","",COUNTIFS(tblRecords[Skill],$B$32,tblRecords[Level (0-4)],"&gt;=1",tblRecords[Level (0-4)],"&lt;"&amp;QualLevel))</f>
        <v>1</v>
      </c>
      <c r="F32" s="50">
        <f>IF($B$32="","",IF(($C$32)=0,"",($D$32)/($C$32)))</f>
        <v>1.16666666666667</v>
      </c>
      <c r="G32" s="36">
        <f>IF($B$32="","",MAX(0,$C$32-$D$32))</f>
        <v>0</v>
      </c>
      <c r="H32" s="36">
        <f>IF($B$32="","",MIN($D$32,$C$32))</f>
        <v>6</v>
      </c>
      <c r="I32" s="36">
        <f>IF($B$32="","",INDEX(tblSkills[Min per shift (people)],MATCH($B$32,tblSkills[Skill],0)))</f>
        <v>2</v>
      </c>
      <c r="J32" s="36">
        <f>IF($B$32="","",SUMPRODUCT(--(COUNTIFS(tblRecords[Skill],$B$32,tblRecords[Qualified],"Yes",tblRecords[Shift],tblShiftList[Shift])&lt;$I$32)))</f>
        <v>0</v>
      </c>
      <c r="K32" s="36">
        <f>IF($B$32="","",COUNTIFS(tblRecords[Skill],$B$32,tblRecords[Renewal status],"Overdue"))</f>
        <v>0</v>
      </c>
      <c r="L32" s="36">
        <f>IF($B$32="","",COUNTIFS(tblRecords[Skill],$B$32,tblRecords[Renewal status],"Due soon"))</f>
        <v>0</v>
      </c>
      <c r="M32" s="39" t="str">
        <f>IF($B$32="","",IF($F$32="","",IF($F$32&lt;TargetCover,"Below target",IF($J$32&gt;0,"Check","On target"))))</f>
        <v>On target</v>
      </c>
    </row>
    <row r="33" spans="2:13" x14ac:dyDescent="0.25">
      <c r="B33" s="49" t="str">
        <f>IFERROR(INDEX(tblSkills[Skill],3)&amp;"","")</f>
        <v>CNC setup</v>
      </c>
      <c r="C33" s="36">
        <f>IF($B$33="","",INDEX(tblSkills[Needed (people)],MATCH($B$33,tblSkills[Skill],0)))</f>
        <v>4</v>
      </c>
      <c r="D33" s="36">
        <f>IF($B$33="","",COUNTIFS(tblRecords[Skill],$B$33,tblRecords[Qualified],"Yes"))</f>
        <v>3</v>
      </c>
      <c r="E33" s="36">
        <f>IF($B$33="","",COUNTIFS(tblRecords[Skill],$B$33,tblRecords[Level (0-4)],"&gt;=1",tblRecords[Level (0-4)],"&lt;"&amp;QualLevel))</f>
        <v>3</v>
      </c>
      <c r="F33" s="50">
        <f>IF($B$33="","",IF(($C$33)=0,"",($D$33)/($C$33)))</f>
        <v>0.75</v>
      </c>
      <c r="G33" s="36">
        <f>IF($B$33="","",MAX(0,$C$33-$D$33))</f>
        <v>1</v>
      </c>
      <c r="H33" s="36">
        <f>IF($B$33="","",MIN($D$33,$C$33))</f>
        <v>3</v>
      </c>
      <c r="I33" s="36">
        <f>IF($B$33="","",INDEX(tblSkills[Min per shift (people)],MATCH($B$33,tblSkills[Skill],0)))</f>
        <v>1</v>
      </c>
      <c r="J33" s="36">
        <f>IF($B$33="","",SUMPRODUCT(--(COUNTIFS(tblRecords[Skill],$B$33,tblRecords[Qualified],"Yes",tblRecords[Shift],tblShiftList[Shift])&lt;$I$33)))</f>
        <v>0</v>
      </c>
      <c r="K33" s="36">
        <f>IF($B$33="","",COUNTIFS(tblRecords[Skill],$B$33,tblRecords[Renewal status],"Overdue"))</f>
        <v>0</v>
      </c>
      <c r="L33" s="36">
        <f>IF($B$33="","",COUNTIFS(tblRecords[Skill],$B$33,tblRecords[Renewal status],"Due soon"))</f>
        <v>0</v>
      </c>
      <c r="M33" s="39" t="str">
        <f>IF($B$33="","",IF($F$33="","",IF($F$33&lt;TargetCover,"Below target",IF($J$33&gt;0,"Check","On target"))))</f>
        <v>Below target</v>
      </c>
    </row>
    <row r="34" spans="2:13" x14ac:dyDescent="0.25">
      <c r="B34" s="49" t="str">
        <f>IFERROR(INDEX(tblSkills[Skill],4)&amp;"","")</f>
        <v>CMM</v>
      </c>
      <c r="C34" s="36">
        <f>IF($B$34="","",INDEX(tblSkills[Needed (people)],MATCH($B$34,tblSkills[Skill],0)))</f>
        <v>3</v>
      </c>
      <c r="D34" s="36">
        <f>IF($B$34="","",COUNTIFS(tblRecords[Skill],$B$34,tblRecords[Qualified],"Yes"))</f>
        <v>3</v>
      </c>
      <c r="E34" s="36">
        <f>IF($B$34="","",COUNTIFS(tblRecords[Skill],$B$34,tblRecords[Level (0-4)],"&gt;=1",tblRecords[Level (0-4)],"&lt;"&amp;QualLevel))</f>
        <v>3</v>
      </c>
      <c r="F34" s="50">
        <f>IF($B$34="","",IF(($C$34)=0,"",($D$34)/($C$34)))</f>
        <v>1</v>
      </c>
      <c r="G34" s="36">
        <f>IF($B$34="","",MAX(0,$C$34-$D$34))</f>
        <v>0</v>
      </c>
      <c r="H34" s="36">
        <f>IF($B$34="","",MIN($D$34,$C$34))</f>
        <v>3</v>
      </c>
      <c r="I34" s="36">
        <f>IF($B$34="","",INDEX(tblSkills[Min per shift (people)],MATCH($B$34,tblSkills[Skill],0)))</f>
        <v>1</v>
      </c>
      <c r="J34" s="36">
        <f>IF($B$34="","",SUMPRODUCT(--(COUNTIFS(tblRecords[Skill],$B$34,tblRecords[Qualified],"Yes",tblRecords[Shift],tblShiftList[Shift])&lt;$I$34)))</f>
        <v>1</v>
      </c>
      <c r="K34" s="36">
        <f>IF($B$34="","",COUNTIFS(tblRecords[Skill],$B$34,tblRecords[Renewal status],"Overdue"))</f>
        <v>0</v>
      </c>
      <c r="L34" s="36">
        <f>IF($B$34="","",COUNTIFS(tblRecords[Skill],$B$34,tblRecords[Renewal status],"Due soon"))</f>
        <v>0</v>
      </c>
      <c r="M34" s="39" t="str">
        <f>IF($B$34="","",IF($F$34="","",IF($F$34&lt;TargetCover,"Below target",IF($J$34&gt;0,"Check","On target"))))</f>
        <v>Check</v>
      </c>
    </row>
    <row r="35" spans="2:13" x14ac:dyDescent="0.25">
      <c r="B35" s="49" t="str">
        <f>IFERROR(INDEX(tblSkills[Skill],5)&amp;"","")</f>
        <v>Deburr</v>
      </c>
      <c r="C35" s="36">
        <f>IF($B$35="","",INDEX(tblSkills[Needed (people)],MATCH($B$35,tblSkills[Skill],0)))</f>
        <v>6</v>
      </c>
      <c r="D35" s="36">
        <f>IF($B$35="","",COUNTIFS(tblRecords[Skill],$B$35,tblRecords[Qualified],"Yes"))</f>
        <v>10</v>
      </c>
      <c r="E35" s="36">
        <f>IF($B$35="","",COUNTIFS(tblRecords[Skill],$B$35,tblRecords[Level (0-4)],"&gt;=1",tblRecords[Level (0-4)],"&lt;"&amp;QualLevel))</f>
        <v>5</v>
      </c>
      <c r="F35" s="50">
        <f>IF($B$35="","",IF(($C$35)=0,"",($D$35)/($C$35)))</f>
        <v>1.66666666666667</v>
      </c>
      <c r="G35" s="36">
        <f>IF($B$35="","",MAX(0,$C$35-$D$35))</f>
        <v>0</v>
      </c>
      <c r="H35" s="36">
        <f>IF($B$35="","",MIN($D$35,$C$35))</f>
        <v>6</v>
      </c>
      <c r="I35" s="36">
        <f>IF($B$35="","",INDEX(tblSkills[Min per shift (people)],MATCH($B$35,tblSkills[Skill],0)))</f>
        <v>1</v>
      </c>
      <c r="J35" s="36">
        <f>IF($B$35="","",SUMPRODUCT(--(COUNTIFS(tblRecords[Skill],$B$35,tblRecords[Qualified],"Yes",tblRecords[Shift],tblShiftList[Shift])&lt;$I$35)))</f>
        <v>0</v>
      </c>
      <c r="K35" s="36">
        <f>IF($B$35="","",COUNTIFS(tblRecords[Skill],$B$35,tblRecords[Renewal status],"Overdue"))</f>
        <v>0</v>
      </c>
      <c r="L35" s="36">
        <f>IF($B$35="","",COUNTIFS(tblRecords[Skill],$B$35,tblRecords[Renewal status],"Due soon"))</f>
        <v>0</v>
      </c>
      <c r="M35" s="39" t="str">
        <f>IF($B$35="","",IF($F$35="","",IF($F$35&lt;TargetCover,"Below target",IF($J$35&gt;0,"Check","On target"))))</f>
        <v>On target</v>
      </c>
    </row>
    <row r="36" spans="2:13" x14ac:dyDescent="0.25">
      <c r="B36" s="49" t="str">
        <f>IFERROR(INDEX(tblSkills[Skill],6)&amp;"","")</f>
        <v>Assembly</v>
      </c>
      <c r="C36" s="36">
        <f>IF($B$36="","",INDEX(tblSkills[Needed (people)],MATCH($B$36,tblSkills[Skill],0)))</f>
        <v>6</v>
      </c>
      <c r="D36" s="36">
        <f>IF($B$36="","",COUNTIFS(tblRecords[Skill],$B$36,tblRecords[Qualified],"Yes"))</f>
        <v>6</v>
      </c>
      <c r="E36" s="36">
        <f>IF($B$36="","",COUNTIFS(tblRecords[Skill],$B$36,tblRecords[Level (0-4)],"&gt;=1",tblRecords[Level (0-4)],"&lt;"&amp;QualLevel))</f>
        <v>4</v>
      </c>
      <c r="F36" s="50">
        <f>IF($B$36="","",IF(($C$36)=0,"",($D$36)/($C$36)))</f>
        <v>1</v>
      </c>
      <c r="G36" s="36">
        <f>IF($B$36="","",MAX(0,$C$36-$D$36))</f>
        <v>0</v>
      </c>
      <c r="H36" s="36">
        <f>IF($B$36="","",MIN($D$36,$C$36))</f>
        <v>6</v>
      </c>
      <c r="I36" s="36">
        <f>IF($B$36="","",INDEX(tblSkills[Min per shift (people)],MATCH($B$36,tblSkills[Skill],0)))</f>
        <v>2</v>
      </c>
      <c r="J36" s="36">
        <f>IF($B$36="","",SUMPRODUCT(--(COUNTIFS(tblRecords[Skill],$B$36,tblRecords[Qualified],"Yes",tblRecords[Shift],tblShiftList[Shift])&lt;$I$36)))</f>
        <v>0</v>
      </c>
      <c r="K36" s="36">
        <f>IF($B$36="","",COUNTIFS(tblRecords[Skill],$B$36,tblRecords[Renewal status],"Overdue"))</f>
        <v>0</v>
      </c>
      <c r="L36" s="36">
        <f>IF($B$36="","",COUNTIFS(tblRecords[Skill],$B$36,tblRecords[Renewal status],"Due soon"))</f>
        <v>0</v>
      </c>
      <c r="M36" s="39" t="str">
        <f>IF($B$36="","",IF($F$36="","",IF($F$36&lt;TargetCover,"Below target",IF($J$36&gt;0,"Check","On target"))))</f>
        <v>On target</v>
      </c>
    </row>
    <row r="37" spans="2:13" x14ac:dyDescent="0.25">
      <c r="B37" s="49" t="str">
        <f>IFERROR(INDEX(tblSkills[Skill],7)&amp;"","")</f>
        <v>Leak test</v>
      </c>
      <c r="C37" s="36">
        <f>IF($B$37="","",INDEX(tblSkills[Needed (people)],MATCH($B$37,tblSkills[Skill],0)))</f>
        <v>3</v>
      </c>
      <c r="D37" s="36">
        <f>IF($B$37="","",COUNTIFS(tblRecords[Skill],$B$37,tblRecords[Qualified],"Yes"))</f>
        <v>4</v>
      </c>
      <c r="E37" s="36">
        <f>IF($B$37="","",COUNTIFS(tblRecords[Skill],$B$37,tblRecords[Level (0-4)],"&gt;=1",tblRecords[Level (0-4)],"&lt;"&amp;QualLevel))</f>
        <v>2</v>
      </c>
      <c r="F37" s="50">
        <f>IF($B$37="","",IF(($C$37)=0,"",($D$37)/($C$37)))</f>
        <v>1.33333333333333</v>
      </c>
      <c r="G37" s="36">
        <f>IF($B$37="","",MAX(0,$C$37-$D$37))</f>
        <v>0</v>
      </c>
      <c r="H37" s="36">
        <f>IF($B$37="","",MIN($D$37,$C$37))</f>
        <v>3</v>
      </c>
      <c r="I37" s="36">
        <f>IF($B$37="","",INDEX(tblSkills[Min per shift (people)],MATCH($B$37,tblSkills[Skill],0)))</f>
        <v>1</v>
      </c>
      <c r="J37" s="36">
        <f>IF($B$37="","",SUMPRODUCT(--(COUNTIFS(tblRecords[Skill],$B$37,tblRecords[Qualified],"Yes",tblRecords[Shift],tblShiftList[Shift])&lt;$I$37)))</f>
        <v>0</v>
      </c>
      <c r="K37" s="36">
        <f>IF($B$37="","",COUNTIFS(tblRecords[Skill],$B$37,tblRecords[Renewal status],"Overdue"))</f>
        <v>1</v>
      </c>
      <c r="L37" s="36">
        <f>IF($B$37="","",COUNTIFS(tblRecords[Skill],$B$37,tblRecords[Renewal status],"Due soon"))</f>
        <v>0</v>
      </c>
      <c r="M37" s="39" t="str">
        <f>IF($B$37="","",IF($F$37="","",IF($F$37&lt;TargetCover,"Below target",IF($J$37&gt;0,"Check","On target"))))</f>
        <v>On target</v>
      </c>
    </row>
    <row r="38" spans="2:13" x14ac:dyDescent="0.25">
      <c r="B38" s="49" t="str">
        <f>IFERROR(INDEX(tblSkills[Skill],8)&amp;"","")</f>
        <v>Forklift</v>
      </c>
      <c r="C38" s="36">
        <f>IF($B$38="","",INDEX(tblSkills[Needed (people)],MATCH($B$38,tblSkills[Skill],0)))</f>
        <v>3</v>
      </c>
      <c r="D38" s="36">
        <f>IF($B$38="","",COUNTIFS(tblRecords[Skill],$B$38,tblRecords[Qualified],"Yes"))</f>
        <v>5</v>
      </c>
      <c r="E38" s="36">
        <f>IF($B$38="","",COUNTIFS(tblRecords[Skill],$B$38,tblRecords[Level (0-4)],"&gt;=1",tblRecords[Level (0-4)],"&lt;"&amp;QualLevel))</f>
        <v>1</v>
      </c>
      <c r="F38" s="50">
        <f>IF($B$38="","",IF(($C$38)=0,"",($D$38)/($C$38)))</f>
        <v>1.66666666666667</v>
      </c>
      <c r="G38" s="36">
        <f>IF($B$38="","",MAX(0,$C$38-$D$38))</f>
        <v>0</v>
      </c>
      <c r="H38" s="36">
        <f>IF($B$38="","",MIN($D$38,$C$38))</f>
        <v>3</v>
      </c>
      <c r="I38" s="36">
        <f>IF($B$38="","",INDEX(tblSkills[Min per shift (people)],MATCH($B$38,tblSkills[Skill],0)))</f>
        <v>1</v>
      </c>
      <c r="J38" s="36">
        <f>IF($B$38="","",SUMPRODUCT(--(COUNTIFS(tblRecords[Skill],$B$38,tblRecords[Qualified],"Yes",tblRecords[Shift],tblShiftList[Shift])&lt;$I$38)))</f>
        <v>0</v>
      </c>
      <c r="K38" s="36">
        <f>IF($B$38="","",COUNTIFS(tblRecords[Skill],$B$38,tblRecords[Renewal status],"Overdue"))</f>
        <v>1</v>
      </c>
      <c r="L38" s="36">
        <f>IF($B$38="","",COUNTIFS(tblRecords[Skill],$B$38,tblRecords[Renewal status],"Due soon"))</f>
        <v>0</v>
      </c>
      <c r="M38" s="39" t="str">
        <f>IF($B$38="","",IF($F$38="","",IF($F$38&lt;TargetCover,"Below target",IF($J$38&gt;0,"Check","On target"))))</f>
        <v>On target</v>
      </c>
    </row>
    <row r="39" spans="2:13" x14ac:dyDescent="0.25">
      <c r="B39" s="49" t="str">
        <f>IFERROR(INDEX(tblSkills[Skill],9)&amp;"","")</f>
        <v>First aid</v>
      </c>
      <c r="C39" s="36">
        <f>IF($B$39="","",INDEX(tblSkills[Needed (people)],MATCH($B$39,tblSkills[Skill],0)))</f>
        <v>6</v>
      </c>
      <c r="D39" s="36">
        <f>IF($B$39="","",COUNTIFS(tblRecords[Skill],$B$39,tblRecords[Qualified],"Yes"))</f>
        <v>5</v>
      </c>
      <c r="E39" s="36">
        <f>IF($B$39="","",COUNTIFS(tblRecords[Skill],$B$39,tblRecords[Level (0-4)],"&gt;=1",tblRecords[Level (0-4)],"&lt;"&amp;QualLevel))</f>
        <v>2</v>
      </c>
      <c r="F39" s="50">
        <f>IF($B$39="","",IF(($C$39)=0,"",($D$39)/($C$39)))</f>
        <v>0.833333333333333</v>
      </c>
      <c r="G39" s="36">
        <f>IF($B$39="","",MAX(0,$C$39-$D$39))</f>
        <v>1</v>
      </c>
      <c r="H39" s="36">
        <f>IF($B$39="","",MIN($D$39,$C$39))</f>
        <v>5</v>
      </c>
      <c r="I39" s="36">
        <f>IF($B$39="","",INDEX(tblSkills[Min per shift (people)],MATCH($B$39,tblSkills[Skill],0)))</f>
        <v>1</v>
      </c>
      <c r="J39" s="36">
        <f>IF($B$39="","",SUMPRODUCT(--(COUNTIFS(tblRecords[Skill],$B$39,tblRecords[Qualified],"Yes",tblRecords[Shift],tblShiftList[Shift])&lt;$I$39)))</f>
        <v>0</v>
      </c>
      <c r="K39" s="36">
        <f>IF($B$39="","",COUNTIFS(tblRecords[Skill],$B$39,tblRecords[Renewal status],"Overdue"))</f>
        <v>0</v>
      </c>
      <c r="L39" s="36">
        <f>IF($B$39="","",COUNTIFS(tblRecords[Skill],$B$39,tblRecords[Renewal status],"Due soon"))</f>
        <v>1</v>
      </c>
      <c r="M39" s="39" t="str">
        <f>IF($B$39="","",IF($F$39="","",IF($F$39&lt;TargetCover,"Below target",IF($J$39&gt;0,"Check","On target"))))</f>
        <v>Below target</v>
      </c>
    </row>
    <row r="40" spans="2:13" x14ac:dyDescent="0.25">
      <c r="B40" s="49" t="str">
        <f>IFERROR(INDEX(tblSkills[Skill],10)&amp;"","")</f>
        <v>LOTO</v>
      </c>
      <c r="C40" s="36">
        <f>IF($B$40="","",INDEX(tblSkills[Needed (people)],MATCH($B$40,tblSkills[Skill],0)))</f>
        <v>10</v>
      </c>
      <c r="D40" s="36">
        <f>IF($B$40="","",COUNTIFS(tblRecords[Skill],$B$40,tblRecords[Qualified],"Yes"))</f>
        <v>11</v>
      </c>
      <c r="E40" s="36">
        <f>IF($B$40="","",COUNTIFS(tblRecords[Skill],$B$40,tblRecords[Level (0-4)],"&gt;=1",tblRecords[Level (0-4)],"&lt;"&amp;QualLevel))</f>
        <v>4</v>
      </c>
      <c r="F40" s="50">
        <f>IF($B$40="","",IF(($C$40)=0,"",($D$40)/($C$40)))</f>
        <v>1.1</v>
      </c>
      <c r="G40" s="36">
        <f>IF($B$40="","",MAX(0,$C$40-$D$40))</f>
        <v>0</v>
      </c>
      <c r="H40" s="36">
        <f>IF($B$40="","",MIN($D$40,$C$40))</f>
        <v>10</v>
      </c>
      <c r="I40" s="36">
        <f>IF($B$40="","",INDEX(tblSkills[Min per shift (people)],MATCH($B$40,tblSkills[Skill],0)))</f>
        <v>2</v>
      </c>
      <c r="J40" s="36">
        <f>IF($B$40="","",SUMPRODUCT(--(COUNTIFS(tblRecords[Skill],$B$40,tblRecords[Qualified],"Yes",tblRecords[Shift],tblShiftList[Shift])&lt;$I$40)))</f>
        <v>0</v>
      </c>
      <c r="K40" s="36">
        <f>IF($B$40="","",COUNTIFS(tblRecords[Skill],$B$40,tblRecords[Renewal status],"Overdue"))</f>
        <v>0</v>
      </c>
      <c r="L40" s="36">
        <f>IF($B$40="","",COUNTIFS(tblRecords[Skill],$B$40,tblRecords[Renewal status],"Due soon"))</f>
        <v>2</v>
      </c>
      <c r="M40" s="39" t="str">
        <f>IF($B$40="","",IF($F$40="","",IF($F$40&lt;TargetCover,"Below target",IF($J$40&gt;0,"Check","On target"))))</f>
        <v>On target</v>
      </c>
    </row>
    <row r="42" spans="2:13" x14ac:dyDescent="0.25">
      <c r="B42" s="32" t="s">
        <v>177</v>
      </c>
      <c r="C42" s="32"/>
      <c r="D42" s="32"/>
      <c r="E42" s="32"/>
      <c r="F42" s="32"/>
    </row>
    <row r="43" spans="2:13" x14ac:dyDescent="0.25">
      <c r="B43" s="48" t="s">
        <v>178</v>
      </c>
      <c r="C43" s="33" t="str">
        <f>IFERROR(INDEX(tblShiftList[Shift],1)&amp;"","")</f>
        <v>Early</v>
      </c>
      <c r="D43" s="33" t="str">
        <f>IFERROR(INDEX(tblShiftList[Shift],2)&amp;"","")</f>
        <v>Late</v>
      </c>
      <c r="E43" s="33" t="str">
        <f>IFERROR(INDEX(tblShiftList[Shift],3)&amp;"","")</f>
        <v>Night</v>
      </c>
      <c r="F43" s="33" t="s">
        <v>172</v>
      </c>
    </row>
    <row r="44" spans="2:13" x14ac:dyDescent="0.25">
      <c r="B44" s="49" t="str">
        <f>IFERROR(INDEX(tblSkills[Skill],1)&amp;"","")</f>
        <v>CNC lathe</v>
      </c>
      <c r="C44" s="51">
        <f>IF(OR($B$44="",$C$43=""),"",COUNTIFS(tblRecords[Skill],$B$44,tblRecords[Shift],$C$43,tblRecords[Qualified],"Yes"))</f>
        <v>2</v>
      </c>
      <c r="D44" s="51">
        <f>IF(OR($B$44="",$D$43=""),"",COUNTIFS(tblRecords[Skill],$B$44,tblRecords[Shift],$D$43,tblRecords[Qualified],"Yes"))</f>
        <v>2</v>
      </c>
      <c r="E44" s="51">
        <f>IF(OR($B$44="",$E$43=""),"",COUNTIFS(tblRecords[Skill],$B$44,tblRecords[Shift],$E$43,tblRecords[Qualified],"Yes"))</f>
        <v>2</v>
      </c>
      <c r="F44" s="52">
        <f>IF($B$44="","",INDEX(tblSkills[Min per shift (people)],MATCH($B$44,tblSkills[Skill],0)))</f>
        <v>2</v>
      </c>
    </row>
    <row r="45" spans="2:13" x14ac:dyDescent="0.25">
      <c r="B45" s="49" t="str">
        <f>IFERROR(INDEX(tblSkills[Skill],2)&amp;"","")</f>
        <v>CNC mill</v>
      </c>
      <c r="C45" s="51">
        <f>IF(OR($B$45="",$C$43=""),"",COUNTIFS(tblRecords[Skill],$B$45,tblRecords[Shift],$C$43,tblRecords[Qualified],"Yes"))</f>
        <v>2</v>
      </c>
      <c r="D45" s="51">
        <f>IF(OR($B$45="",$D$43=""),"",COUNTIFS(tblRecords[Skill],$B$45,tblRecords[Shift],$D$43,tblRecords[Qualified],"Yes"))</f>
        <v>2</v>
      </c>
      <c r="E45" s="51">
        <f>IF(OR($B$45="",$E$43=""),"",COUNTIFS(tblRecords[Skill],$B$45,tblRecords[Shift],$E$43,tblRecords[Qualified],"Yes"))</f>
        <v>3</v>
      </c>
      <c r="F45" s="52">
        <f>IF($B$45="","",INDEX(tblSkills[Min per shift (people)],MATCH($B$45,tblSkills[Skill],0)))</f>
        <v>2</v>
      </c>
    </row>
    <row r="46" spans="2:13" x14ac:dyDescent="0.25">
      <c r="B46" s="49" t="str">
        <f>IFERROR(INDEX(tblSkills[Skill],3)&amp;"","")</f>
        <v>CNC setup</v>
      </c>
      <c r="C46" s="51">
        <f>IF(OR($B$46="",$C$43=""),"",COUNTIFS(tblRecords[Skill],$B$46,tblRecords[Shift],$C$43,tblRecords[Qualified],"Yes"))</f>
        <v>1</v>
      </c>
      <c r="D46" s="51">
        <f>IF(OR($B$46="",$D$43=""),"",COUNTIFS(tblRecords[Skill],$B$46,tblRecords[Shift],$D$43,tblRecords[Qualified],"Yes"))</f>
        <v>1</v>
      </c>
      <c r="E46" s="51">
        <f>IF(OR($B$46="",$E$43=""),"",COUNTIFS(tblRecords[Skill],$B$46,tblRecords[Shift],$E$43,tblRecords[Qualified],"Yes"))</f>
        <v>1</v>
      </c>
      <c r="F46" s="52">
        <f>IF($B$46="","",INDEX(tblSkills[Min per shift (people)],MATCH($B$46,tblSkills[Skill],0)))</f>
        <v>1</v>
      </c>
    </row>
    <row r="47" spans="2:13" x14ac:dyDescent="0.25">
      <c r="B47" s="49" t="str">
        <f>IFERROR(INDEX(tblSkills[Skill],4)&amp;"","")</f>
        <v>CMM</v>
      </c>
      <c r="C47" s="51">
        <f>IF(OR($B$47="",$C$43=""),"",COUNTIFS(tblRecords[Skill],$B$47,tblRecords[Shift],$C$43,tblRecords[Qualified],"Yes"))</f>
        <v>2</v>
      </c>
      <c r="D47" s="51">
        <f>IF(OR($B$47="",$D$43=""),"",COUNTIFS(tblRecords[Skill],$B$47,tblRecords[Shift],$D$43,tblRecords[Qualified],"Yes"))</f>
        <v>1</v>
      </c>
      <c r="E47" s="51">
        <f>IF(OR($B$47="",$E$43=""),"",COUNTIFS(tblRecords[Skill],$B$47,tblRecords[Shift],$E$43,tblRecords[Qualified],"Yes"))</f>
        <v>0</v>
      </c>
      <c r="F47" s="52">
        <f>IF($B$47="","",INDEX(tblSkills[Min per shift (people)],MATCH($B$47,tblSkills[Skill],0)))</f>
        <v>1</v>
      </c>
    </row>
    <row r="48" spans="2:13" x14ac:dyDescent="0.25">
      <c r="B48" s="49" t="str">
        <f>IFERROR(INDEX(tblSkills[Skill],5)&amp;"","")</f>
        <v>Deburr</v>
      </c>
      <c r="C48" s="51">
        <f>IF(OR($B$48="",$C$43=""),"",COUNTIFS(tblRecords[Skill],$B$48,tblRecords[Shift],$C$43,tblRecords[Qualified],"Yes"))</f>
        <v>3</v>
      </c>
      <c r="D48" s="51">
        <f>IF(OR($B$48="",$D$43=""),"",COUNTIFS(tblRecords[Skill],$B$48,tblRecords[Shift],$D$43,tblRecords[Qualified],"Yes"))</f>
        <v>4</v>
      </c>
      <c r="E48" s="51">
        <f>IF(OR($B$48="",$E$43=""),"",COUNTIFS(tblRecords[Skill],$B$48,tblRecords[Shift],$E$43,tblRecords[Qualified],"Yes"))</f>
        <v>3</v>
      </c>
      <c r="F48" s="52">
        <f>IF($B$48="","",INDEX(tblSkills[Min per shift (people)],MATCH($B$48,tblSkills[Skill],0)))</f>
        <v>1</v>
      </c>
    </row>
    <row r="49" spans="2:13" x14ac:dyDescent="0.25">
      <c r="B49" s="49" t="str">
        <f>IFERROR(INDEX(tblSkills[Skill],6)&amp;"","")</f>
        <v>Assembly</v>
      </c>
      <c r="C49" s="51">
        <f>IF(OR($B$49="",$C$43=""),"",COUNTIFS(tblRecords[Skill],$B$49,tblRecords[Shift],$C$43,tblRecords[Qualified],"Yes"))</f>
        <v>2</v>
      </c>
      <c r="D49" s="51">
        <f>IF(OR($B$49="",$D$43=""),"",COUNTIFS(tblRecords[Skill],$B$49,tblRecords[Shift],$D$43,tblRecords[Qualified],"Yes"))</f>
        <v>2</v>
      </c>
      <c r="E49" s="51">
        <f>IF(OR($B$49="",$E$43=""),"",COUNTIFS(tblRecords[Skill],$B$49,tblRecords[Shift],$E$43,tblRecords[Qualified],"Yes"))</f>
        <v>2</v>
      </c>
      <c r="F49" s="52">
        <f>IF($B$49="","",INDEX(tblSkills[Min per shift (people)],MATCH($B$49,tblSkills[Skill],0)))</f>
        <v>2</v>
      </c>
    </row>
    <row r="50" spans="2:13" x14ac:dyDescent="0.25">
      <c r="B50" s="49" t="str">
        <f>IFERROR(INDEX(tblSkills[Skill],7)&amp;"","")</f>
        <v>Leak test</v>
      </c>
      <c r="C50" s="51">
        <f>IF(OR($B$50="",$C$43=""),"",COUNTIFS(tblRecords[Skill],$B$50,tblRecords[Shift],$C$43,tblRecords[Qualified],"Yes"))</f>
        <v>1</v>
      </c>
      <c r="D50" s="51">
        <f>IF(OR($B$50="",$D$43=""),"",COUNTIFS(tblRecords[Skill],$B$50,tblRecords[Shift],$D$43,tblRecords[Qualified],"Yes"))</f>
        <v>2</v>
      </c>
      <c r="E50" s="51">
        <f>IF(OR($B$50="",$E$43=""),"",COUNTIFS(tblRecords[Skill],$B$50,tblRecords[Shift],$E$43,tblRecords[Qualified],"Yes"))</f>
        <v>1</v>
      </c>
      <c r="F50" s="52">
        <f>IF($B$50="","",INDEX(tblSkills[Min per shift (people)],MATCH($B$50,tblSkills[Skill],0)))</f>
        <v>1</v>
      </c>
    </row>
    <row r="51" spans="2:13" x14ac:dyDescent="0.25">
      <c r="B51" s="49" t="str">
        <f>IFERROR(INDEX(tblSkills[Skill],8)&amp;"","")</f>
        <v>Forklift</v>
      </c>
      <c r="C51" s="51">
        <f>IF(OR($B$51="",$C$43=""),"",COUNTIFS(tblRecords[Skill],$B$51,tblRecords[Shift],$C$43,tblRecords[Qualified],"Yes"))</f>
        <v>3</v>
      </c>
      <c r="D51" s="51">
        <f>IF(OR($B$51="",$D$43=""),"",COUNTIFS(tblRecords[Skill],$B$51,tblRecords[Shift],$D$43,tblRecords[Qualified],"Yes"))</f>
        <v>1</v>
      </c>
      <c r="E51" s="51">
        <f>IF(OR($B$51="",$E$43=""),"",COUNTIFS(tblRecords[Skill],$B$51,tblRecords[Shift],$E$43,tblRecords[Qualified],"Yes"))</f>
        <v>1</v>
      </c>
      <c r="F51" s="52">
        <f>IF($B$51="","",INDEX(tblSkills[Min per shift (people)],MATCH($B$51,tblSkills[Skill],0)))</f>
        <v>1</v>
      </c>
    </row>
    <row r="52" spans="2:13" x14ac:dyDescent="0.25">
      <c r="B52" s="49" t="str">
        <f>IFERROR(INDEX(tblSkills[Skill],9)&amp;"","")</f>
        <v>First aid</v>
      </c>
      <c r="C52" s="51">
        <f>IF(OR($B$52="",$C$43=""),"",COUNTIFS(tblRecords[Skill],$B$52,tblRecords[Shift],$C$43,tblRecords[Qualified],"Yes"))</f>
        <v>2</v>
      </c>
      <c r="D52" s="51">
        <f>IF(OR($B$52="",$D$43=""),"",COUNTIFS(tblRecords[Skill],$B$52,tblRecords[Shift],$D$43,tblRecords[Qualified],"Yes"))</f>
        <v>2</v>
      </c>
      <c r="E52" s="51">
        <f>IF(OR($B$52="",$E$43=""),"",COUNTIFS(tblRecords[Skill],$B$52,tblRecords[Shift],$E$43,tblRecords[Qualified],"Yes"))</f>
        <v>1</v>
      </c>
      <c r="F52" s="52">
        <f>IF($B$52="","",INDEX(tblSkills[Min per shift (people)],MATCH($B$52,tblSkills[Skill],0)))</f>
        <v>1</v>
      </c>
    </row>
    <row r="53" spans="2:13" x14ac:dyDescent="0.25">
      <c r="B53" s="49" t="str">
        <f>IFERROR(INDEX(tblSkills[Skill],10)&amp;"","")</f>
        <v>LOTO</v>
      </c>
      <c r="C53" s="51">
        <f>IF(OR($B$53="",$C$43=""),"",COUNTIFS(tblRecords[Skill],$B$53,tblRecords[Shift],$C$43,tblRecords[Qualified],"Yes"))</f>
        <v>4</v>
      </c>
      <c r="D53" s="51">
        <f>IF(OR($B$53="",$D$43=""),"",COUNTIFS(tblRecords[Skill],$B$53,tblRecords[Shift],$D$43,tblRecords[Qualified],"Yes"))</f>
        <v>3</v>
      </c>
      <c r="E53" s="51">
        <f>IF(OR($B$53="",$E$43=""),"",COUNTIFS(tblRecords[Skill],$B$53,tblRecords[Shift],$E$43,tblRecords[Qualified],"Yes"))</f>
        <v>4</v>
      </c>
      <c r="F53" s="52">
        <f>IF($B$53="","",INDEX(tblSkills[Min per shift (people)],MATCH($B$53,tblSkills[Skill],0)))</f>
        <v>2</v>
      </c>
    </row>
    <row r="55" spans="2:13" x14ac:dyDescent="0.25">
      <c r="B55" s="32" t="s">
        <v>179</v>
      </c>
      <c r="C55" s="32"/>
      <c r="D55" s="32"/>
      <c r="E55" s="32"/>
      <c r="F55" s="32"/>
      <c r="G55" s="32"/>
      <c r="H55" s="32"/>
      <c r="I55" s="32"/>
      <c r="J55" s="32"/>
      <c r="K55" s="32"/>
      <c r="L55" s="32"/>
      <c r="M55" s="32"/>
    </row>
    <row r="56" spans="2:13" x14ac:dyDescent="0.25">
      <c r="B56" s="48" t="s">
        <v>180</v>
      </c>
      <c r="C56" s="33" t="str">
        <f>IFERROR(INDEX(tblSkills[Skill],1)&amp;"","")</f>
        <v>CNC lathe</v>
      </c>
      <c r="D56" s="33" t="str">
        <f>IFERROR(INDEX(tblSkills[Skill],2)&amp;"","")</f>
        <v>CNC mill</v>
      </c>
      <c r="E56" s="33" t="str">
        <f>IFERROR(INDEX(tblSkills[Skill],3)&amp;"","")</f>
        <v>CNC setup</v>
      </c>
      <c r="F56" s="33" t="str">
        <f>IFERROR(INDEX(tblSkills[Skill],4)&amp;"","")</f>
        <v>CMM</v>
      </c>
      <c r="G56" s="33" t="str">
        <f>IFERROR(INDEX(tblSkills[Skill],5)&amp;"","")</f>
        <v>Deburr</v>
      </c>
      <c r="H56" s="33" t="str">
        <f>IFERROR(INDEX(tblSkills[Skill],6)&amp;"","")</f>
        <v>Assembly</v>
      </c>
      <c r="I56" s="33" t="str">
        <f>IFERROR(INDEX(tblSkills[Skill],7)&amp;"","")</f>
        <v>Leak test</v>
      </c>
      <c r="J56" s="33" t="str">
        <f>IFERROR(INDEX(tblSkills[Skill],8)&amp;"","")</f>
        <v>Forklift</v>
      </c>
      <c r="K56" s="33" t="str">
        <f>IFERROR(INDEX(tblSkills[Skill],9)&amp;"","")</f>
        <v>First aid</v>
      </c>
      <c r="L56" s="33" t="str">
        <f>IFERROR(INDEX(tblSkills[Skill],10)&amp;"","")</f>
        <v>LOTO</v>
      </c>
      <c r="M56" s="33" t="s">
        <v>181</v>
      </c>
    </row>
    <row r="57" spans="2:13" x14ac:dyDescent="0.25">
      <c r="B57" s="49" t="str">
        <f>IFERROR(INDEX(tblPeople[Person],1)&amp;"","")</f>
        <v>A. Okafor</v>
      </c>
      <c r="C57" s="51">
        <f>IF(OR($B$57="",$C$56=""),"",IF(COUNTIFS(tblRecords[Person],$B$57,tblRecords[Skill],$C$56)=0,"",SUMIFS(tblRecords[Level (0-4)],tblRecords[Person],$B$57,tblRecords[Skill],$C$56)))</f>
        <v>4</v>
      </c>
      <c r="D57" s="51">
        <f>IF(OR($B$57="",$D$56=""),"",IF(COUNTIFS(tblRecords[Person],$B$57,tblRecords[Skill],$D$56)=0,"",SUMIFS(tblRecords[Level (0-4)],tblRecords[Person],$B$57,tblRecords[Skill],$D$56)))</f>
        <v>4</v>
      </c>
      <c r="E57" s="51">
        <f>IF(OR($B$57="",$E$56=""),"",IF(COUNTIFS(tblRecords[Person],$B$57,tblRecords[Skill],$E$56)=0,"",SUMIFS(tblRecords[Level (0-4)],tblRecords[Person],$B$57,tblRecords[Skill],$E$56)))</f>
        <v>4</v>
      </c>
      <c r="F57" s="51">
        <f>IF(OR($B$57="",$F$56=""),"",IF(COUNTIFS(tblRecords[Person],$B$57,tblRecords[Skill],$F$56)=0,"",SUMIFS(tblRecords[Level (0-4)],tblRecords[Person],$B$57,tblRecords[Skill],$F$56)))</f>
        <v>3</v>
      </c>
      <c r="G57" s="51">
        <f>IF(OR($B$57="",$G$56=""),"",IF(COUNTIFS(tblRecords[Person],$B$57,tblRecords[Skill],$G$56)=0,"",SUMIFS(tblRecords[Level (0-4)],tblRecords[Person],$B$57,tblRecords[Skill],$G$56)))</f>
        <v>3</v>
      </c>
      <c r="H57" s="51">
        <f>IF(OR($B$57="",$H$56=""),"",IF(COUNTIFS(tblRecords[Person],$B$57,tblRecords[Skill],$H$56)=0,"",SUMIFS(tblRecords[Level (0-4)],tblRecords[Person],$B$57,tblRecords[Skill],$H$56)))</f>
        <v>2</v>
      </c>
      <c r="I57" s="51">
        <f>IF(OR($B$57="",$I$56=""),"",IF(COUNTIFS(tblRecords[Person],$B$57,tblRecords[Skill],$I$56)=0,"",SUMIFS(tblRecords[Level (0-4)],tblRecords[Person],$B$57,tblRecords[Skill],$I$56)))</f>
        <v/>
      </c>
      <c r="J57" s="51">
        <f>IF(OR($B$57="",$J$56=""),"",IF(COUNTIFS(tblRecords[Person],$B$57,tblRecords[Skill],$J$56)=0,"",SUMIFS(tblRecords[Level (0-4)],tblRecords[Person],$B$57,tblRecords[Skill],$J$56)))</f>
        <v>3</v>
      </c>
      <c r="K57" s="51">
        <f>IF(OR($B$57="",$K$56=""),"",IF(COUNTIFS(tblRecords[Person],$B$57,tblRecords[Skill],$K$56)=0,"",SUMIFS(tblRecords[Level (0-4)],tblRecords[Person],$B$57,tblRecords[Skill],$K$56)))</f>
        <v>3</v>
      </c>
      <c r="L57" s="51">
        <f>IF(OR($B$57="",$L$56=""),"",IF(COUNTIFS(tblRecords[Person],$B$57,tblRecords[Skill],$L$56)=0,"",SUMIFS(tblRecords[Level (0-4)],tblRecords[Person],$B$57,tblRecords[Skill],$L$56)))</f>
        <v>4</v>
      </c>
      <c r="M57" s="52">
        <f>IF($B$57="","",COUNTIFS(tblRecords[Person],$B$57,tblRecords[Qualified],"Yes"))</f>
        <v>8</v>
      </c>
    </row>
    <row r="58" spans="2:13" x14ac:dyDescent="0.25">
      <c r="B58" s="49" t="str">
        <f>IFERROR(INDEX(tblPeople[Person],2)&amp;"","")</f>
        <v>B. Lindqvist</v>
      </c>
      <c r="C58" s="51">
        <f>IF(OR($B$58="",$C$56=""),"",IF(COUNTIFS(tblRecords[Person],$B$58,tblRecords[Skill],$C$56)=0,"",SUMIFS(tblRecords[Level (0-4)],tblRecords[Person],$B$58,tblRecords[Skill],$C$56)))</f>
        <v>3</v>
      </c>
      <c r="D58" s="51">
        <f>IF(OR($B$58="",$D$56=""),"",IF(COUNTIFS(tblRecords[Person],$B$58,tblRecords[Skill],$D$56)=0,"",SUMIFS(tblRecords[Level (0-4)],tblRecords[Person],$B$58,tblRecords[Skill],$D$56)))</f>
        <v>3</v>
      </c>
      <c r="E58" s="51">
        <f>IF(OR($B$58="",$E$56=""),"",IF(COUNTIFS(tblRecords[Person],$B$58,tblRecords[Skill],$E$56)=0,"",SUMIFS(tblRecords[Level (0-4)],tblRecords[Person],$B$58,tblRecords[Skill],$E$56)))</f>
        <v>2</v>
      </c>
      <c r="F58" s="51">
        <f>IF(OR($B$58="",$F$56=""),"",IF(COUNTIFS(tblRecords[Person],$B$58,tblRecords[Skill],$F$56)=0,"",SUMIFS(tblRecords[Level (0-4)],tblRecords[Person],$B$58,tblRecords[Skill],$F$56)))</f>
        <v/>
      </c>
      <c r="G58" s="51">
        <f>IF(OR($B$58="",$G$56=""),"",IF(COUNTIFS(tblRecords[Person],$B$58,tblRecords[Skill],$G$56)=0,"",SUMIFS(tblRecords[Level (0-4)],tblRecords[Person],$B$58,tblRecords[Skill],$G$56)))</f>
        <v>3</v>
      </c>
      <c r="H58" s="51">
        <f>IF(OR($B$58="",$H$56=""),"",IF(COUNTIFS(tblRecords[Person],$B$58,tblRecords[Skill],$H$56)=0,"",SUMIFS(tblRecords[Level (0-4)],tblRecords[Person],$B$58,tblRecords[Skill],$H$56)))</f>
        <v/>
      </c>
      <c r="I58" s="51">
        <f>IF(OR($B$58="",$I$56=""),"",IF(COUNTIFS(tblRecords[Person],$B$58,tblRecords[Skill],$I$56)=0,"",SUMIFS(tblRecords[Level (0-4)],tblRecords[Person],$B$58,tblRecords[Skill],$I$56)))</f>
        <v/>
      </c>
      <c r="J58" s="51">
        <f>IF(OR($B$58="",$J$56=""),"",IF(COUNTIFS(tblRecords[Person],$B$58,tblRecords[Skill],$J$56)=0,"",SUMIFS(tblRecords[Level (0-4)],tblRecords[Person],$B$58,tblRecords[Skill],$J$56)))</f>
        <v/>
      </c>
      <c r="K58" s="51">
        <f>IF(OR($B$58="",$K$56=""),"",IF(COUNTIFS(tblRecords[Person],$B$58,tblRecords[Skill],$K$56)=0,"",SUMIFS(tblRecords[Level (0-4)],tblRecords[Person],$B$58,tblRecords[Skill],$K$56)))</f>
        <v/>
      </c>
      <c r="L58" s="51">
        <f>IF(OR($B$58="",$L$56=""),"",IF(COUNTIFS(tblRecords[Person],$B$58,tblRecords[Skill],$L$56)=0,"",SUMIFS(tblRecords[Level (0-4)],tblRecords[Person],$B$58,tblRecords[Skill],$L$56)))</f>
        <v>3</v>
      </c>
      <c r="M58" s="52">
        <f>IF($B$58="","",COUNTIFS(tblRecords[Person],$B$58,tblRecords[Qualified],"Yes"))</f>
        <v>4</v>
      </c>
    </row>
    <row r="59" spans="2:13" x14ac:dyDescent="0.25">
      <c r="B59" s="49" t="str">
        <f>IFERROR(INDEX(tblPeople[Person],3)&amp;"","")</f>
        <v>C. Mehta</v>
      </c>
      <c r="C59" s="51">
        <f>IF(OR($B$59="",$C$56=""),"",IF(COUNTIFS(tblRecords[Person],$B$59,tblRecords[Skill],$C$56)=0,"",SUMIFS(tblRecords[Level (0-4)],tblRecords[Person],$B$59,tblRecords[Skill],$C$56)))</f>
        <v>1</v>
      </c>
      <c r="D59" s="51">
        <f>IF(OR($B$59="",$D$56=""),"",IF(COUNTIFS(tblRecords[Person],$B$59,tblRecords[Skill],$D$56)=0,"",SUMIFS(tblRecords[Level (0-4)],tblRecords[Person],$B$59,tblRecords[Skill],$D$56)))</f>
        <v/>
      </c>
      <c r="E59" s="51">
        <f>IF(OR($B$59="",$E$56=""),"",IF(COUNTIFS(tblRecords[Person],$B$59,tblRecords[Skill],$E$56)=0,"",SUMIFS(tblRecords[Level (0-4)],tblRecords[Person],$B$59,tblRecords[Skill],$E$56)))</f>
        <v/>
      </c>
      <c r="F59" s="51">
        <f>IF(OR($B$59="",$F$56=""),"",IF(COUNTIFS(tblRecords[Person],$B$59,tblRecords[Skill],$F$56)=0,"",SUMIFS(tblRecords[Level (0-4)],tblRecords[Person],$B$59,tblRecords[Skill],$F$56)))</f>
        <v>4</v>
      </c>
      <c r="G59" s="51">
        <f>IF(OR($B$59="",$G$56=""),"",IF(COUNTIFS(tblRecords[Person],$B$59,tblRecords[Skill],$G$56)=0,"",SUMIFS(tblRecords[Level (0-4)],tblRecords[Person],$B$59,tblRecords[Skill],$G$56)))</f>
        <v>2</v>
      </c>
      <c r="H59" s="51">
        <f>IF(OR($B$59="",$H$56=""),"",IF(COUNTIFS(tblRecords[Person],$B$59,tblRecords[Skill],$H$56)=0,"",SUMIFS(tblRecords[Level (0-4)],tblRecords[Person],$B$59,tblRecords[Skill],$H$56)))</f>
        <v>3</v>
      </c>
      <c r="I59" s="51">
        <f>IF(OR($B$59="",$I$56=""),"",IF(COUNTIFS(tblRecords[Person],$B$59,tblRecords[Skill],$I$56)=0,"",SUMIFS(tblRecords[Level (0-4)],tblRecords[Person],$B$59,tblRecords[Skill],$I$56)))</f>
        <v>3</v>
      </c>
      <c r="J59" s="51">
        <f>IF(OR($B$59="",$J$56=""),"",IF(COUNTIFS(tblRecords[Person],$B$59,tblRecords[Skill],$J$56)=0,"",SUMIFS(tblRecords[Level (0-4)],tblRecords[Person],$B$59,tblRecords[Skill],$J$56)))</f>
        <v/>
      </c>
      <c r="K59" s="51">
        <f>IF(OR($B$59="",$K$56=""),"",IF(COUNTIFS(tblRecords[Person],$B$59,tblRecords[Skill],$K$56)=0,"",SUMIFS(tblRecords[Level (0-4)],tblRecords[Person],$B$59,tblRecords[Skill],$K$56)))</f>
        <v>3</v>
      </c>
      <c r="L59" s="51">
        <f>IF(OR($B$59="",$L$56=""),"",IF(COUNTIFS(tblRecords[Person],$B$59,tblRecords[Skill],$L$56)=0,"",SUMIFS(tblRecords[Level (0-4)],tblRecords[Person],$B$59,tblRecords[Skill],$L$56)))</f>
        <v>3</v>
      </c>
      <c r="M59" s="52">
        <f>IF($B$59="","",COUNTIFS(tblRecords[Person],$B$59,tblRecords[Qualified],"Yes"))</f>
        <v>5</v>
      </c>
    </row>
    <row r="60" spans="2:13" x14ac:dyDescent="0.25">
      <c r="B60" s="49" t="str">
        <f>IFERROR(INDEX(tblPeople[Person],4)&amp;"","")</f>
        <v>D. Romero</v>
      </c>
      <c r="C60" s="51">
        <f>IF(OR($B$60="",$C$56=""),"",IF(COUNTIFS(tblRecords[Person],$B$60,tblRecords[Skill],$C$56)=0,"",SUMIFS(tblRecords[Level (0-4)],tblRecords[Person],$B$60,tblRecords[Skill],$C$56)))</f>
        <v/>
      </c>
      <c r="D60" s="51">
        <f>IF(OR($B$60="",$D$56=""),"",IF(COUNTIFS(tblRecords[Person],$B$60,tblRecords[Skill],$D$56)=0,"",SUMIFS(tblRecords[Level (0-4)],tblRecords[Person],$B$60,tblRecords[Skill],$D$56)))</f>
        <v/>
      </c>
      <c r="E60" s="51">
        <f>IF(OR($B$60="",$E$56=""),"",IF(COUNTIFS(tblRecords[Person],$B$60,tblRecords[Skill],$E$56)=0,"",SUMIFS(tblRecords[Level (0-4)],tblRecords[Person],$B$60,tblRecords[Skill],$E$56)))</f>
        <v/>
      </c>
      <c r="F60" s="51">
        <f>IF(OR($B$60="",$F$56=""),"",IF(COUNTIFS(tblRecords[Person],$B$60,tblRecords[Skill],$F$56)=0,"",SUMIFS(tblRecords[Level (0-4)],tblRecords[Person],$B$60,tblRecords[Skill],$F$56)))</f>
        <v/>
      </c>
      <c r="G60" s="51">
        <f>IF(OR($B$60="",$G$56=""),"",IF(COUNTIFS(tblRecords[Person],$B$60,tblRecords[Skill],$G$56)=0,"",SUMIFS(tblRecords[Level (0-4)],tblRecords[Person],$B$60,tblRecords[Skill],$G$56)))</f>
        <v>3</v>
      </c>
      <c r="H60" s="51">
        <f>IF(OR($B$60="",$H$56=""),"",IF(COUNTIFS(tblRecords[Person],$B$60,tblRecords[Skill],$H$56)=0,"",SUMIFS(tblRecords[Level (0-4)],tblRecords[Person],$B$60,tblRecords[Skill],$H$56)))</f>
        <v>4</v>
      </c>
      <c r="I60" s="51">
        <f>IF(OR($B$60="",$I$56=""),"",IF(COUNTIFS(tblRecords[Person],$B$60,tblRecords[Skill],$I$56)=0,"",SUMIFS(tblRecords[Level (0-4)],tblRecords[Person],$B$60,tblRecords[Skill],$I$56)))</f>
        <v>4</v>
      </c>
      <c r="J60" s="51">
        <f>IF(OR($B$60="",$J$56=""),"",IF(COUNTIFS(tblRecords[Person],$B$60,tblRecords[Skill],$J$56)=0,"",SUMIFS(tblRecords[Level (0-4)],tblRecords[Person],$B$60,tblRecords[Skill],$J$56)))</f>
        <v>3</v>
      </c>
      <c r="K60" s="51">
        <f>IF(OR($B$60="",$K$56=""),"",IF(COUNTIFS(tblRecords[Person],$B$60,tblRecords[Skill],$K$56)=0,"",SUMIFS(tblRecords[Level (0-4)],tblRecords[Person],$B$60,tblRecords[Skill],$K$56)))</f>
        <v/>
      </c>
      <c r="L60" s="51">
        <f>IF(OR($B$60="",$L$56=""),"",IF(COUNTIFS(tblRecords[Person],$B$60,tblRecords[Skill],$L$56)=0,"",SUMIFS(tblRecords[Level (0-4)],tblRecords[Person],$B$60,tblRecords[Skill],$L$56)))</f>
        <v>2</v>
      </c>
      <c r="M60" s="52">
        <f>IF($B$60="","",COUNTIFS(tblRecords[Person],$B$60,tblRecords[Qualified],"Yes"))</f>
        <v>3</v>
      </c>
    </row>
    <row r="61" spans="2:13" x14ac:dyDescent="0.25">
      <c r="B61" s="49" t="str">
        <f>IFERROR(INDEX(tblPeople[Person],5)&amp;"","")</f>
        <v>E. Walsh</v>
      </c>
      <c r="C61" s="51">
        <f>IF(OR($B$61="",$C$56=""),"",IF(COUNTIFS(tblRecords[Person],$B$61,tblRecords[Skill],$C$56)=0,"",SUMIFS(tblRecords[Level (0-4)],tblRecords[Person],$B$61,tblRecords[Skill],$C$56)))</f>
        <v/>
      </c>
      <c r="D61" s="51">
        <f>IF(OR($B$61="",$D$56=""),"",IF(COUNTIFS(tblRecords[Person],$B$61,tblRecords[Skill],$D$56)=0,"",SUMIFS(tblRecords[Level (0-4)],tblRecords[Person],$B$61,tblRecords[Skill],$D$56)))</f>
        <v/>
      </c>
      <c r="E61" s="51">
        <f>IF(OR($B$61="",$E$56=""),"",IF(COUNTIFS(tblRecords[Person],$B$61,tblRecords[Skill],$E$56)=0,"",SUMIFS(tblRecords[Level (0-4)],tblRecords[Person],$B$61,tblRecords[Skill],$E$56)))</f>
        <v/>
      </c>
      <c r="F61" s="51">
        <f>IF(OR($B$61="",$F$56=""),"",IF(COUNTIFS(tblRecords[Person],$B$61,tblRecords[Skill],$F$56)=0,"",SUMIFS(tblRecords[Level (0-4)],tblRecords[Person],$B$61,tblRecords[Skill],$F$56)))</f>
        <v/>
      </c>
      <c r="G61" s="51">
        <f>IF(OR($B$61="",$G$56=""),"",IF(COUNTIFS(tblRecords[Person],$B$61,tblRecords[Skill],$G$56)=0,"",SUMIFS(tblRecords[Level (0-4)],tblRecords[Person],$B$61,tblRecords[Skill],$G$56)))</f>
        <v>2</v>
      </c>
      <c r="H61" s="51">
        <f>IF(OR($B$61="",$H$56=""),"",IF(COUNTIFS(tblRecords[Person],$B$61,tblRecords[Skill],$H$56)=0,"",SUMIFS(tblRecords[Level (0-4)],tblRecords[Person],$B$61,tblRecords[Skill],$H$56)))</f>
        <v>2</v>
      </c>
      <c r="I61" s="51">
        <f>IF(OR($B$61="",$I$56=""),"",IF(COUNTIFS(tblRecords[Person],$B$61,tblRecords[Skill],$I$56)=0,"",SUMIFS(tblRecords[Level (0-4)],tblRecords[Person],$B$61,tblRecords[Skill],$I$56)))</f>
        <v/>
      </c>
      <c r="J61" s="51">
        <f>IF(OR($B$61="",$J$56=""),"",IF(COUNTIFS(tblRecords[Person],$B$61,tblRecords[Skill],$J$56)=0,"",SUMIFS(tblRecords[Level (0-4)],tblRecords[Person],$B$61,tblRecords[Skill],$J$56)))</f>
        <v>4</v>
      </c>
      <c r="K61" s="51">
        <f>IF(OR($B$61="",$K$56=""),"",IF(COUNTIFS(tblRecords[Person],$B$61,tblRecords[Skill],$K$56)=0,"",SUMIFS(tblRecords[Level (0-4)],tblRecords[Person],$B$61,tblRecords[Skill],$K$56)))</f>
        <v>1</v>
      </c>
      <c r="L61" s="51">
        <f>IF(OR($B$61="",$L$56=""),"",IF(COUNTIFS(tblRecords[Person],$B$61,tblRecords[Skill],$L$56)=0,"",SUMIFS(tblRecords[Level (0-4)],tblRecords[Person],$B$61,tblRecords[Skill],$L$56)))</f>
        <v>3</v>
      </c>
      <c r="M61" s="52">
        <f>IF($B$61="","",COUNTIFS(tblRecords[Person],$B$61,tblRecords[Qualified],"Yes"))</f>
        <v>2</v>
      </c>
    </row>
    <row r="62" spans="2:13" x14ac:dyDescent="0.25">
      <c r="B62" s="49" t="str">
        <f>IFERROR(INDEX(tblPeople[Person],6)&amp;"","")</f>
        <v>F. Nguyen</v>
      </c>
      <c r="C62" s="51">
        <f>IF(OR($B$62="",$C$56=""),"",IF(COUNTIFS(tblRecords[Person],$B$62,tblRecords[Skill],$C$56)=0,"",SUMIFS(tblRecords[Level (0-4)],tblRecords[Person],$B$62,tblRecords[Skill],$C$56)))</f>
        <v>4</v>
      </c>
      <c r="D62" s="51">
        <f>IF(OR($B$62="",$D$56=""),"",IF(COUNTIFS(tblRecords[Person],$B$62,tblRecords[Skill],$D$56)=0,"",SUMIFS(tblRecords[Level (0-4)],tblRecords[Person],$B$62,tblRecords[Skill],$D$56)))</f>
        <v>3</v>
      </c>
      <c r="E62" s="51">
        <f>IF(OR($B$62="",$E$56=""),"",IF(COUNTIFS(tblRecords[Person],$B$62,tblRecords[Skill],$E$56)=0,"",SUMIFS(tblRecords[Level (0-4)],tblRecords[Person],$B$62,tblRecords[Skill],$E$56)))</f>
        <v>3</v>
      </c>
      <c r="F62" s="51">
        <f>IF(OR($B$62="",$F$56=""),"",IF(COUNTIFS(tblRecords[Person],$B$62,tblRecords[Skill],$F$56)=0,"",SUMIFS(tblRecords[Level (0-4)],tblRecords[Person],$B$62,tblRecords[Skill],$F$56)))</f>
        <v>2</v>
      </c>
      <c r="G62" s="51">
        <f>IF(OR($B$62="",$G$56=""),"",IF(COUNTIFS(tblRecords[Person],$B$62,tblRecords[Skill],$G$56)=0,"",SUMIFS(tblRecords[Level (0-4)],tblRecords[Person],$B$62,tblRecords[Skill],$G$56)))</f>
        <v>3</v>
      </c>
      <c r="H62" s="51">
        <f>IF(OR($B$62="",$H$56=""),"",IF(COUNTIFS(tblRecords[Person],$B$62,tblRecords[Skill],$H$56)=0,"",SUMIFS(tblRecords[Level (0-4)],tblRecords[Person],$B$62,tblRecords[Skill],$H$56)))</f>
        <v>3</v>
      </c>
      <c r="I62" s="51">
        <f>IF(OR($B$62="",$I$56=""),"",IF(COUNTIFS(tblRecords[Person],$B$62,tblRecords[Skill],$I$56)=0,"",SUMIFS(tblRecords[Level (0-4)],tblRecords[Person],$B$62,tblRecords[Skill],$I$56)))</f>
        <v>2</v>
      </c>
      <c r="J62" s="51">
        <f>IF(OR($B$62="",$J$56=""),"",IF(COUNTIFS(tblRecords[Person],$B$62,tblRecords[Skill],$J$56)=0,"",SUMIFS(tblRecords[Level (0-4)],tblRecords[Person],$B$62,tblRecords[Skill],$J$56)))</f>
        <v>3</v>
      </c>
      <c r="K62" s="51">
        <f>IF(OR($B$62="",$K$56=""),"",IF(COUNTIFS(tblRecords[Person],$B$62,tblRecords[Skill],$K$56)=0,"",SUMIFS(tblRecords[Level (0-4)],tblRecords[Person],$B$62,tblRecords[Skill],$K$56)))</f>
        <v>3</v>
      </c>
      <c r="L62" s="51">
        <f>IF(OR($B$62="",$L$56=""),"",IF(COUNTIFS(tblRecords[Person],$B$62,tblRecords[Skill],$L$56)=0,"",SUMIFS(tblRecords[Level (0-4)],tblRecords[Person],$B$62,tblRecords[Skill],$L$56)))</f>
        <v>4</v>
      </c>
      <c r="M62" s="52">
        <f>IF($B$62="","",COUNTIFS(tblRecords[Person],$B$62,tblRecords[Qualified],"Yes"))</f>
        <v>8</v>
      </c>
    </row>
    <row r="63" spans="2:13" x14ac:dyDescent="0.25">
      <c r="B63" s="49" t="str">
        <f>IFERROR(INDEX(tblPeople[Person],7)&amp;"","")</f>
        <v>G. Brennan</v>
      </c>
      <c r="C63" s="51">
        <f>IF(OR($B$63="",$C$56=""),"",IF(COUNTIFS(tblRecords[Person],$B$63,tblRecords[Skill],$C$56)=0,"",SUMIFS(tblRecords[Level (0-4)],tblRecords[Person],$B$63,tblRecords[Skill],$C$56)))</f>
        <v>3</v>
      </c>
      <c r="D63" s="51">
        <f>IF(OR($B$63="",$D$56=""),"",IF(COUNTIFS(tblRecords[Person],$B$63,tblRecords[Skill],$D$56)=0,"",SUMIFS(tblRecords[Level (0-4)],tblRecords[Person],$B$63,tblRecords[Skill],$D$56)))</f>
        <v>4</v>
      </c>
      <c r="E63" s="51">
        <f>IF(OR($B$63="",$E$56=""),"",IF(COUNTIFS(tblRecords[Person],$B$63,tblRecords[Skill],$E$56)=0,"",SUMIFS(tblRecords[Level (0-4)],tblRecords[Person],$B$63,tblRecords[Skill],$E$56)))</f>
        <v>2</v>
      </c>
      <c r="F63" s="51">
        <f>IF(OR($B$63="",$F$56=""),"",IF(COUNTIFS(tblRecords[Person],$B$63,tblRecords[Skill],$F$56)=0,"",SUMIFS(tblRecords[Level (0-4)],tblRecords[Person],$B$63,tblRecords[Skill],$F$56)))</f>
        <v/>
      </c>
      <c r="G63" s="51">
        <f>IF(OR($B$63="",$G$56=""),"",IF(COUNTIFS(tblRecords[Person],$B$63,tblRecords[Skill],$G$56)=0,"",SUMIFS(tblRecords[Level (0-4)],tblRecords[Person],$B$63,tblRecords[Skill],$G$56)))</f>
        <v>3</v>
      </c>
      <c r="H63" s="51">
        <f>IF(OR($B$63="",$H$56=""),"",IF(COUNTIFS(tblRecords[Person],$B$63,tblRecords[Skill],$H$56)=0,"",SUMIFS(tblRecords[Level (0-4)],tblRecords[Person],$B$63,tblRecords[Skill],$H$56)))</f>
        <v/>
      </c>
      <c r="I63" s="51">
        <f>IF(OR($B$63="",$I$56=""),"",IF(COUNTIFS(tblRecords[Person],$B$63,tblRecords[Skill],$I$56)=0,"",SUMIFS(tblRecords[Level (0-4)],tblRecords[Person],$B$63,tblRecords[Skill],$I$56)))</f>
        <v/>
      </c>
      <c r="J63" s="51">
        <f>IF(OR($B$63="",$J$56=""),"",IF(COUNTIFS(tblRecords[Person],$B$63,tblRecords[Skill],$J$56)=0,"",SUMIFS(tblRecords[Level (0-4)],tblRecords[Person],$B$63,tblRecords[Skill],$J$56)))</f>
        <v/>
      </c>
      <c r="K63" s="51">
        <f>IF(OR($B$63="",$K$56=""),"",IF(COUNTIFS(tblRecords[Person],$B$63,tblRecords[Skill],$K$56)=0,"",SUMIFS(tblRecords[Level (0-4)],tblRecords[Person],$B$63,tblRecords[Skill],$K$56)))</f>
        <v/>
      </c>
      <c r="L63" s="51">
        <f>IF(OR($B$63="",$L$56=""),"",IF(COUNTIFS(tblRecords[Person],$B$63,tblRecords[Skill],$L$56)=0,"",SUMIFS(tblRecords[Level (0-4)],tblRecords[Person],$B$63,tblRecords[Skill],$L$56)))</f>
        <v>3</v>
      </c>
      <c r="M63" s="52">
        <f>IF($B$63="","",COUNTIFS(tblRecords[Person],$B$63,tblRecords[Qualified],"Yes"))</f>
        <v>4</v>
      </c>
    </row>
    <row r="64" spans="2:13" x14ac:dyDescent="0.25">
      <c r="B64" s="49" t="str">
        <f>IFERROR(INDEX(tblPeople[Person],8)&amp;"","")</f>
        <v>H. Kowalski</v>
      </c>
      <c r="C64" s="51">
        <f>IF(OR($B$64="",$C$56=""),"",IF(COUNTIFS(tblRecords[Person],$B$64,tblRecords[Skill],$C$56)=0,"",SUMIFS(tblRecords[Level (0-4)],tblRecords[Person],$B$64,tblRecords[Skill],$C$56)))</f>
        <v/>
      </c>
      <c r="D64" s="51">
        <f>IF(OR($B$64="",$D$56=""),"",IF(COUNTIFS(tblRecords[Person],$B$64,tblRecords[Skill],$D$56)=0,"",SUMIFS(tblRecords[Level (0-4)],tblRecords[Person],$B$64,tblRecords[Skill],$D$56)))</f>
        <v/>
      </c>
      <c r="E64" s="51">
        <f>IF(OR($B$64="",$E$56=""),"",IF(COUNTIFS(tblRecords[Person],$B$64,tblRecords[Skill],$E$56)=0,"",SUMIFS(tblRecords[Level (0-4)],tblRecords[Person],$B$64,tblRecords[Skill],$E$56)))</f>
        <v/>
      </c>
      <c r="F64" s="51">
        <f>IF(OR($B$64="",$F$56=""),"",IF(COUNTIFS(tblRecords[Person],$B$64,tblRecords[Skill],$F$56)=0,"",SUMIFS(tblRecords[Level (0-4)],tblRecords[Person],$B$64,tblRecords[Skill],$F$56)))</f>
        <v>3</v>
      </c>
      <c r="G64" s="51">
        <f>IF(OR($B$64="",$G$56=""),"",IF(COUNTIFS(tblRecords[Person],$B$64,tblRecords[Skill],$G$56)=0,"",SUMIFS(tblRecords[Level (0-4)],tblRecords[Person],$B$64,tblRecords[Skill],$G$56)))</f>
        <v>2</v>
      </c>
      <c r="H64" s="51">
        <f>IF(OR($B$64="",$H$56=""),"",IF(COUNTIFS(tblRecords[Person],$B$64,tblRecords[Skill],$H$56)=0,"",SUMIFS(tblRecords[Level (0-4)],tblRecords[Person],$B$64,tblRecords[Skill],$H$56)))</f>
        <v>2</v>
      </c>
      <c r="I64" s="51">
        <f>IF(OR($B$64="",$I$56=""),"",IF(COUNTIFS(tblRecords[Person],$B$64,tblRecords[Skill],$I$56)=0,"",SUMIFS(tblRecords[Level (0-4)],tblRecords[Person],$B$64,tblRecords[Skill],$I$56)))</f>
        <v>3</v>
      </c>
      <c r="J64" s="51">
        <f>IF(OR($B$64="",$J$56=""),"",IF(COUNTIFS(tblRecords[Person],$B$64,tblRecords[Skill],$J$56)=0,"",SUMIFS(tblRecords[Level (0-4)],tblRecords[Person],$B$64,tblRecords[Skill],$J$56)))</f>
        <v/>
      </c>
      <c r="K64" s="51">
        <f>IF(OR($B$64="",$K$56=""),"",IF(COUNTIFS(tblRecords[Person],$B$64,tblRecords[Skill],$K$56)=0,"",SUMIFS(tblRecords[Level (0-4)],tblRecords[Person],$B$64,tblRecords[Skill],$K$56)))</f>
        <v>3</v>
      </c>
      <c r="L64" s="51">
        <f>IF(OR($B$64="",$L$56=""),"",IF(COUNTIFS(tblRecords[Person],$B$64,tblRecords[Skill],$L$56)=0,"",SUMIFS(tblRecords[Level (0-4)],tblRecords[Person],$B$64,tblRecords[Skill],$L$56)))</f>
        <v>3</v>
      </c>
      <c r="M64" s="52">
        <f>IF($B$64="","",COUNTIFS(tblRecords[Person],$B$64,tblRecords[Qualified],"Yes"))</f>
        <v>4</v>
      </c>
    </row>
    <row r="65" spans="2:13" x14ac:dyDescent="0.25">
      <c r="B65" s="49" t="str">
        <f>IFERROR(INDEX(tblPeople[Person],9)&amp;"","")</f>
        <v>I. Sato</v>
      </c>
      <c r="C65" s="51">
        <f>IF(OR($B$65="",$C$56=""),"",IF(COUNTIFS(tblRecords[Person],$B$65,tblRecords[Skill],$C$56)=0,"",SUMIFS(tblRecords[Level (0-4)],tblRecords[Person],$B$65,tblRecords[Skill],$C$56)))</f>
        <v/>
      </c>
      <c r="D65" s="51">
        <f>IF(OR($B$65="",$D$56=""),"",IF(COUNTIFS(tblRecords[Person],$B$65,tblRecords[Skill],$D$56)=0,"",SUMIFS(tblRecords[Level (0-4)],tblRecords[Person],$B$65,tblRecords[Skill],$D$56)))</f>
        <v/>
      </c>
      <c r="E65" s="51">
        <f>IF(OR($B$65="",$E$56=""),"",IF(COUNTIFS(tblRecords[Person],$B$65,tblRecords[Skill],$E$56)=0,"",SUMIFS(tblRecords[Level (0-4)],tblRecords[Person],$B$65,tblRecords[Skill],$E$56)))</f>
        <v/>
      </c>
      <c r="F65" s="51">
        <f>IF(OR($B$65="",$F$56=""),"",IF(COUNTIFS(tblRecords[Person],$B$65,tblRecords[Skill],$F$56)=0,"",SUMIFS(tblRecords[Level (0-4)],tblRecords[Person],$B$65,tblRecords[Skill],$F$56)))</f>
        <v/>
      </c>
      <c r="G65" s="51">
        <f>IF(OR($B$65="",$G$56=""),"",IF(COUNTIFS(tblRecords[Person],$B$65,tblRecords[Skill],$G$56)=0,"",SUMIFS(tblRecords[Level (0-4)],tblRecords[Person],$B$65,tblRecords[Skill],$G$56)))</f>
        <v>3</v>
      </c>
      <c r="H65" s="51">
        <f>IF(OR($B$65="",$H$56=""),"",IF(COUNTIFS(tblRecords[Person],$B$65,tblRecords[Skill],$H$56)=0,"",SUMIFS(tblRecords[Level (0-4)],tblRecords[Person],$B$65,tblRecords[Skill],$H$56)))</f>
        <v>3</v>
      </c>
      <c r="I65" s="51">
        <f>IF(OR($B$65="",$I$56=""),"",IF(COUNTIFS(tblRecords[Person],$B$65,tblRecords[Skill],$I$56)=0,"",SUMIFS(tblRecords[Level (0-4)],tblRecords[Person],$B$65,tblRecords[Skill],$I$56)))</f>
        <v>3</v>
      </c>
      <c r="J65" s="51">
        <f>IF(OR($B$65="",$J$56=""),"",IF(COUNTIFS(tblRecords[Person],$B$65,tblRecords[Skill],$J$56)=0,"",SUMIFS(tblRecords[Level (0-4)],tblRecords[Person],$B$65,tblRecords[Skill],$J$56)))</f>
        <v>2</v>
      </c>
      <c r="K65" s="51">
        <f>IF(OR($B$65="",$K$56=""),"",IF(COUNTIFS(tblRecords[Person],$B$65,tblRecords[Skill],$K$56)=0,"",SUMIFS(tblRecords[Level (0-4)],tblRecords[Person],$B$65,tblRecords[Skill],$K$56)))</f>
        <v/>
      </c>
      <c r="L65" s="51">
        <f>IF(OR($B$65="",$L$56=""),"",IF(COUNTIFS(tblRecords[Person],$B$65,tblRecords[Skill],$L$56)=0,"",SUMIFS(tblRecords[Level (0-4)],tblRecords[Person],$B$65,tblRecords[Skill],$L$56)))</f>
        <v>2</v>
      </c>
      <c r="M65" s="52">
        <f>IF($B$65="","",COUNTIFS(tblRecords[Person],$B$65,tblRecords[Qualified],"Yes"))</f>
        <v>3</v>
      </c>
    </row>
    <row r="66" spans="2:13" x14ac:dyDescent="0.25">
      <c r="B66" s="49" t="str">
        <f>IFERROR(INDEX(tblPeople[Person],10)&amp;"","")</f>
        <v>J. Haddad</v>
      </c>
      <c r="C66" s="51">
        <f>IF(OR($B$66="",$C$56=""),"",IF(COUNTIFS(tblRecords[Person],$B$66,tblRecords[Skill],$C$56)=0,"",SUMIFS(tblRecords[Level (0-4)],tblRecords[Person],$B$66,tblRecords[Skill],$C$56)))</f>
        <v>2</v>
      </c>
      <c r="D66" s="51">
        <f>IF(OR($B$66="",$D$56=""),"",IF(COUNTIFS(tblRecords[Person],$B$66,tblRecords[Skill],$D$56)=0,"",SUMIFS(tblRecords[Level (0-4)],tblRecords[Person],$B$66,tblRecords[Skill],$D$56)))</f>
        <v>1</v>
      </c>
      <c r="E66" s="51">
        <f>IF(OR($B$66="",$E$56=""),"",IF(COUNTIFS(tblRecords[Person],$B$66,tblRecords[Skill],$E$56)=0,"",SUMIFS(tblRecords[Level (0-4)],tblRecords[Person],$B$66,tblRecords[Skill],$E$56)))</f>
        <v/>
      </c>
      <c r="F66" s="51">
        <f>IF(OR($B$66="",$F$56=""),"",IF(COUNTIFS(tblRecords[Person],$B$66,tblRecords[Skill],$F$56)=0,"",SUMIFS(tblRecords[Level (0-4)],tblRecords[Person],$B$66,tblRecords[Skill],$F$56)))</f>
        <v/>
      </c>
      <c r="G66" s="51">
        <f>IF(OR($B$66="",$G$56=""),"",IF(COUNTIFS(tblRecords[Person],$B$66,tblRecords[Skill],$G$56)=0,"",SUMIFS(tblRecords[Level (0-4)],tblRecords[Person],$B$66,tblRecords[Skill],$G$56)))</f>
        <v>3</v>
      </c>
      <c r="H66" s="51">
        <f>IF(OR($B$66="",$H$56=""),"",IF(COUNTIFS(tblRecords[Person],$B$66,tblRecords[Skill],$H$56)=0,"",SUMIFS(tblRecords[Level (0-4)],tblRecords[Person],$B$66,tblRecords[Skill],$H$56)))</f>
        <v/>
      </c>
      <c r="I66" s="51">
        <f>IF(OR($B$66="",$I$56=""),"",IF(COUNTIFS(tblRecords[Person],$B$66,tblRecords[Skill],$I$56)=0,"",SUMIFS(tblRecords[Level (0-4)],tblRecords[Person],$B$66,tblRecords[Skill],$I$56)))</f>
        <v/>
      </c>
      <c r="J66" s="51">
        <f>IF(OR($B$66="",$J$56=""),"",IF(COUNTIFS(tblRecords[Person],$B$66,tblRecords[Skill],$J$56)=0,"",SUMIFS(tblRecords[Level (0-4)],tblRecords[Person],$B$66,tblRecords[Skill],$J$56)))</f>
        <v/>
      </c>
      <c r="K66" s="51">
        <f>IF(OR($B$66="",$K$56=""),"",IF(COUNTIFS(tblRecords[Person],$B$66,tblRecords[Skill],$K$56)=0,"",SUMIFS(tblRecords[Level (0-4)],tblRecords[Person],$B$66,tblRecords[Skill],$K$56)))</f>
        <v/>
      </c>
      <c r="L66" s="51">
        <f>IF(OR($B$66="",$L$56=""),"",IF(COUNTIFS(tblRecords[Person],$B$66,tblRecords[Skill],$L$56)=0,"",SUMIFS(tblRecords[Level (0-4)],tblRecords[Person],$B$66,tblRecords[Skill],$L$56)))</f>
        <v>1</v>
      </c>
      <c r="M66" s="52">
        <f>IF($B$66="","",COUNTIFS(tblRecords[Person],$B$66,tblRecords[Qualified],"Yes"))</f>
        <v>1</v>
      </c>
    </row>
    <row r="67" spans="2:13" x14ac:dyDescent="0.25">
      <c r="B67" s="49" t="str">
        <f>IFERROR(INDEX(tblPeople[Person],11)&amp;"","")</f>
        <v>K. Osei</v>
      </c>
      <c r="C67" s="51">
        <f>IF(OR($B$67="",$C$56=""),"",IF(COUNTIFS(tblRecords[Person],$B$67,tblRecords[Skill],$C$56)=0,"",SUMIFS(tblRecords[Level (0-4)],tblRecords[Person],$B$67,tblRecords[Skill],$C$56)))</f>
        <v>3</v>
      </c>
      <c r="D67" s="51">
        <f>IF(OR($B$67="",$D$56=""),"",IF(COUNTIFS(tblRecords[Person],$B$67,tblRecords[Skill],$D$56)=0,"",SUMIFS(tblRecords[Level (0-4)],tblRecords[Person],$B$67,tblRecords[Skill],$D$56)))</f>
        <v>3</v>
      </c>
      <c r="E67" s="51">
        <f>IF(OR($B$67="",$E$56=""),"",IF(COUNTIFS(tblRecords[Person],$B$67,tblRecords[Skill],$E$56)=0,"",SUMIFS(tblRecords[Level (0-4)],tblRecords[Person],$B$67,tblRecords[Skill],$E$56)))</f>
        <v>3</v>
      </c>
      <c r="F67" s="51">
        <f>IF(OR($B$67="",$F$56=""),"",IF(COUNTIFS(tblRecords[Person],$B$67,tblRecords[Skill],$F$56)=0,"",SUMIFS(tblRecords[Level (0-4)],tblRecords[Person],$B$67,tblRecords[Skill],$F$56)))</f>
        <v>2</v>
      </c>
      <c r="G67" s="51">
        <f>IF(OR($B$67="",$G$56=""),"",IF(COUNTIFS(tblRecords[Person],$B$67,tblRecords[Skill],$G$56)=0,"",SUMIFS(tblRecords[Level (0-4)],tblRecords[Person],$B$67,tblRecords[Skill],$G$56)))</f>
        <v>3</v>
      </c>
      <c r="H67" s="51">
        <f>IF(OR($B$67="",$H$56=""),"",IF(COUNTIFS(tblRecords[Person],$B$67,tblRecords[Skill],$H$56)=0,"",SUMIFS(tblRecords[Level (0-4)],tblRecords[Person],$B$67,tblRecords[Skill],$H$56)))</f>
        <v>2</v>
      </c>
      <c r="I67" s="51">
        <f>IF(OR($B$67="",$I$56=""),"",IF(COUNTIFS(tblRecords[Person],$B$67,tblRecords[Skill],$I$56)=0,"",SUMIFS(tblRecords[Level (0-4)],tblRecords[Person],$B$67,tblRecords[Skill],$I$56)))</f>
        <v/>
      </c>
      <c r="J67" s="51">
        <f>IF(OR($B$67="",$J$56=""),"",IF(COUNTIFS(tblRecords[Person],$B$67,tblRecords[Skill],$J$56)=0,"",SUMIFS(tblRecords[Level (0-4)],tblRecords[Person],$B$67,tblRecords[Skill],$J$56)))</f>
        <v>3</v>
      </c>
      <c r="K67" s="51">
        <f>IF(OR($B$67="",$K$56=""),"",IF(COUNTIFS(tblRecords[Person],$B$67,tblRecords[Skill],$K$56)=0,"",SUMIFS(tblRecords[Level (0-4)],tblRecords[Person],$B$67,tblRecords[Skill],$K$56)))</f>
        <v>3</v>
      </c>
      <c r="L67" s="51">
        <f>IF(OR($B$67="",$L$56=""),"",IF(COUNTIFS(tblRecords[Person],$B$67,tblRecords[Skill],$L$56)=0,"",SUMIFS(tblRecords[Level (0-4)],tblRecords[Person],$B$67,tblRecords[Skill],$L$56)))</f>
        <v>4</v>
      </c>
      <c r="M67" s="52">
        <f>IF($B$67="","",COUNTIFS(tblRecords[Person],$B$67,tblRecords[Qualified],"Yes"))</f>
        <v>6</v>
      </c>
    </row>
    <row r="68" spans="2:13" x14ac:dyDescent="0.25">
      <c r="B68" s="49" t="str">
        <f>IFERROR(INDEX(tblPeople[Person],12)&amp;"","")</f>
        <v>L. Fischer</v>
      </c>
      <c r="C68" s="51">
        <f>IF(OR($B$68="",$C$56=""),"",IF(COUNTIFS(tblRecords[Person],$B$68,tblRecords[Skill],$C$56)=0,"",SUMIFS(tblRecords[Level (0-4)],tblRecords[Person],$B$68,tblRecords[Skill],$C$56)))</f>
        <v>3</v>
      </c>
      <c r="D68" s="51">
        <f>IF(OR($B$68="",$D$56=""),"",IF(COUNTIFS(tblRecords[Person],$B$68,tblRecords[Skill],$D$56)=0,"",SUMIFS(tblRecords[Level (0-4)],tblRecords[Person],$B$68,tblRecords[Skill],$D$56)))</f>
        <v>3</v>
      </c>
      <c r="E68" s="51">
        <f>IF(OR($B$68="",$E$56=""),"",IF(COUNTIFS(tblRecords[Person],$B$68,tblRecords[Skill],$E$56)=0,"",SUMIFS(tblRecords[Level (0-4)],tblRecords[Person],$B$68,tblRecords[Skill],$E$56)))</f>
        <v>1</v>
      </c>
      <c r="F68" s="51">
        <f>IF(OR($B$68="",$F$56=""),"",IF(COUNTIFS(tblRecords[Person],$B$68,tblRecords[Skill],$F$56)=0,"",SUMIFS(tblRecords[Level (0-4)],tblRecords[Person],$B$68,tblRecords[Skill],$F$56)))</f>
        <v/>
      </c>
      <c r="G68" s="51">
        <f>IF(OR($B$68="",$G$56=""),"",IF(COUNTIFS(tblRecords[Person],$B$68,tblRecords[Skill],$G$56)=0,"",SUMIFS(tblRecords[Level (0-4)],tblRecords[Person],$B$68,tblRecords[Skill],$G$56)))</f>
        <v>3</v>
      </c>
      <c r="H68" s="51">
        <f>IF(OR($B$68="",$H$56=""),"",IF(COUNTIFS(tblRecords[Person],$B$68,tblRecords[Skill],$H$56)=0,"",SUMIFS(tblRecords[Level (0-4)],tblRecords[Person],$B$68,tblRecords[Skill],$H$56)))</f>
        <v/>
      </c>
      <c r="I68" s="51">
        <f>IF(OR($B$68="",$I$56=""),"",IF(COUNTIFS(tblRecords[Person],$B$68,tblRecords[Skill],$I$56)=0,"",SUMIFS(tblRecords[Level (0-4)],tblRecords[Person],$B$68,tblRecords[Skill],$I$56)))</f>
        <v/>
      </c>
      <c r="J68" s="51">
        <f>IF(OR($B$68="",$J$56=""),"",IF(COUNTIFS(tblRecords[Person],$B$68,tblRecords[Skill],$J$56)=0,"",SUMIFS(tblRecords[Level (0-4)],tblRecords[Person],$B$68,tblRecords[Skill],$J$56)))</f>
        <v/>
      </c>
      <c r="K68" s="51">
        <f>IF(OR($B$68="",$K$56=""),"",IF(COUNTIFS(tblRecords[Person],$B$68,tblRecords[Skill],$K$56)=0,"",SUMIFS(tblRecords[Level (0-4)],tblRecords[Person],$B$68,tblRecords[Skill],$K$56)))</f>
        <v/>
      </c>
      <c r="L68" s="51">
        <f>IF(OR($B$68="",$L$56=""),"",IF(COUNTIFS(tblRecords[Person],$B$68,tblRecords[Skill],$L$56)=0,"",SUMIFS(tblRecords[Level (0-4)],tblRecords[Person],$B$68,tblRecords[Skill],$L$56)))</f>
        <v>3</v>
      </c>
      <c r="M68" s="52">
        <f>IF($B$68="","",COUNTIFS(tblRecords[Person],$B$68,tblRecords[Qualified],"Yes"))</f>
        <v>4</v>
      </c>
    </row>
    <row r="69" spans="2:13" x14ac:dyDescent="0.25">
      <c r="B69" s="49" t="str">
        <f>IFERROR(INDEX(tblPeople[Person],13)&amp;"","")</f>
        <v>M. Silva</v>
      </c>
      <c r="C69" s="51">
        <f>IF(OR($B$69="",$C$56=""),"",IF(COUNTIFS(tblRecords[Person],$B$69,tblRecords[Skill],$C$56)=0,"",SUMIFS(tblRecords[Level (0-4)],tblRecords[Person],$B$69,tblRecords[Skill],$C$56)))</f>
        <v/>
      </c>
      <c r="D69" s="51">
        <f>IF(OR($B$69="",$D$56=""),"",IF(COUNTIFS(tblRecords[Person],$B$69,tblRecords[Skill],$D$56)=0,"",SUMIFS(tblRecords[Level (0-4)],tblRecords[Person],$B$69,tblRecords[Skill],$D$56)))</f>
        <v/>
      </c>
      <c r="E69" s="51">
        <f>IF(OR($B$69="",$E$56=""),"",IF(COUNTIFS(tblRecords[Person],$B$69,tblRecords[Skill],$E$56)=0,"",SUMIFS(tblRecords[Level (0-4)],tblRecords[Person],$B$69,tblRecords[Skill],$E$56)))</f>
        <v/>
      </c>
      <c r="F69" s="51">
        <f>IF(OR($B$69="",$F$56=""),"",IF(COUNTIFS(tblRecords[Person],$B$69,tblRecords[Skill],$F$56)=0,"",SUMIFS(tblRecords[Level (0-4)],tblRecords[Person],$B$69,tblRecords[Skill],$F$56)))</f>
        <v/>
      </c>
      <c r="G69" s="51">
        <f>IF(OR($B$69="",$G$56=""),"",IF(COUNTIFS(tblRecords[Person],$B$69,tblRecords[Skill],$G$56)=0,"",SUMIFS(tblRecords[Level (0-4)],tblRecords[Person],$B$69,tblRecords[Skill],$G$56)))</f>
        <v>2</v>
      </c>
      <c r="H69" s="51">
        <f>IF(OR($B$69="",$H$56=""),"",IF(COUNTIFS(tblRecords[Person],$B$69,tblRecords[Skill],$H$56)=0,"",SUMIFS(tblRecords[Level (0-4)],tblRecords[Person],$B$69,tblRecords[Skill],$H$56)))</f>
        <v>3</v>
      </c>
      <c r="I69" s="51">
        <f>IF(OR($B$69="",$I$56=""),"",IF(COUNTIFS(tblRecords[Person],$B$69,tblRecords[Skill],$I$56)=0,"",SUMIFS(tblRecords[Level (0-4)],tblRecords[Person],$B$69,tblRecords[Skill],$I$56)))</f>
        <v>2</v>
      </c>
      <c r="J69" s="51">
        <f>IF(OR($B$69="",$J$56=""),"",IF(COUNTIFS(tblRecords[Person],$B$69,tblRecords[Skill],$J$56)=0,"",SUMIFS(tblRecords[Level (0-4)],tblRecords[Person],$B$69,tblRecords[Skill],$J$56)))</f>
        <v/>
      </c>
      <c r="K69" s="51">
        <f>IF(OR($B$69="",$K$56=""),"",IF(COUNTIFS(tblRecords[Person],$B$69,tblRecords[Skill],$K$56)=0,"",SUMIFS(tblRecords[Level (0-4)],tblRecords[Person],$B$69,tblRecords[Skill],$K$56)))</f>
        <v>1</v>
      </c>
      <c r="L69" s="51">
        <f>IF(OR($B$69="",$L$56=""),"",IF(COUNTIFS(tblRecords[Person],$B$69,tblRecords[Skill],$L$56)=0,"",SUMIFS(tblRecords[Level (0-4)],tblRecords[Person],$B$69,tblRecords[Skill],$L$56)))</f>
        <v>3</v>
      </c>
      <c r="M69" s="52">
        <f>IF($B$69="","",COUNTIFS(tblRecords[Person],$B$69,tblRecords[Qualified],"Yes"))</f>
        <v>2</v>
      </c>
    </row>
    <row r="70" spans="2:13" x14ac:dyDescent="0.25">
      <c r="B70" s="49" t="str">
        <f>IFERROR(INDEX(tblPeople[Person],14)&amp;"","")</f>
        <v>N. Patel</v>
      </c>
      <c r="C70" s="51">
        <f>IF(OR($B$70="",$C$56=""),"",IF(COUNTIFS(tblRecords[Person],$B$70,tblRecords[Skill],$C$56)=0,"",SUMIFS(tblRecords[Level (0-4)],tblRecords[Person],$B$70,tblRecords[Skill],$C$56)))</f>
        <v/>
      </c>
      <c r="D70" s="51">
        <f>IF(OR($B$70="",$D$56=""),"",IF(COUNTIFS(tblRecords[Person],$B$70,tblRecords[Skill],$D$56)=0,"",SUMIFS(tblRecords[Level (0-4)],tblRecords[Person],$B$70,tblRecords[Skill],$D$56)))</f>
        <v/>
      </c>
      <c r="E70" s="51">
        <f>IF(OR($B$70="",$E$56=""),"",IF(COUNTIFS(tblRecords[Person],$B$70,tblRecords[Skill],$E$56)=0,"",SUMIFS(tblRecords[Level (0-4)],tblRecords[Person],$B$70,tblRecords[Skill],$E$56)))</f>
        <v/>
      </c>
      <c r="F70" s="51">
        <f>IF(OR($B$70="",$F$56=""),"",IF(COUNTIFS(tblRecords[Person],$B$70,tblRecords[Skill],$F$56)=0,"",SUMIFS(tblRecords[Level (0-4)],tblRecords[Person],$B$70,tblRecords[Skill],$F$56)))</f>
        <v>2</v>
      </c>
      <c r="G70" s="51">
        <f>IF(OR($B$70="",$G$56=""),"",IF(COUNTIFS(tblRecords[Person],$B$70,tblRecords[Skill],$G$56)=0,"",SUMIFS(tblRecords[Level (0-4)],tblRecords[Person],$B$70,tblRecords[Skill],$G$56)))</f>
        <v>2</v>
      </c>
      <c r="H70" s="51">
        <f>IF(OR($B$70="",$H$56=""),"",IF(COUNTIFS(tblRecords[Person],$B$70,tblRecords[Skill],$H$56)=0,"",SUMIFS(tblRecords[Level (0-4)],tblRecords[Person],$B$70,tblRecords[Skill],$H$56)))</f>
        <v>3</v>
      </c>
      <c r="I70" s="51">
        <f>IF(OR($B$70="",$I$56=""),"",IF(COUNTIFS(tblRecords[Person],$B$70,tblRecords[Skill],$I$56)=0,"",SUMIFS(tblRecords[Level (0-4)],tblRecords[Person],$B$70,tblRecords[Skill],$I$56)))</f>
        <v>3</v>
      </c>
      <c r="J70" s="51">
        <f>IF(OR($B$70="",$J$56=""),"",IF(COUNTIFS(tblRecords[Person],$B$70,tblRecords[Skill],$J$56)=0,"",SUMIFS(tblRecords[Level (0-4)],tblRecords[Person],$B$70,tblRecords[Skill],$J$56)))</f>
        <v/>
      </c>
      <c r="K70" s="51">
        <f>IF(OR($B$70="",$K$56=""),"",IF(COUNTIFS(tblRecords[Person],$B$70,tblRecords[Skill],$K$56)=0,"",SUMIFS(tblRecords[Level (0-4)],tblRecords[Person],$B$70,tblRecords[Skill],$K$56)))</f>
        <v/>
      </c>
      <c r="L70" s="51">
        <f>IF(OR($B$70="",$L$56=""),"",IF(COUNTIFS(tblRecords[Person],$B$70,tblRecords[Skill],$L$56)=0,"",SUMIFS(tblRecords[Level (0-4)],tblRecords[Person],$B$70,tblRecords[Skill],$L$56)))</f>
        <v>2</v>
      </c>
      <c r="M70" s="52">
        <f>IF($B$70="","",COUNTIFS(tblRecords[Person],$B$70,tblRecords[Qualified],"Yes"))</f>
        <v>2</v>
      </c>
    </row>
    <row r="71" spans="2:13" x14ac:dyDescent="0.25">
      <c r="B71" s="49" t="str">
        <f>IFERROR(INDEX(tblPeople[Person],15)&amp;"","")</f>
        <v>O. Byrne</v>
      </c>
      <c r="C71" s="51">
        <f>IF(OR($B$71="",$C$56=""),"",IF(COUNTIFS(tblRecords[Person],$B$71,tblRecords[Skill],$C$56)=0,"",SUMIFS(tblRecords[Level (0-4)],tblRecords[Person],$B$71,tblRecords[Skill],$C$56)))</f>
        <v>2</v>
      </c>
      <c r="D71" s="51">
        <f>IF(OR($B$71="",$D$56=""),"",IF(COUNTIFS(tblRecords[Person],$B$71,tblRecords[Skill],$D$56)=0,"",SUMIFS(tblRecords[Level (0-4)],tblRecords[Person],$B$71,tblRecords[Skill],$D$56)))</f>
        <v>3</v>
      </c>
      <c r="E71" s="51">
        <f>IF(OR($B$71="",$E$56=""),"",IF(COUNTIFS(tblRecords[Person],$B$71,tblRecords[Skill],$E$56)=0,"",SUMIFS(tblRecords[Level (0-4)],tblRecords[Person],$B$71,tblRecords[Skill],$E$56)))</f>
        <v/>
      </c>
      <c r="F71" s="51">
        <f>IF(OR($B$71="",$F$56=""),"",IF(COUNTIFS(tblRecords[Person],$B$71,tblRecords[Skill],$F$56)=0,"",SUMIFS(tblRecords[Level (0-4)],tblRecords[Person],$B$71,tblRecords[Skill],$F$56)))</f>
        <v/>
      </c>
      <c r="G71" s="51">
        <f>IF(OR($B$71="",$G$56=""),"",IF(COUNTIFS(tblRecords[Person],$B$71,tblRecords[Skill],$G$56)=0,"",SUMIFS(tblRecords[Level (0-4)],tblRecords[Person],$B$71,tblRecords[Skill],$G$56)))</f>
        <v>3</v>
      </c>
      <c r="H71" s="51">
        <f>IF(OR($B$71="",$H$56=""),"",IF(COUNTIFS(tblRecords[Person],$B$71,tblRecords[Skill],$H$56)=0,"",SUMIFS(tblRecords[Level (0-4)],tblRecords[Person],$B$71,tblRecords[Skill],$H$56)))</f>
        <v/>
      </c>
      <c r="I71" s="51">
        <f>IF(OR($B$71="",$I$56=""),"",IF(COUNTIFS(tblRecords[Person],$B$71,tblRecords[Skill],$I$56)=0,"",SUMIFS(tblRecords[Level (0-4)],tblRecords[Person],$B$71,tblRecords[Skill],$I$56)))</f>
        <v/>
      </c>
      <c r="J71" s="51">
        <f>IF(OR($B$71="",$J$56=""),"",IF(COUNTIFS(tblRecords[Person],$B$71,tblRecords[Skill],$J$56)=0,"",SUMIFS(tblRecords[Level (0-4)],tblRecords[Person],$B$71,tblRecords[Skill],$J$56)))</f>
        <v>3</v>
      </c>
      <c r="K71" s="51">
        <f>IF(OR($B$71="",$K$56=""),"",IF(COUNTIFS(tblRecords[Person],$B$71,tblRecords[Skill],$K$56)=0,"",SUMIFS(tblRecords[Level (0-4)],tblRecords[Person],$B$71,tblRecords[Skill],$K$56)))</f>
        <v/>
      </c>
      <c r="L71" s="51">
        <f>IF(OR($B$71="",$L$56=""),"",IF(COUNTIFS(tblRecords[Person],$B$71,tblRecords[Skill],$L$56)=0,"",SUMIFS(tblRecords[Level (0-4)],tblRecords[Person],$B$71,tblRecords[Skill],$L$56)))</f>
        <v>3</v>
      </c>
      <c r="M71" s="52">
        <f>IF($B$71="","",COUNTIFS(tblRecords[Person],$B$71,tblRecords[Qualified],"Yes"))</f>
        <v>4</v>
      </c>
    </row>
    <row r="73" spans="2:13" ht="8" customHeight="1" x14ac:dyDescent="0.25"/>
    <row r="74" spans="2:13" ht="26.76" customHeight="1" x14ac:dyDescent="0.25">
      <c r="B74" s="21" t="s">
        <v>182</v>
      </c>
      <c r="C74" s="21"/>
      <c r="D74" s="21"/>
      <c r="E74" s="21"/>
      <c r="F74" s="21"/>
      <c r="G74" s="21"/>
      <c r="H74" s="21"/>
      <c r="I74" s="21"/>
      <c r="J74" s="21"/>
      <c r="K74" s="21"/>
      <c r="L74" s="21"/>
      <c r="M74" s="21"/>
    </row>
    <row r="75" spans="2:13" x14ac:dyDescent="0.25">
      <c r="B75" s="53">
        <f>IF(OR(COUNTA(tblPeople[Person])&gt;15,COUNTA(tblSkills[Skill])&gt;10,COUNTA(tblShiftList[Shift])&gt;3),"Setup lists are longer than the Dashboard blocks: some people, skills or shifts are not shown.","")</f>
        <v/>
      </c>
      <c r="C75" s="53"/>
      <c r="D75" s="53"/>
      <c r="E75" s="53"/>
      <c r="F75" s="53"/>
      <c r="G75" s="53"/>
      <c r="H75" s="53"/>
      <c r="I75" s="53"/>
      <c r="J75" s="53"/>
      <c r="K75" s="53"/>
      <c r="L75" s="53"/>
      <c r="M75" s="53"/>
    </row>
  </sheetData>
  <sheetProtection sheet="1" formatColumns="0" formatRows="0"/>
  <mergeCells count="25">
    <mergeCell ref="A1:M1"/>
    <mergeCell ref="B2:K2"/>
    <mergeCell ref="L2:M2"/>
    <mergeCell ref="B4:M4"/>
    <mergeCell ref="B6:C6"/>
    <mergeCell ref="B7:C8"/>
    <mergeCell ref="B9:C9"/>
    <mergeCell ref="B10:C10"/>
    <mergeCell ref="D6:F6"/>
    <mergeCell ref="D7:F8"/>
    <mergeCell ref="D9:F9"/>
    <mergeCell ref="D10:F10"/>
    <mergeCell ref="G6:J6"/>
    <mergeCell ref="G7:J8"/>
    <mergeCell ref="G9:J9"/>
    <mergeCell ref="G10:J10"/>
    <mergeCell ref="K6:M6"/>
    <mergeCell ref="K7:M8"/>
    <mergeCell ref="K9:M9"/>
    <mergeCell ref="K10:M10"/>
    <mergeCell ref="B29:M29"/>
    <mergeCell ref="B42:F42"/>
    <mergeCell ref="B55:M55"/>
    <mergeCell ref="B74:M74"/>
    <mergeCell ref="B75:M75"/>
  </mergeCells>
  <conditionalFormatting sqref="B1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C44:E53">
    <cfRule type="expression" dxfId="2" priority="105" stopIfTrue="1">
      <formula>AND(ISNUMBER(C44),ISNUMBER($F44),C44&lt;$F44)</formula>
    </cfRule>
    <cfRule type="expression" dxfId="0" priority="106">
      <formula>ISNUMBER(C44)</formula>
    </cfRule>
  </conditionalFormatting>
  <conditionalFormatting sqref="C57:L71">
    <cfRule type="expression" dxfId="0" priority="107" stopIfTrue="1">
      <formula>AND(ISNUMBER(C57),C57&gt;=QualLevel)</formula>
    </cfRule>
    <cfRule type="expression" dxfId="1" priority="108">
      <formula>AND(ISNUMBER(C57),C57&gt;=1)</formula>
    </cfRule>
  </conditionalFormatting>
  <conditionalFormatting sqref="D10">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F31:F40">
    <cfRule type="expression" dxfId="3" priority="81" stopIfTrue="1">
      <formula>AND(ISNUMBER(F31),F31&gt;=(TargetCover))</formula>
    </cfRule>
    <cfRule type="expression" dxfId="4" priority="82" stopIfTrue="1">
      <formula>AND(ISNUMBER(F31),F31&gt;=(TargetCover)*(1-0.05))</formula>
    </cfRule>
    <cfRule type="expression" dxfId="5" priority="83">
      <formula>ISNUMBER(F31)</formula>
    </cfRule>
    <cfRule type="dataBar" priority="84">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G10">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K10">
    <cfRule type="cellIs" dxfId="0" priority="61" operator="equal">
      <formula>"On target"</formula>
    </cfRule>
    <cfRule type="cellIs" dxfId="0" priority="62" operator="equal">
      <formula>"PASS"</formula>
    </cfRule>
    <cfRule type="cellIs" dxfId="0" priority="63" operator="equal">
      <formula>"OK"</formula>
    </cfRule>
    <cfRule type="cellIs" dxfId="0" priority="64" operator="equal">
      <formula>"Within limits"</formula>
    </cfRule>
    <cfRule type="cellIs" dxfId="0" priority="65" operator="equal">
      <formula>"Under capacity"</formula>
    </cfRule>
    <cfRule type="cellIs" dxfId="0" priority="66" operator="equal">
      <formula>"Complete"</formula>
    </cfRule>
    <cfRule type="cellIs" dxfId="0" priority="67" operator="equal">
      <formula>"Yes"</formula>
    </cfRule>
    <cfRule type="cellIs" dxfId="1" priority="68" operator="equal">
      <formula>"Near target"</formula>
    </cfRule>
    <cfRule type="cellIs" dxfId="1" priority="69" operator="equal">
      <formula>"Check"</formula>
    </cfRule>
    <cfRule type="cellIs" dxfId="1" priority="70" operator="equal">
      <formula>"Due soon"</formula>
    </cfRule>
    <cfRule type="cellIs" dxfId="1" priority="71" operator="equal">
      <formula>"Near capacity"</formula>
    </cfRule>
    <cfRule type="cellIs" dxfId="1" priority="72" operator="equal">
      <formula>"In progress"</formula>
    </cfRule>
    <cfRule type="cellIs" dxfId="1" priority="73" operator="equal">
      <formula>"Partial"</formula>
    </cfRule>
    <cfRule type="cellIs" dxfId="2" priority="74" operator="equal">
      <formula>"Below target"</formula>
    </cfRule>
    <cfRule type="cellIs" dxfId="2" priority="75" operator="equal">
      <formula>"Above target"</formula>
    </cfRule>
    <cfRule type="cellIs" dxfId="2" priority="76" operator="equal">
      <formula>"FAIL"</formula>
    </cfRule>
    <cfRule type="cellIs" dxfId="2" priority="77" operator="equal">
      <formula>"Over capacity"</formula>
    </cfRule>
    <cfRule type="cellIs" dxfId="2" priority="78" operator="equal">
      <formula>"Overdue"</formula>
    </cfRule>
    <cfRule type="cellIs" dxfId="2" priority="79" operator="equal">
      <formula>"Out of limits"</formula>
    </cfRule>
    <cfRule type="cellIs" dxfId="2" priority="80" operator="equal">
      <formula>"No"</formula>
    </cfRule>
  </conditionalFormatting>
  <conditionalFormatting sqref="M31:M40">
    <cfRule type="cellIs" dxfId="0" priority="85" operator="equal">
      <formula>"On target"</formula>
    </cfRule>
    <cfRule type="cellIs" dxfId="0" priority="86" operator="equal">
      <formula>"PASS"</formula>
    </cfRule>
    <cfRule type="cellIs" dxfId="0" priority="87" operator="equal">
      <formula>"OK"</formula>
    </cfRule>
    <cfRule type="cellIs" dxfId="0" priority="88" operator="equal">
      <formula>"Within limits"</formula>
    </cfRule>
    <cfRule type="cellIs" dxfId="0" priority="89" operator="equal">
      <formula>"Under capacity"</formula>
    </cfRule>
    <cfRule type="cellIs" dxfId="0" priority="90" operator="equal">
      <formula>"Complete"</formula>
    </cfRule>
    <cfRule type="cellIs" dxfId="0" priority="91" operator="equal">
      <formula>"Yes"</formula>
    </cfRule>
    <cfRule type="cellIs" dxfId="1" priority="92" operator="equal">
      <formula>"Near target"</formula>
    </cfRule>
    <cfRule type="cellIs" dxfId="1" priority="93" operator="equal">
      <formula>"Check"</formula>
    </cfRule>
    <cfRule type="cellIs" dxfId="1" priority="94" operator="equal">
      <formula>"Due soon"</formula>
    </cfRule>
    <cfRule type="cellIs" dxfId="1" priority="95" operator="equal">
      <formula>"Near capacity"</formula>
    </cfRule>
    <cfRule type="cellIs" dxfId="1" priority="96" operator="equal">
      <formula>"In progress"</formula>
    </cfRule>
    <cfRule type="cellIs" dxfId="1" priority="97" operator="equal">
      <formula>"Partial"</formula>
    </cfRule>
    <cfRule type="cellIs" dxfId="2" priority="98" operator="equal">
      <formula>"Below target"</formula>
    </cfRule>
    <cfRule type="cellIs" dxfId="2" priority="99" operator="equal">
      <formula>"Above target"</formula>
    </cfRule>
    <cfRule type="cellIs" dxfId="2" priority="100" operator="equal">
      <formula>"FAIL"</formula>
    </cfRule>
    <cfRule type="cellIs" dxfId="2" priority="101" operator="equal">
      <formula>"Over capacity"</formula>
    </cfRule>
    <cfRule type="cellIs" dxfId="2" priority="102" operator="equal">
      <formula>"Overdue"</formula>
    </cfRule>
    <cfRule type="cellIs" dxfId="2" priority="103" operator="equal">
      <formula>"Out of limits"</formula>
    </cfRule>
    <cfRule type="cellIs" dxfId="2" priority="104" operator="equal">
      <formula>"No"</formula>
    </cfRule>
  </conditionalFormatting>
  <hyperlinks>
    <hyperlink ref="L2" r:id="rId1" tooltip="Free manufacturing calculators and templates"/>
  </hyperlinks>
  <pageMargins left="0.4" right="0.4" top="0.7" bottom="0.65" header="0.3" footer="0.3"/>
  <pageSetup fitToHeight="0" orientation="landscape"/>
  <headerFooter>
    <oddHeader>&amp;L&amp;8MFG Calcs - Skills and Training Matrix&amp;R&amp;8&amp;A</oddHeader>
    <oddFooter>&amp;L&amp;8mfgcalcs.com - free manufacturing templates&amp;R&amp;8Page &amp;P of &amp;N</oddFooter>
  </headerFooter>
  <rowBreaks count="2" manualBreakCount="2">
    <brk id="28" max="16383" man="1"/>
    <brk id="54"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F31:F40</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9"/>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183</v>
      </c>
      <c r="C4" s="8"/>
      <c r="D4" s="8"/>
    </row>
    <row r="5" spans="1:4" ht="5" customHeight="1"/>
    <row r="6" spans="1:4" ht="55.8" customHeight="1">
      <c r="B6" s="10" t="s">
        <v>184</v>
      </c>
      <c r="C6" s="10"/>
      <c r="D6" s="10"/>
    </row>
    <row r="8" spans="1:4" ht="21" customHeight="1">
      <c r="B8" s="8" t="s">
        <v>185</v>
      </c>
      <c r="C8" s="8"/>
      <c r="D8" s="8"/>
    </row>
    <row r="9" spans="1:4" ht="5" customHeight="1"/>
    <row r="10" spans="1:4" ht="20" customHeight="1">
      <c r="B10" s="48" t="s">
        <v>186</v>
      </c>
      <c r="C10" s="48" t="s">
        <v>187</v>
      </c>
      <c r="D10" s="33" t="s">
        <v>188</v>
      </c>
    </row>
    <row r="11" spans="1:4" ht="30.4" customHeight="1">
      <c r="B11" s="54" t="s">
        <v>189</v>
      </c>
      <c r="C11" s="55" t="s">
        <v>190</v>
      </c>
      <c r="D11" s="56" t="s">
        <v>191</v>
      </c>
    </row>
    <row r="12" spans="1:4" ht="30.4" customHeight="1">
      <c r="B12" s="54" t="s">
        <v>192</v>
      </c>
      <c r="C12" s="55" t="s">
        <v>193</v>
      </c>
      <c r="D12" s="56" t="s">
        <v>194</v>
      </c>
    </row>
    <row r="13" spans="1:4" ht="30.4" customHeight="1">
      <c r="B13" s="54" t="s">
        <v>147</v>
      </c>
      <c r="C13" s="55" t="s">
        <v>195</v>
      </c>
      <c r="D13" s="56" t="s">
        <v>196</v>
      </c>
    </row>
    <row r="14" spans="1:4" ht="17.2" customHeight="1">
      <c r="B14" s="54" t="s">
        <v>148</v>
      </c>
      <c r="C14" s="55" t="s">
        <v>197</v>
      </c>
      <c r="D14" s="56" t="s">
        <v>77</v>
      </c>
    </row>
    <row r="15" spans="1:4" ht="30.4" customHeight="1">
      <c r="B15" s="54" t="s">
        <v>149</v>
      </c>
      <c r="C15" s="55" t="s">
        <v>198</v>
      </c>
      <c r="D15" s="56" t="s">
        <v>199</v>
      </c>
    </row>
    <row r="16" spans="1:4" ht="30.4" customHeight="1">
      <c r="B16" s="54" t="s">
        <v>150</v>
      </c>
      <c r="C16" s="55" t="s">
        <v>200</v>
      </c>
      <c r="D16" s="56" t="s">
        <v>201</v>
      </c>
    </row>
    <row r="17" spans="2:4" ht="30.4" customHeight="1">
      <c r="B17" s="54" t="s">
        <v>202</v>
      </c>
      <c r="C17" s="55" t="s">
        <v>203</v>
      </c>
      <c r="D17" s="56" t="s">
        <v>204</v>
      </c>
    </row>
    <row r="18" spans="2:4" ht="30.4" customHeight="1">
      <c r="B18" s="54" t="s">
        <v>205</v>
      </c>
      <c r="C18" s="55" t="s">
        <v>206</v>
      </c>
      <c r="D18" s="56" t="s">
        <v>207</v>
      </c>
    </row>
    <row r="19" spans="2:4" ht="17.2" customHeight="1">
      <c r="B19" s="54" t="s">
        <v>208</v>
      </c>
      <c r="C19" s="55" t="s">
        <v>209</v>
      </c>
      <c r="D19" s="56" t="s">
        <v>204</v>
      </c>
    </row>
    <row r="20" spans="2:4" ht="43.6" customHeight="1">
      <c r="B20" s="54" t="s">
        <v>210</v>
      </c>
      <c r="C20" s="55" t="s">
        <v>211</v>
      </c>
      <c r="D20" s="56" t="s">
        <v>212</v>
      </c>
    </row>
    <row r="21" spans="2:4" ht="30.4" customHeight="1">
      <c r="B21" s="54" t="s">
        <v>213</v>
      </c>
      <c r="C21" s="55" t="s">
        <v>214</v>
      </c>
      <c r="D21" s="56" t="s">
        <v>199</v>
      </c>
    </row>
    <row r="22" spans="2:4" ht="30.4" customHeight="1">
      <c r="B22" s="54" t="s">
        <v>215</v>
      </c>
      <c r="C22" s="55" t="s">
        <v>216</v>
      </c>
      <c r="D22" s="56" t="s">
        <v>207</v>
      </c>
    </row>
    <row r="23" spans="2:4" ht="30.4" customHeight="1">
      <c r="B23" s="54" t="s">
        <v>217</v>
      </c>
      <c r="C23" s="55" t="s">
        <v>218</v>
      </c>
      <c r="D23" s="56" t="s">
        <v>219</v>
      </c>
    </row>
    <row r="24" spans="2:4" ht="43.6" customHeight="1">
      <c r="B24" s="54" t="s">
        <v>220</v>
      </c>
      <c r="C24" s="55" t="s">
        <v>221</v>
      </c>
      <c r="D24" s="56" t="s">
        <v>222</v>
      </c>
    </row>
    <row r="26" spans="2:4" ht="21" customHeight="1">
      <c r="B26" s="8" t="s">
        <v>223</v>
      </c>
      <c r="C26" s="8"/>
      <c r="D26" s="8"/>
    </row>
    <row r="27" spans="2:4" ht="5" customHeight="1"/>
    <row r="28" spans="2:4" ht="29.4" customHeight="1">
      <c r="B28" s="26" t="s">
        <v>53</v>
      </c>
      <c r="C28" s="10" t="s">
        <v>224</v>
      </c>
      <c r="D28" s="10"/>
    </row>
    <row r="29" spans="2:4" ht="29.4" customHeight="1">
      <c r="B29" s="26" t="s">
        <v>53</v>
      </c>
      <c r="C29" s="10" t="s">
        <v>225</v>
      </c>
      <c r="D29" s="10"/>
    </row>
    <row r="30" spans="2:4" ht="29.4" customHeight="1">
      <c r="B30" s="26" t="s">
        <v>53</v>
      </c>
      <c r="C30" s="10" t="s">
        <v>226</v>
      </c>
      <c r="D30" s="10"/>
    </row>
    <row r="32" spans="2:4" ht="21" customHeight="1">
      <c r="B32" s="8" t="s">
        <v>227</v>
      </c>
      <c r="C32" s="8"/>
      <c r="D32" s="8"/>
    </row>
    <row r="33" spans="2:4" ht="5" customHeight="1"/>
    <row r="34" spans="2:4" ht="29.4" customHeight="1">
      <c r="B34" s="26" t="s">
        <v>53</v>
      </c>
      <c r="C34" s="10" t="s">
        <v>228</v>
      </c>
      <c r="D34" s="10"/>
    </row>
    <row r="35" spans="2:4" ht="29.4" customHeight="1">
      <c r="B35" s="26" t="s">
        <v>53</v>
      </c>
      <c r="C35" s="10" t="s">
        <v>229</v>
      </c>
      <c r="D35" s="10"/>
    </row>
    <row r="36" spans="2:4" ht="42.6" customHeight="1">
      <c r="B36" s="26" t="s">
        <v>53</v>
      </c>
      <c r="C36" s="10" t="s">
        <v>230</v>
      </c>
      <c r="D36" s="10"/>
    </row>
    <row r="38" spans="2:4" ht="21" customHeight="1">
      <c r="B38" s="8" t="s">
        <v>231</v>
      </c>
      <c r="C38" s="8"/>
      <c r="D38" s="8"/>
    </row>
    <row r="39" spans="2:4" ht="5" customHeight="1"/>
    <row r="40" spans="2:4" ht="69" customHeight="1">
      <c r="B40" s="10" t="s">
        <v>232</v>
      </c>
      <c r="C40" s="10"/>
      <c r="D40" s="10"/>
    </row>
    <row r="41" spans="2:4">
      <c r="B41" s="24" t="s">
        <v>233</v>
      </c>
      <c r="C41" s="24"/>
      <c r="D41" s="24"/>
    </row>
    <row r="43" spans="2:4" ht="21" customHeight="1">
      <c r="B43" s="8" t="s">
        <v>40</v>
      </c>
      <c r="C43" s="8"/>
      <c r="D43" s="8"/>
    </row>
    <row r="44" spans="2:4" ht="5" customHeight="1"/>
    <row r="45" spans="2:4" ht="42.6" customHeight="1">
      <c r="B45" s="10" t="s">
        <v>234</v>
      </c>
      <c r="C45" s="10"/>
      <c r="D45" s="10"/>
    </row>
    <row r="47" spans="2:4" ht="21" customHeight="1">
      <c r="B47" s="8" t="s">
        <v>235</v>
      </c>
      <c r="C47" s="8"/>
      <c r="D47" s="8"/>
    </row>
    <row r="48" spans="2:4" ht="5" customHeight="1"/>
    <row r="49" spans="2:4" ht="29.4" customHeight="1">
      <c r="B49" s="26" t="s">
        <v>53</v>
      </c>
      <c r="C49" s="10" t="s">
        <v>236</v>
      </c>
      <c r="D49" s="10"/>
    </row>
    <row r="50" spans="2:4" ht="16.2" customHeight="1">
      <c r="B50" s="26" t="s">
        <v>53</v>
      </c>
      <c r="C50" s="10" t="s">
        <v>237</v>
      </c>
      <c r="D50" s="10"/>
    </row>
    <row r="51" spans="2:4" ht="29.4" customHeight="1">
      <c r="B51" s="26" t="s">
        <v>53</v>
      </c>
      <c r="C51" s="10" t="s">
        <v>238</v>
      </c>
      <c r="D51" s="10"/>
    </row>
    <row r="52" spans="2:4">
      <c r="B52" s="21" t="s">
        <v>239</v>
      </c>
      <c r="C52" s="21"/>
      <c r="D52" s="21"/>
    </row>
    <row r="54" spans="2:4" ht="21" customHeight="1">
      <c r="B54" s="8" t="s">
        <v>240</v>
      </c>
      <c r="C54" s="8"/>
      <c r="D54" s="8"/>
    </row>
    <row r="55" spans="2:4" ht="5" customHeight="1"/>
    <row r="56" spans="2:4">
      <c r="B56" s="48" t="s">
        <v>48</v>
      </c>
      <c r="C56" s="48" t="s">
        <v>241</v>
      </c>
      <c r="D56" s="33" t="s">
        <v>242</v>
      </c>
    </row>
    <row r="57" spans="2:4" ht="16.2" customHeight="1">
      <c r="B57" s="57" t="s">
        <v>243</v>
      </c>
      <c r="C57" s="58" t="s">
        <v>244</v>
      </c>
      <c r="D57" s="59" t="s">
        <v>245</v>
      </c>
    </row>
    <row r="59" spans="2:4">
      <c r="B59" s="21" t="s">
        <v>59</v>
      </c>
      <c r="C59" s="21"/>
      <c r="D59" s="21"/>
    </row>
  </sheetData>
  <sheetProtection sheet="1" formatColumns="0" formatRows="0"/>
  <mergeCells count="25">
    <mergeCell ref="A1:D1"/>
    <mergeCell ref="B2:C2"/>
    <mergeCell ref="B4:D4"/>
    <mergeCell ref="B6:D6"/>
    <mergeCell ref="B8:D8"/>
    <mergeCell ref="B26:D26"/>
    <mergeCell ref="C28:D28"/>
    <mergeCell ref="C29:D29"/>
    <mergeCell ref="C30:D30"/>
    <mergeCell ref="B32:D32"/>
    <mergeCell ref="C34:D34"/>
    <mergeCell ref="C35:D35"/>
    <mergeCell ref="C36:D36"/>
    <mergeCell ref="B38:D38"/>
    <mergeCell ref="B40:D40"/>
    <mergeCell ref="B41:D41"/>
    <mergeCell ref="B43:D43"/>
    <mergeCell ref="B45:D45"/>
    <mergeCell ref="B47:D47"/>
    <mergeCell ref="C49:D49"/>
    <mergeCell ref="C50:D50"/>
    <mergeCell ref="C51:D51"/>
    <mergeCell ref="B52:D52"/>
    <mergeCell ref="B54:D54"/>
    <mergeCell ref="B59:D59"/>
  </mergeCells>
  <hyperlinks>
    <hyperlink ref="D2" r:id="rId1" tooltip="Free manufacturing calculators and templates"/>
    <hyperlink ref="B41" r:id="rId2"/>
  </hyperlinks>
  <printOptions horizontalCentered="1"/>
  <pageMargins left="0.4" right="0.4" top="0.7" bottom="0.65" header="0.3" footer="0.3"/>
  <pageSetup fitToHeight="0" orientation="portrait"/>
  <headerFooter>
    <oddHeader>&amp;L&amp;8MFG Calcs - Skills and Training Matrix&amp;R&amp;8&amp;A</oddHeader>
    <oddFooter>&amp;L&amp;8mfgcalcs.com - free manufacturing templates&amp;R&amp;8Page &amp;P of &amp;N</oddFooter>
  </headerFooter>
  <rowBreaks count="2" manualBreakCount="2">
    <brk id="25" max="16383" man="1"/>
    <brk id="5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C3440"/>
    <pageSetUpPr fitToPage="1"/>
  </sheetPr>
  <dimension ref="A1:N94"/>
  <sheetViews>
    <sheetView showGridLines="0" workbookViewId="0"/>
  </sheetViews>
  <sheetFormatPr defaultRowHeight="15" x14ac:dyDescent="0.25"/>
  <cols>
    <col min="1" max="1" width="2.7109375" customWidth="1"/>
    <col min="2" max="19" width="12.7109375" customWidth="1"/>
  </cols>
  <sheetData>
    <row r="1" spans="1:14" ht="30" customHeight="1" x14ac:dyDescent="0.25">
      <c r="A1" s="1" t="s">
        <v>0</v>
      </c>
      <c r="B1" s="1"/>
      <c r="C1" s="1"/>
      <c r="D1" s="1"/>
      <c r="E1" s="1"/>
      <c r="F1" s="1"/>
      <c r="G1" s="1"/>
      <c r="H1" s="1"/>
      <c r="I1" s="1"/>
      <c r="J1" s="1"/>
      <c r="K1" s="1"/>
      <c r="L1" s="1"/>
      <c r="M1" s="1"/>
      <c r="N1" s="1"/>
    </row>
    <row r="2" spans="1:14" ht="21" customHeight="1" x14ac:dyDescent="0.25">
      <c r="B2" s="2" t="s">
        <v>26</v>
      </c>
      <c r="C2" s="2"/>
      <c r="D2" s="2"/>
      <c r="E2" s="2"/>
      <c r="F2" s="2"/>
      <c r="G2" s="2"/>
      <c r="H2" s="2"/>
      <c r="I2" s="2"/>
      <c r="J2" s="2"/>
      <c r="K2" s="2"/>
      <c r="L2" s="2"/>
      <c r="M2" s="2"/>
      <c r="N2" s="3" t="s">
        <v>2</v>
      </c>
    </row>
    <row r="3" spans="1:14" ht="6" customHeight="1" x14ac:dyDescent="0.25"/>
    <row r="4" spans="1:14" ht="30" customHeight="1" x14ac:dyDescent="0.25">
      <c r="B4" s="60" t="s">
        <v>246</v>
      </c>
      <c r="C4" s="60"/>
      <c r="D4" s="22" t="str">
        <f>IF(COUNTIF($K$11:$K$43,"PASS")=33,"PASS","FAIL")</f>
        <v>PASS</v>
      </c>
      <c r="E4" s="22"/>
      <c r="F4" s="23" t="str">
        <f>COUNTIF($K$11:$K$43,"PASS")&amp;" of 33 checks pass"</f>
        <v>33 of 33 checks pass</v>
      </c>
      <c r="G4" s="23"/>
      <c r="H4" s="23"/>
      <c r="I4" s="23"/>
      <c r="J4" s="23"/>
    </row>
    <row r="6" spans="1:14" ht="29.4" customHeight="1" x14ac:dyDescent="0.25">
      <c r="B6" s="10" t="s">
        <v>247</v>
      </c>
      <c r="C6" s="10"/>
      <c r="D6" s="10"/>
      <c r="E6" s="10"/>
      <c r="F6" s="10"/>
      <c r="G6" s="10"/>
      <c r="H6" s="10"/>
      <c r="I6" s="10"/>
      <c r="J6" s="10"/>
      <c r="K6" s="10"/>
      <c r="L6" s="10"/>
    </row>
    <row r="8" spans="1:14" ht="21" customHeight="1" x14ac:dyDescent="0.25">
      <c r="B8" s="8" t="s">
        <v>248</v>
      </c>
      <c r="C8" s="8"/>
      <c r="D8" s="8"/>
      <c r="E8" s="8"/>
      <c r="F8" s="8"/>
      <c r="G8" s="8"/>
      <c r="H8" s="8"/>
      <c r="I8" s="8"/>
      <c r="J8" s="8"/>
      <c r="K8" s="8"/>
      <c r="L8" s="8"/>
    </row>
    <row r="9" spans="1:14" ht="5" customHeight="1" x14ac:dyDescent="0.25"/>
    <row r="10" spans="1:14" ht="30" customHeight="1" x14ac:dyDescent="0.25">
      <c r="B10" s="33" t="s">
        <v>249</v>
      </c>
      <c r="C10" s="48" t="s">
        <v>151</v>
      </c>
      <c r="D10" s="48"/>
      <c r="E10" s="48"/>
      <c r="F10" s="48"/>
      <c r="G10" s="33" t="s">
        <v>250</v>
      </c>
      <c r="H10" s="33" t="s">
        <v>251</v>
      </c>
      <c r="I10" s="33" t="s">
        <v>252</v>
      </c>
      <c r="J10" s="33" t="s">
        <v>253</v>
      </c>
      <c r="K10" s="33" t="s">
        <v>254</v>
      </c>
    </row>
    <row r="11" spans="1:14" ht="16.2" customHeight="1" x14ac:dyDescent="0.25">
      <c r="B11" s="61">
        <v>1</v>
      </c>
      <c r="C11" s="58" t="s">
        <v>255</v>
      </c>
      <c r="D11" s="58"/>
      <c r="E11" s="58"/>
      <c r="F11" s="58"/>
      <c r="G11" s="62">
        <v>46174</v>
      </c>
      <c r="H11" s="37">
        <f>$I$76</f>
        <v>46174</v>
      </c>
      <c r="I11" s="63">
        <f>IF(AND(ISNUMBER($G$11),ISNUMBER($H$11)),ABS($H$11-$G$11),"")</f>
        <v>0</v>
      </c>
      <c r="J11" s="64">
        <v>1E-09</v>
      </c>
      <c r="K11" s="39" t="str">
        <f>IF(AND(ISNUMBER($G$11),ISNUMBER($H$11)),IF(ABS($H$11-$G$11)&lt;=$J$11,"PASS","FAIL"),"FAIL")</f>
        <v>PASS</v>
      </c>
    </row>
    <row r="12" spans="1:14" ht="16.2" customHeight="1" x14ac:dyDescent="0.25">
      <c r="B12" s="61">
        <v>2</v>
      </c>
      <c r="C12" s="58" t="s">
        <v>256</v>
      </c>
      <c r="D12" s="58"/>
      <c r="E12" s="58"/>
      <c r="F12" s="58"/>
      <c r="G12" s="65">
        <v>-29</v>
      </c>
      <c r="H12" s="36">
        <f>$J$76</f>
        <v>-29</v>
      </c>
      <c r="I12" s="63">
        <f>IF(AND(ISNUMBER($G$12),ISNUMBER($H$12)),ABS($H$12-$G$12),"")</f>
        <v>0</v>
      </c>
      <c r="J12" s="64">
        <v>1E-09</v>
      </c>
      <c r="K12" s="39" t="str">
        <f>IF(AND(ISNUMBER($G$12),ISNUMBER($H$12)),IF(ABS($H$12-$G$12)&lt;=$J$12,"PASS","FAIL"),"FAIL")</f>
        <v>PASS</v>
      </c>
    </row>
    <row r="13" spans="1:14" ht="16.2" customHeight="1" x14ac:dyDescent="0.25">
      <c r="B13" s="61">
        <v>3</v>
      </c>
      <c r="C13" s="58" t="s">
        <v>257</v>
      </c>
      <c r="D13" s="58"/>
      <c r="E13" s="58"/>
      <c r="F13" s="58"/>
      <c r="G13" s="57" t="s">
        <v>258</v>
      </c>
      <c r="H13" s="35" t="str">
        <f>$K$76</f>
        <v>Overdue</v>
      </c>
      <c r="I13" s="35"/>
      <c r="J13" s="59" t="s">
        <v>259</v>
      </c>
      <c r="K13" s="39" t="str">
        <f>IF($H$13&amp;""=$G$13&amp;"","PASS","FAIL")</f>
        <v>PASS</v>
      </c>
    </row>
    <row r="14" spans="1:14" ht="16.2" customHeight="1" x14ac:dyDescent="0.25">
      <c r="B14" s="61">
        <v>4</v>
      </c>
      <c r="C14" s="58" t="s">
        <v>260</v>
      </c>
      <c r="D14" s="58"/>
      <c r="E14" s="58"/>
      <c r="F14" s="58"/>
      <c r="G14" s="57" t="s">
        <v>261</v>
      </c>
      <c r="H14" s="35" t="str">
        <f>$L$76</f>
        <v>No</v>
      </c>
      <c r="I14" s="35"/>
      <c r="J14" s="59" t="s">
        <v>259</v>
      </c>
      <c r="K14" s="39" t="str">
        <f>IF($H$14&amp;""=$G$14&amp;"","PASS","FAIL")</f>
        <v>PASS</v>
      </c>
    </row>
    <row r="15" spans="1:14" ht="16.2" customHeight="1" x14ac:dyDescent="0.25">
      <c r="B15" s="61">
        <v>5</v>
      </c>
      <c r="C15" s="58" t="s">
        <v>262</v>
      </c>
      <c r="D15" s="58"/>
      <c r="E15" s="58"/>
      <c r="F15" s="58"/>
      <c r="G15" s="62">
        <v>46234</v>
      </c>
      <c r="H15" s="37">
        <f>$I$78</f>
        <v>46234</v>
      </c>
      <c r="I15" s="63">
        <f>IF(AND(ISNUMBER($G$15),ISNUMBER($H$15)),ABS($H$15-$G$15),"")</f>
        <v>0</v>
      </c>
      <c r="J15" s="64">
        <v>1E-09</v>
      </c>
      <c r="K15" s="39" t="str">
        <f>IF(AND(ISNUMBER($G$15),ISNUMBER($H$15)),IF(ABS($H$15-$G$15)&lt;=$J$15,"PASS","FAIL"),"FAIL")</f>
        <v>PASS</v>
      </c>
    </row>
    <row r="16" spans="1:14" ht="16.2" customHeight="1" x14ac:dyDescent="0.25">
      <c r="B16" s="61">
        <v>6</v>
      </c>
      <c r="C16" s="58" t="s">
        <v>263</v>
      </c>
      <c r="D16" s="58"/>
      <c r="E16" s="58"/>
      <c r="F16" s="58"/>
      <c r="G16" s="65">
        <v>31</v>
      </c>
      <c r="H16" s="36">
        <f>$J$78</f>
        <v>31</v>
      </c>
      <c r="I16" s="63">
        <f>IF(AND(ISNUMBER($G$16),ISNUMBER($H$16)),ABS($H$16-$G$16),"")</f>
        <v>0</v>
      </c>
      <c r="J16" s="64">
        <v>1E-09</v>
      </c>
      <c r="K16" s="39" t="str">
        <f>IF(AND(ISNUMBER($G$16),ISNUMBER($H$16)),IF(ABS($H$16-$G$16)&lt;=$J$16,"PASS","FAIL"),"FAIL")</f>
        <v>PASS</v>
      </c>
    </row>
    <row r="17" spans="2:11" ht="16.2" customHeight="1" x14ac:dyDescent="0.25">
      <c r="B17" s="61">
        <v>7</v>
      </c>
      <c r="C17" s="58" t="s">
        <v>264</v>
      </c>
      <c r="D17" s="58"/>
      <c r="E17" s="58"/>
      <c r="F17" s="58"/>
      <c r="G17" s="57" t="s">
        <v>175</v>
      </c>
      <c r="H17" s="35" t="str">
        <f>$K$78</f>
        <v>Due soon</v>
      </c>
      <c r="I17" s="35"/>
      <c r="J17" s="59" t="s">
        <v>259</v>
      </c>
      <c r="K17" s="39" t="str">
        <f>IF($H$17&amp;""=$G$17&amp;"","PASS","FAIL")</f>
        <v>PASS</v>
      </c>
    </row>
    <row r="18" spans="2:11" ht="16.2" customHeight="1" x14ac:dyDescent="0.25">
      <c r="B18" s="61">
        <v>8</v>
      </c>
      <c r="C18" s="58" t="s">
        <v>265</v>
      </c>
      <c r="D18" s="58"/>
      <c r="E18" s="58"/>
      <c r="F18" s="58"/>
      <c r="G18" s="57" t="s">
        <v>266</v>
      </c>
      <c r="H18" s="35" t="str">
        <f>$L$78</f>
        <v>Yes</v>
      </c>
      <c r="I18" s="35"/>
      <c r="J18" s="59" t="s">
        <v>259</v>
      </c>
      <c r="K18" s="39" t="str">
        <f>IF($H$18&amp;""=$G$18&amp;"","PASS","FAIL")</f>
        <v>PASS</v>
      </c>
    </row>
    <row r="19" spans="2:11" ht="16.2" customHeight="1" x14ac:dyDescent="0.25">
      <c r="B19" s="61">
        <v>9</v>
      </c>
      <c r="C19" s="58" t="s">
        <v>267</v>
      </c>
      <c r="D19" s="58"/>
      <c r="E19" s="58"/>
      <c r="F19" s="58"/>
      <c r="G19" s="62">
        <v>46203</v>
      </c>
      <c r="H19" s="37">
        <f>$I$80</f>
        <v>46203</v>
      </c>
      <c r="I19" s="63">
        <f>IF(AND(ISNUMBER($G$19),ISNUMBER($H$19)),ABS($H$19-$G$19),"")</f>
        <v>0</v>
      </c>
      <c r="J19" s="64">
        <v>1E-09</v>
      </c>
      <c r="K19" s="39" t="str">
        <f>IF(AND(ISNUMBER($G$19),ISNUMBER($H$19)),IF(ABS($H$19-$G$19)&lt;=$J$19,"PASS","FAIL"),"FAIL")</f>
        <v>PASS</v>
      </c>
    </row>
    <row r="20" spans="2:11" ht="16.2" customHeight="1" x14ac:dyDescent="0.25">
      <c r="B20" s="61">
        <v>10</v>
      </c>
      <c r="C20" s="58" t="s">
        <v>268</v>
      </c>
      <c r="D20" s="58"/>
      <c r="E20" s="58"/>
      <c r="F20" s="58"/>
      <c r="G20" s="65">
        <v>0</v>
      </c>
      <c r="H20" s="36">
        <f>$J$80</f>
        <v>0</v>
      </c>
      <c r="I20" s="63">
        <f>IF(AND(ISNUMBER($G$20),ISNUMBER($H$20)),ABS($H$20-$G$20),"")</f>
        <v>0</v>
      </c>
      <c r="J20" s="64">
        <v>1E-09</v>
      </c>
      <c r="K20" s="39" t="str">
        <f>IF(AND(ISNUMBER($G$20),ISNUMBER($H$20)),IF(ABS($H$20-$G$20)&lt;=$J$20,"PASS","FAIL"),"FAIL")</f>
        <v>PASS</v>
      </c>
    </row>
    <row r="21" spans="2:11" ht="16.2" customHeight="1" x14ac:dyDescent="0.25">
      <c r="B21" s="61">
        <v>11</v>
      </c>
      <c r="C21" s="58" t="s">
        <v>269</v>
      </c>
      <c r="D21" s="58"/>
      <c r="E21" s="58"/>
      <c r="F21" s="58"/>
      <c r="G21" s="57" t="s">
        <v>175</v>
      </c>
      <c r="H21" s="35" t="str">
        <f>$K$80</f>
        <v>Due soon</v>
      </c>
      <c r="I21" s="35"/>
      <c r="J21" s="59" t="s">
        <v>259</v>
      </c>
      <c r="K21" s="39" t="str">
        <f>IF($H$21&amp;""=$G$21&amp;"","PASS","FAIL")</f>
        <v>PASS</v>
      </c>
    </row>
    <row r="22" spans="2:11" ht="16.2" customHeight="1" x14ac:dyDescent="0.25">
      <c r="B22" s="61">
        <v>12</v>
      </c>
      <c r="C22" s="58" t="s">
        <v>270</v>
      </c>
      <c r="D22" s="58"/>
      <c r="E22" s="58"/>
      <c r="F22" s="58"/>
      <c r="G22" s="57" t="s">
        <v>266</v>
      </c>
      <c r="H22" s="35" t="str">
        <f>$L$80</f>
        <v>Yes</v>
      </c>
      <c r="I22" s="35"/>
      <c r="J22" s="59" t="s">
        <v>259</v>
      </c>
      <c r="K22" s="39" t="str">
        <f>IF($H$22&amp;""=$G$22&amp;"","PASS","FAIL")</f>
        <v>PASS</v>
      </c>
    </row>
    <row r="23" spans="2:11" ht="16.2" customHeight="1" x14ac:dyDescent="0.25">
      <c r="B23" s="61">
        <v>13</v>
      </c>
      <c r="C23" s="58" t="s">
        <v>271</v>
      </c>
      <c r="D23" s="58"/>
      <c r="E23" s="58"/>
      <c r="F23" s="58"/>
      <c r="G23" s="57" t="s">
        <v>272</v>
      </c>
      <c r="H23" s="35" t="str">
        <f>$K$77</f>
        <v>OK</v>
      </c>
      <c r="I23" s="35"/>
      <c r="J23" s="59" t="s">
        <v>259</v>
      </c>
      <c r="K23" s="39" t="str">
        <f>IF($H$23&amp;""=$G$23&amp;"","PASS","FAIL")</f>
        <v>PASS</v>
      </c>
    </row>
    <row r="24" spans="2:11" ht="16.2" customHeight="1" x14ac:dyDescent="0.25">
      <c r="B24" s="61">
        <v>14</v>
      </c>
      <c r="C24" s="58" t="s">
        <v>273</v>
      </c>
      <c r="D24" s="58"/>
      <c r="E24" s="58"/>
      <c r="F24" s="58"/>
      <c r="G24" s="57" t="s">
        <v>261</v>
      </c>
      <c r="H24" s="35" t="str">
        <f>$L$75</f>
        <v>No</v>
      </c>
      <c r="I24" s="35"/>
      <c r="J24" s="59" t="s">
        <v>259</v>
      </c>
      <c r="K24" s="39" t="str">
        <f>IF($H$24&amp;""=$G$24&amp;"","PASS","FAIL")</f>
        <v>PASS</v>
      </c>
    </row>
    <row r="25" spans="2:11" ht="16.2" customHeight="1" x14ac:dyDescent="0.25">
      <c r="B25" s="61">
        <v>15</v>
      </c>
      <c r="C25" s="58" t="s">
        <v>274</v>
      </c>
      <c r="D25" s="58"/>
      <c r="E25" s="58"/>
      <c r="F25" s="58"/>
      <c r="G25" s="57" t="s">
        <v>272</v>
      </c>
      <c r="H25" s="35" t="str">
        <f>$K$73</f>
        <v>OK</v>
      </c>
      <c r="I25" s="35"/>
      <c r="J25" s="59" t="s">
        <v>259</v>
      </c>
      <c r="K25" s="39" t="str">
        <f>IF($H$25&amp;""=$G$25&amp;"","PASS","FAIL")</f>
        <v>PASS</v>
      </c>
    </row>
    <row r="26" spans="2:11" ht="16.2" customHeight="1" x14ac:dyDescent="0.25">
      <c r="B26" s="61">
        <v>16</v>
      </c>
      <c r="C26" s="58" t="s">
        <v>275</v>
      </c>
      <c r="D26" s="58"/>
      <c r="E26" s="58"/>
      <c r="F26" s="58"/>
      <c r="G26" s="57" t="s">
        <v>276</v>
      </c>
      <c r="H26" s="35" t="str">
        <f>$M$81</f>
        <v>Duplicate person and skill</v>
      </c>
      <c r="I26" s="35"/>
      <c r="J26" s="59" t="s">
        <v>259</v>
      </c>
      <c r="K26" s="39" t="str">
        <f>IF($H$26&amp;""=$G$26&amp;"","PASS","FAIL")</f>
        <v>PASS</v>
      </c>
    </row>
    <row r="27" spans="2:11" ht="16.2" customHeight="1" x14ac:dyDescent="0.25">
      <c r="B27" s="61">
        <v>17</v>
      </c>
      <c r="C27" s="58" t="s">
        <v>277</v>
      </c>
      <c r="D27" s="58"/>
      <c r="E27" s="58"/>
      <c r="F27" s="58"/>
      <c r="G27" s="65">
        <v>3</v>
      </c>
      <c r="H27" s="36">
        <f>$D$85</f>
        <v>3</v>
      </c>
      <c r="I27" s="63">
        <f>IF(AND(ISNUMBER($G$27),ISNUMBER($H$27)),ABS($H$27-$G$27),"")</f>
        <v>0</v>
      </c>
      <c r="J27" s="64">
        <v>1E-09</v>
      </c>
      <c r="K27" s="39" t="str">
        <f>IF(AND(ISNUMBER($G$27),ISNUMBER($H$27)),IF(ABS($H$27-$G$27)&lt;=$J$27,"PASS","FAIL"),"FAIL")</f>
        <v>PASS</v>
      </c>
    </row>
    <row r="28" spans="2:11" ht="16.2" customHeight="1" x14ac:dyDescent="0.25">
      <c r="B28" s="61">
        <v>18</v>
      </c>
      <c r="C28" s="58" t="s">
        <v>278</v>
      </c>
      <c r="D28" s="58"/>
      <c r="E28" s="58"/>
      <c r="F28" s="58"/>
      <c r="G28" s="66">
        <v>1</v>
      </c>
      <c r="H28" s="67">
        <f>$F$85</f>
        <v>1</v>
      </c>
      <c r="I28" s="63">
        <f>IF(AND(ISNUMBER($G$28),ISNUMBER($H$28)),ABS($H$28-$G$28),"")</f>
        <v>0</v>
      </c>
      <c r="J28" s="64">
        <v>1E-09</v>
      </c>
      <c r="K28" s="39" t="str">
        <f>IF(AND(ISNUMBER($G$28),ISNUMBER($H$28)),IF(ABS($H$28-$G$28)&lt;=$J$28,"PASS","FAIL"),"FAIL")</f>
        <v>PASS</v>
      </c>
    </row>
    <row r="29" spans="2:11" ht="16.2" customHeight="1" x14ac:dyDescent="0.25">
      <c r="B29" s="61">
        <v>19</v>
      </c>
      <c r="C29" s="58" t="s">
        <v>279</v>
      </c>
      <c r="D29" s="58"/>
      <c r="E29" s="58"/>
      <c r="F29" s="58"/>
      <c r="G29" s="65">
        <v>1</v>
      </c>
      <c r="H29" s="36">
        <f>$J$85</f>
        <v>1</v>
      </c>
      <c r="I29" s="63">
        <f>IF(AND(ISNUMBER($G$29),ISNUMBER($H$29)),ABS($H$29-$G$29),"")</f>
        <v>0</v>
      </c>
      <c r="J29" s="64">
        <v>1E-09</v>
      </c>
      <c r="K29" s="39" t="str">
        <f>IF(AND(ISNUMBER($G$29),ISNUMBER($H$29)),IF(ABS($H$29-$G$29)&lt;=$J$29,"PASS","FAIL"),"FAIL")</f>
        <v>PASS</v>
      </c>
    </row>
    <row r="30" spans="2:11" ht="16.2" customHeight="1" x14ac:dyDescent="0.25">
      <c r="B30" s="61">
        <v>20</v>
      </c>
      <c r="C30" s="58" t="s">
        <v>280</v>
      </c>
      <c r="D30" s="58"/>
      <c r="E30" s="58"/>
      <c r="F30" s="58"/>
      <c r="G30" s="57" t="s">
        <v>151</v>
      </c>
      <c r="H30" s="35" t="str">
        <f>$M$85</f>
        <v>Check</v>
      </c>
      <c r="I30" s="35"/>
      <c r="J30" s="59" t="s">
        <v>259</v>
      </c>
      <c r="K30" s="39" t="str">
        <f>IF($H$30&amp;""=$G$30&amp;"","PASS","FAIL")</f>
        <v>PASS</v>
      </c>
    </row>
    <row r="31" spans="2:11" ht="16.2" customHeight="1" x14ac:dyDescent="0.25">
      <c r="B31" s="61">
        <v>21</v>
      </c>
      <c r="C31" s="58" t="s">
        <v>281</v>
      </c>
      <c r="D31" s="58"/>
      <c r="E31" s="58"/>
      <c r="F31" s="58"/>
      <c r="G31" s="65">
        <v>1</v>
      </c>
      <c r="H31" s="36">
        <f>$D$86</f>
        <v>1</v>
      </c>
      <c r="I31" s="63">
        <f>IF(AND(ISNUMBER($G$31),ISNUMBER($H$31)),ABS($H$31-$G$31),"")</f>
        <v>0</v>
      </c>
      <c r="J31" s="64">
        <v>1E-09</v>
      </c>
      <c r="K31" s="39" t="str">
        <f>IF(AND(ISNUMBER($G$31),ISNUMBER($H$31)),IF(ABS($H$31-$G$31)&lt;=$J$31,"PASS","FAIL"),"FAIL")</f>
        <v>PASS</v>
      </c>
    </row>
    <row r="32" spans="2:11" ht="16.2" customHeight="1" x14ac:dyDescent="0.25">
      <c r="B32" s="61">
        <v>22</v>
      </c>
      <c r="C32" s="58" t="s">
        <v>282</v>
      </c>
      <c r="D32" s="58"/>
      <c r="E32" s="58"/>
      <c r="F32" s="58"/>
      <c r="G32" s="66">
        <v>0.5</v>
      </c>
      <c r="H32" s="67">
        <f>$F$86</f>
        <v>0.5</v>
      </c>
      <c r="I32" s="63">
        <f>IF(AND(ISNUMBER($G$32),ISNUMBER($H$32)),ABS($H$32-$G$32),"")</f>
        <v>0</v>
      </c>
      <c r="J32" s="64">
        <v>1E-09</v>
      </c>
      <c r="K32" s="39" t="str">
        <f>IF(AND(ISNUMBER($G$32),ISNUMBER($H$32)),IF(ABS($H$32-$G$32)&lt;=$J$32,"PASS","FAIL"),"FAIL")</f>
        <v>PASS</v>
      </c>
    </row>
    <row r="33" spans="2:12" ht="16.2" customHeight="1" x14ac:dyDescent="0.25">
      <c r="B33" s="61">
        <v>23</v>
      </c>
      <c r="C33" s="58" t="s">
        <v>283</v>
      </c>
      <c r="D33" s="58"/>
      <c r="E33" s="58"/>
      <c r="F33" s="58"/>
      <c r="G33" s="65">
        <v>1</v>
      </c>
      <c r="H33" s="36">
        <f>$J$86</f>
        <v>1</v>
      </c>
      <c r="I33" s="63">
        <f>IF(AND(ISNUMBER($G$33),ISNUMBER($H$33)),ABS($H$33-$G$33),"")</f>
        <v>0</v>
      </c>
      <c r="J33" s="64">
        <v>1E-09</v>
      </c>
      <c r="K33" s="39" t="str">
        <f>IF(AND(ISNUMBER($G$33),ISNUMBER($H$33)),IF(ABS($H$33-$G$33)&lt;=$J$33,"PASS","FAIL"),"FAIL")</f>
        <v>PASS</v>
      </c>
    </row>
    <row r="34" spans="2:12" ht="16.2" customHeight="1" x14ac:dyDescent="0.25">
      <c r="B34" s="61">
        <v>24</v>
      </c>
      <c r="C34" s="58" t="s">
        <v>284</v>
      </c>
      <c r="D34" s="58"/>
      <c r="E34" s="58"/>
      <c r="F34" s="58"/>
      <c r="G34" s="57" t="s">
        <v>285</v>
      </c>
      <c r="H34" s="35" t="str">
        <f>$M$86</f>
        <v>Below target</v>
      </c>
      <c r="I34" s="35"/>
      <c r="J34" s="59" t="s">
        <v>259</v>
      </c>
      <c r="K34" s="39" t="str">
        <f>IF($H$34&amp;""=$G$34&amp;"","PASS","FAIL")</f>
        <v>PASS</v>
      </c>
    </row>
    <row r="35" spans="2:12" ht="16.2" customHeight="1" x14ac:dyDescent="0.25">
      <c r="B35" s="61">
        <v>25</v>
      </c>
      <c r="C35" s="58" t="s">
        <v>286</v>
      </c>
      <c r="D35" s="58"/>
      <c r="E35" s="58"/>
      <c r="F35" s="58"/>
      <c r="G35" s="65">
        <v>2</v>
      </c>
      <c r="H35" s="36">
        <f>$D$87</f>
        <v>2</v>
      </c>
      <c r="I35" s="63">
        <f>IF(AND(ISNUMBER($G$35),ISNUMBER($H$35)),ABS($H$35-$G$35),"")</f>
        <v>0</v>
      </c>
      <c r="J35" s="64">
        <v>1E-09</v>
      </c>
      <c r="K35" s="39" t="str">
        <f>IF(AND(ISNUMBER($G$35),ISNUMBER($H$35)),IF(ABS($H$35-$G$35)&lt;=$J$35,"PASS","FAIL"),"FAIL")</f>
        <v>PASS</v>
      </c>
    </row>
    <row r="36" spans="2:12" ht="16.2" customHeight="1" x14ac:dyDescent="0.25">
      <c r="B36" s="61">
        <v>26</v>
      </c>
      <c r="C36" s="58" t="s">
        <v>287</v>
      </c>
      <c r="D36" s="58"/>
      <c r="E36" s="58"/>
      <c r="F36" s="58"/>
      <c r="G36" s="66">
        <v>0.5</v>
      </c>
      <c r="H36" s="67">
        <f>$F$87</f>
        <v>0.5</v>
      </c>
      <c r="I36" s="63">
        <f>IF(AND(ISNUMBER($G$36),ISNUMBER($H$36)),ABS($H$36-$G$36),"")</f>
        <v>0</v>
      </c>
      <c r="J36" s="64">
        <v>1E-09</v>
      </c>
      <c r="K36" s="39" t="str">
        <f>IF(AND(ISNUMBER($G$36),ISNUMBER($H$36)),IF(ABS($H$36-$G$36)&lt;=$J$36,"PASS","FAIL"),"FAIL")</f>
        <v>PASS</v>
      </c>
    </row>
    <row r="37" spans="2:12" ht="16.2" customHeight="1" x14ac:dyDescent="0.25">
      <c r="B37" s="61">
        <v>27</v>
      </c>
      <c r="C37" s="58" t="s">
        <v>288</v>
      </c>
      <c r="D37" s="58"/>
      <c r="E37" s="58"/>
      <c r="F37" s="58"/>
      <c r="G37" s="65">
        <v>1</v>
      </c>
      <c r="H37" s="36">
        <f>$J$87</f>
        <v>1</v>
      </c>
      <c r="I37" s="63">
        <f>IF(AND(ISNUMBER($G$37),ISNUMBER($H$37)),ABS($H$37-$G$37),"")</f>
        <v>0</v>
      </c>
      <c r="J37" s="64">
        <v>1E-09</v>
      </c>
      <c r="K37" s="39" t="str">
        <f>IF(AND(ISNUMBER($G$37),ISNUMBER($H$37)),IF(ABS($H$37-$G$37)&lt;=$J$37,"PASS","FAIL"),"FAIL")</f>
        <v>PASS</v>
      </c>
    </row>
    <row r="38" spans="2:12" ht="16.2" customHeight="1" x14ac:dyDescent="0.25">
      <c r="B38" s="61">
        <v>28</v>
      </c>
      <c r="C38" s="58" t="s">
        <v>289</v>
      </c>
      <c r="D38" s="58"/>
      <c r="E38" s="58"/>
      <c r="F38" s="58"/>
      <c r="G38" s="57" t="s">
        <v>285</v>
      </c>
      <c r="H38" s="35" t="str">
        <f>$M$87</f>
        <v>Below target</v>
      </c>
      <c r="I38" s="35"/>
      <c r="J38" s="59" t="s">
        <v>259</v>
      </c>
      <c r="K38" s="39" t="str">
        <f>IF($H$38&amp;""=$G$38&amp;"","PASS","FAIL")</f>
        <v>PASS</v>
      </c>
    </row>
    <row r="39" spans="2:12" ht="16.2" customHeight="1" x14ac:dyDescent="0.25">
      <c r="B39" s="61">
        <v>29</v>
      </c>
      <c r="C39" s="58" t="s">
        <v>290</v>
      </c>
      <c r="D39" s="58"/>
      <c r="E39" s="58"/>
      <c r="F39" s="58"/>
      <c r="G39" s="65">
        <v>1</v>
      </c>
      <c r="H39" s="36">
        <f>$E$87</f>
        <v>1</v>
      </c>
      <c r="I39" s="63">
        <f>IF(AND(ISNUMBER($G$39),ISNUMBER($H$39)),ABS($H$39-$G$39),"")</f>
        <v>0</v>
      </c>
      <c r="J39" s="64">
        <v>1E-09</v>
      </c>
      <c r="K39" s="39" t="str">
        <f>IF(AND(ISNUMBER($G$39),ISNUMBER($H$39)),IF(ABS($H$39-$G$39)&lt;=$J$39,"PASS","FAIL"),"FAIL")</f>
        <v>PASS</v>
      </c>
    </row>
    <row r="40" spans="2:12" ht="16.2" customHeight="1" x14ac:dyDescent="0.25">
      <c r="B40" s="61">
        <v>30</v>
      </c>
      <c r="C40" s="58" t="s">
        <v>291</v>
      </c>
      <c r="D40" s="58"/>
      <c r="E40" s="58"/>
      <c r="F40" s="58"/>
      <c r="G40" s="65">
        <v>2</v>
      </c>
      <c r="H40" s="36">
        <f>$L$87</f>
        <v>2</v>
      </c>
      <c r="I40" s="63">
        <f>IF(AND(ISNUMBER($G$40),ISNUMBER($H$40)),ABS($H$40-$G$40),"")</f>
        <v>0</v>
      </c>
      <c r="J40" s="64">
        <v>1E-09</v>
      </c>
      <c r="K40" s="39" t="str">
        <f>IF(AND(ISNUMBER($G$40),ISNUMBER($H$40)),IF(ABS($H$40-$G$40)&lt;=$J$40,"PASS","FAIL"),"FAIL")</f>
        <v>PASS</v>
      </c>
    </row>
    <row r="41" spans="2:12" ht="16.2" customHeight="1" x14ac:dyDescent="0.25">
      <c r="B41" s="61">
        <v>31</v>
      </c>
      <c r="C41" s="58" t="s">
        <v>292</v>
      </c>
      <c r="D41" s="58"/>
      <c r="E41" s="58"/>
      <c r="F41" s="58"/>
      <c r="G41" s="66">
        <v>0.6666666666666666</v>
      </c>
      <c r="H41" s="67">
        <f>IF((SUM($C$85:$C$94))=0,"",(SUM($H$85:$H$94))/(SUM($C$85:$C$94)))</f>
        <v>0.666666666666667</v>
      </c>
      <c r="I41" s="63">
        <f>IF(AND(ISNUMBER($G$41),ISNUMBER($H$41)),ABS($H$41-$G$41),"")</f>
        <v>0</v>
      </c>
      <c r="J41" s="64">
        <v>1E-09</v>
      </c>
      <c r="K41" s="39" t="str">
        <f>IF(AND(ISNUMBER($G$41),ISNUMBER($H$41)),IF(ABS($H$41-$G$41)&lt;=$J$41,"PASS","FAIL"),"FAIL")</f>
        <v>PASS</v>
      </c>
    </row>
    <row r="42" spans="2:12" ht="16.2" customHeight="1" x14ac:dyDescent="0.25">
      <c r="B42" s="61">
        <v>32</v>
      </c>
      <c r="C42" s="58" t="s">
        <v>293</v>
      </c>
      <c r="D42" s="58"/>
      <c r="E42" s="58"/>
      <c r="F42" s="58"/>
      <c r="G42" s="65">
        <v>3</v>
      </c>
      <c r="H42" s="36">
        <f>SUM($J$85:$J$94)</f>
        <v>3</v>
      </c>
      <c r="I42" s="63">
        <f>IF(AND(ISNUMBER($G$42),ISNUMBER($H$42)),ABS($H$42-$G$42),"")</f>
        <v>0</v>
      </c>
      <c r="J42" s="64">
        <v>1E-09</v>
      </c>
      <c r="K42" s="39" t="str">
        <f>IF(AND(ISNUMBER($G$42),ISNUMBER($H$42)),IF(ABS($H$42-$G$42)&lt;=$J$42,"PASS","FAIL"),"FAIL")</f>
        <v>PASS</v>
      </c>
    </row>
    <row r="43" spans="2:12" ht="16.2" customHeight="1" x14ac:dyDescent="0.25">
      <c r="B43" s="61">
        <v>33</v>
      </c>
      <c r="C43" s="58" t="s">
        <v>294</v>
      </c>
      <c r="D43" s="58"/>
      <c r="E43" s="58"/>
      <c r="F43" s="58"/>
      <c r="G43" s="65">
        <v>1</v>
      </c>
      <c r="H43" s="36">
        <f>COUNTIF(tblVerifyRecords[Renewal status],"Overdue")</f>
        <v>1</v>
      </c>
      <c r="I43" s="63">
        <f>IF(AND(ISNUMBER($G$43),ISNUMBER($H$43)),ABS($H$43-$G$43),"")</f>
        <v>0</v>
      </c>
      <c r="J43" s="64">
        <v>1E-09</v>
      </c>
      <c r="K43" s="39" t="str">
        <f>IF(AND(ISNUMBER($G$43),ISNUMBER($H$43)),IF(ABS($H$43-$G$43)&lt;=$J$43,"PASS","FAIL"),"FAIL")</f>
        <v>PASS</v>
      </c>
    </row>
    <row r="45" spans="2:12" ht="21" customHeight="1" x14ac:dyDescent="0.25">
      <c r="B45" s="8" t="s">
        <v>295</v>
      </c>
      <c r="C45" s="8"/>
      <c r="D45" s="8"/>
      <c r="E45" s="8"/>
      <c r="F45" s="8"/>
      <c r="G45" s="8"/>
      <c r="H45" s="8"/>
      <c r="I45" s="8"/>
      <c r="J45" s="8"/>
      <c r="K45" s="8"/>
      <c r="L45" s="8"/>
    </row>
    <row r="46" spans="2:12" ht="5" customHeight="1" x14ac:dyDescent="0.25"/>
    <row r="47" spans="2:12" x14ac:dyDescent="0.25">
      <c r="B47" s="21" t="s">
        <v>296</v>
      </c>
      <c r="C47" s="21"/>
      <c r="D47" s="21"/>
      <c r="E47" s="21"/>
      <c r="F47" s="21"/>
      <c r="G47" s="21"/>
      <c r="H47" s="21"/>
      <c r="I47" s="21"/>
      <c r="J47" s="21"/>
      <c r="K47" s="21"/>
      <c r="L47" s="21"/>
    </row>
    <row r="48" spans="2:12" x14ac:dyDescent="0.25">
      <c r="B48" s="32" t="s">
        <v>297</v>
      </c>
      <c r="C48" s="32"/>
      <c r="D48" s="32"/>
      <c r="E48" s="32"/>
      <c r="F48" s="32"/>
    </row>
    <row r="49" spans="2:12" x14ac:dyDescent="0.25">
      <c r="B49" s="27" t="s">
        <v>73</v>
      </c>
      <c r="C49" s="27"/>
      <c r="D49" s="27"/>
      <c r="E49" s="62">
        <v>46203</v>
      </c>
      <c r="F49" s="7"/>
    </row>
    <row r="50" spans="2:12" x14ac:dyDescent="0.25">
      <c r="B50" s="27" t="s">
        <v>74</v>
      </c>
      <c r="C50" s="27"/>
      <c r="D50" s="27"/>
      <c r="E50" s="65">
        <v>3</v>
      </c>
      <c r="F50" s="7"/>
    </row>
    <row r="51" spans="2:12" x14ac:dyDescent="0.25">
      <c r="B51" s="27" t="s">
        <v>298</v>
      </c>
      <c r="C51" s="27"/>
      <c r="D51" s="27"/>
      <c r="E51" s="65">
        <v>60</v>
      </c>
      <c r="F51" s="7"/>
    </row>
    <row r="52" spans="2:12" x14ac:dyDescent="0.25">
      <c r="B52" s="27" t="s">
        <v>78</v>
      </c>
      <c r="C52" s="27"/>
      <c r="D52" s="27"/>
      <c r="E52" s="68">
        <v>1</v>
      </c>
      <c r="F52" s="7"/>
    </row>
    <row r="54" spans="2:12" x14ac:dyDescent="0.25">
      <c r="B54" s="32" t="s">
        <v>299</v>
      </c>
      <c r="C54" s="32"/>
      <c r="D54" s="32"/>
      <c r="E54" s="32"/>
      <c r="F54" s="32"/>
      <c r="G54" s="32"/>
      <c r="H54" s="32"/>
      <c r="I54" s="32"/>
      <c r="J54" s="32"/>
      <c r="K54" s="32"/>
      <c r="L54" s="32"/>
    </row>
    <row r="55" spans="2:12" ht="20" customHeight="1" x14ac:dyDescent="0.25">
      <c r="B55" s="33" t="s">
        <v>60</v>
      </c>
      <c r="C55" s="33" t="s">
        <v>61</v>
      </c>
    </row>
    <row r="56" spans="2:12" x14ac:dyDescent="0.25">
      <c r="B56" s="57" t="s">
        <v>300</v>
      </c>
      <c r="C56" s="57" t="s">
        <v>301</v>
      </c>
    </row>
    <row r="57" spans="2:12" x14ac:dyDescent="0.25">
      <c r="B57" s="57" t="s">
        <v>93</v>
      </c>
      <c r="C57" s="57" t="s">
        <v>302</v>
      </c>
    </row>
    <row r="59" spans="2:12" x14ac:dyDescent="0.25">
      <c r="B59" s="32" t="s">
        <v>303</v>
      </c>
      <c r="C59" s="32"/>
      <c r="D59" s="32"/>
      <c r="E59" s="32"/>
      <c r="F59" s="32"/>
      <c r="G59" s="32"/>
      <c r="H59" s="32"/>
      <c r="I59" s="32"/>
      <c r="J59" s="32"/>
      <c r="K59" s="32"/>
      <c r="L59" s="32"/>
    </row>
    <row r="60" spans="2:12" ht="32" customHeight="1" x14ac:dyDescent="0.25">
      <c r="B60" s="33" t="s">
        <v>64</v>
      </c>
      <c r="C60" s="33" t="s">
        <v>65</v>
      </c>
      <c r="D60" s="33" t="s">
        <v>66</v>
      </c>
      <c r="E60" s="33" t="s">
        <v>67</v>
      </c>
      <c r="F60" s="33" t="s">
        <v>68</v>
      </c>
      <c r="G60" s="33" t="s">
        <v>69</v>
      </c>
    </row>
    <row r="61" spans="2:12" x14ac:dyDescent="0.25">
      <c r="B61" s="57" t="s">
        <v>304</v>
      </c>
      <c r="C61" s="57" t="s">
        <v>305</v>
      </c>
      <c r="D61" s="65">
        <v>3</v>
      </c>
      <c r="E61" s="65">
        <v>1</v>
      </c>
      <c r="F61" s="65">
        <v>0</v>
      </c>
      <c r="G61" s="57" t="s">
        <v>154</v>
      </c>
    </row>
    <row r="62" spans="2:12" x14ac:dyDescent="0.25">
      <c r="B62" s="57" t="s">
        <v>136</v>
      </c>
      <c r="C62" s="57" t="s">
        <v>306</v>
      </c>
      <c r="D62" s="65">
        <v>2</v>
      </c>
      <c r="E62" s="65">
        <v>1</v>
      </c>
      <c r="F62" s="65">
        <v>36</v>
      </c>
      <c r="G62" s="57" t="s">
        <v>154</v>
      </c>
    </row>
    <row r="63" spans="2:12" x14ac:dyDescent="0.25">
      <c r="B63" s="57" t="s">
        <v>142</v>
      </c>
      <c r="C63" s="57" t="s">
        <v>307</v>
      </c>
      <c r="D63" s="65">
        <v>4</v>
      </c>
      <c r="E63" s="65">
        <v>1</v>
      </c>
      <c r="F63" s="65">
        <v>12</v>
      </c>
      <c r="G63" s="57" t="s">
        <v>154</v>
      </c>
    </row>
    <row r="65" spans="2:14" x14ac:dyDescent="0.25">
      <c r="B65" s="32" t="s">
        <v>308</v>
      </c>
      <c r="C65" s="32"/>
      <c r="D65" s="32"/>
      <c r="E65" s="32"/>
      <c r="F65" s="32"/>
      <c r="G65" s="32"/>
      <c r="H65" s="32"/>
      <c r="I65" s="32"/>
      <c r="J65" s="32"/>
      <c r="K65" s="32"/>
      <c r="L65" s="32"/>
    </row>
    <row r="66" spans="2:14" ht="20" customHeight="1" x14ac:dyDescent="0.25">
      <c r="B66" s="33" t="s">
        <v>62</v>
      </c>
      <c r="C66" s="33" t="s">
        <v>60</v>
      </c>
      <c r="D66" s="33" t="s">
        <v>63</v>
      </c>
    </row>
    <row r="67" spans="2:14" x14ac:dyDescent="0.25">
      <c r="B67" s="57" t="s">
        <v>309</v>
      </c>
      <c r="C67" s="57" t="s">
        <v>300</v>
      </c>
      <c r="D67" s="57" t="s">
        <v>154</v>
      </c>
    </row>
    <row r="68" spans="2:14" x14ac:dyDescent="0.25">
      <c r="B68" s="57" t="s">
        <v>310</v>
      </c>
      <c r="C68" s="57" t="s">
        <v>300</v>
      </c>
      <c r="D68" s="57" t="s">
        <v>154</v>
      </c>
    </row>
    <row r="69" spans="2:14" x14ac:dyDescent="0.25">
      <c r="B69" s="57" t="s">
        <v>311</v>
      </c>
      <c r="C69" s="57" t="s">
        <v>93</v>
      </c>
      <c r="D69" s="57" t="s">
        <v>154</v>
      </c>
    </row>
    <row r="71" spans="2:14" x14ac:dyDescent="0.25">
      <c r="B71" s="32" t="s">
        <v>312</v>
      </c>
      <c r="C71" s="32"/>
      <c r="D71" s="32"/>
      <c r="E71" s="32"/>
      <c r="F71" s="32"/>
      <c r="G71" s="32"/>
      <c r="H71" s="32"/>
      <c r="I71" s="32"/>
      <c r="J71" s="32"/>
      <c r="K71" s="32"/>
      <c r="L71" s="32"/>
    </row>
    <row r="72" spans="2:14" ht="32" customHeight="1" x14ac:dyDescent="0.25">
      <c r="B72" s="33" t="s">
        <v>62</v>
      </c>
      <c r="C72" s="33" t="s">
        <v>64</v>
      </c>
      <c r="D72" s="33" t="s">
        <v>144</v>
      </c>
      <c r="E72" s="33" t="s">
        <v>145</v>
      </c>
      <c r="F72" s="33" t="s">
        <v>146</v>
      </c>
      <c r="G72" s="33" t="s">
        <v>60</v>
      </c>
      <c r="H72" s="33" t="s">
        <v>68</v>
      </c>
      <c r="I72" s="33" t="s">
        <v>147</v>
      </c>
      <c r="J72" s="33" t="s">
        <v>148</v>
      </c>
      <c r="K72" s="33" t="s">
        <v>149</v>
      </c>
      <c r="L72" s="33" t="s">
        <v>150</v>
      </c>
      <c r="M72" s="33" t="s">
        <v>151</v>
      </c>
      <c r="N72" s="33" t="s">
        <v>69</v>
      </c>
    </row>
    <row r="73" spans="2:14" x14ac:dyDescent="0.25">
      <c r="B73" s="57" t="s">
        <v>309</v>
      </c>
      <c r="C73" s="57" t="s">
        <v>304</v>
      </c>
      <c r="D73" s="65">
        <v>4</v>
      </c>
      <c r="E73" s="62">
        <v>44621</v>
      </c>
      <c r="F73" s="57" t="s">
        <v>313</v>
      </c>
      <c r="G73" s="57" t="s">
        <v>300</v>
      </c>
      <c r="H73" s="65">
        <v>0</v>
      </c>
      <c r="I73" s="37">
        <f>IF(tblVerifyRecords[[#This Row],[Person]]="","",IF(OR(tblVerifyRecords[[#This Row],[Renewal (months)]]="",N(tblVerifyRecords[[#This Row],[Assessed on]])=0),"",IF(tblVerifyRecords[[#This Row],[Renewal (months)]]=0,"",EDATE(tblVerifyRecords[[#This Row],[Assessed on]],tblVerifyRecords[[#This Row],[Renewal (months)]]))))</f>
        <v/>
      </c>
      <c r="J73" s="38">
        <f>IF(tblVerifyRecords[[#This Row],[Person]]="","",IF(tblVerifyRecords[[#This Row],[Expires]]="","",tblVerifyRecords[[#This Row],[Expires]]-$E$49))</f>
        <v/>
      </c>
      <c r="K73" s="39" t="str">
        <f>IF(tblVerifyRecords[[#This Row],[Person]]="","",IF(tblVerifyRecords[[#This Row],[Expires]]="","OK",IF(tblVerifyRecords[[#This Row],[Expires]]&lt;$E$49,"Overdue",IF(tblVerifyRecords[[#This Row],[Expires]]-$E$49&lt;=$E$51,"Due soon","OK"))))</f>
        <v>OK</v>
      </c>
      <c r="L73" s="39" t="str">
        <f>IF(tblVerifyRecords[[#This Row],[Person]]="","",IF(AND(N(tblVerifyRecords[[#This Row],[Level (0-4)]])&gt;=$E$50,tblVerifyRecords[[#This Row],[Renewal status]]&lt;&gt;"Overdue"),"Yes","No"))</f>
        <v>Yes</v>
      </c>
      <c r="M73" s="40" t="str">
        <f>IF(tblVerifyRecords[[#This Row],[Person]]="","",IF(tblVerifyRecords[[#This Row],[Skill]]="","Missing skill",IF(tblVerifyRecords[[#This Row],[Level (0-4)]]="","Missing level",IF(tblVerifyRecords[[#This Row],[Assessed on]]="","Missing assessed on",IF(tblVerifyRecords[[#This Row],[Shift]]="","Person not on Setup list",IF(tblVerifyRecords[[#This Row],[Renewal (months)]]="","Skill not on Setup list",IF(COUNTIFS(tblVerifyRecords[Person],tblVerifyRecords[[#This Row],[Person]],tblVerifyRecords[Skill],tblVerifyRecords[[#This Row],[Skill]])&gt;1,"Duplicate person and skill",IF(tblVerifyRecords[[#This Row],[Assessed on]]&gt;$E$49,"Assessed after the as-of date","OK"))))))))</f>
        <v>Duplicate person and skill</v>
      </c>
      <c r="N73" s="57" t="s">
        <v>154</v>
      </c>
    </row>
    <row r="74" spans="2:14" x14ac:dyDescent="0.25">
      <c r="B74" s="57" t="s">
        <v>310</v>
      </c>
      <c r="C74" s="57" t="s">
        <v>304</v>
      </c>
      <c r="D74" s="65">
        <v>3</v>
      </c>
      <c r="E74" s="62">
        <v>45672</v>
      </c>
      <c r="F74" s="57" t="s">
        <v>313</v>
      </c>
      <c r="G74" s="57" t="s">
        <v>300</v>
      </c>
      <c r="H74" s="65">
        <v>0</v>
      </c>
      <c r="I74" s="37">
        <f>IF(tblVerifyRecords[[#This Row],[Person]]="","",IF(OR(tblVerifyRecords[[#This Row],[Renewal (months)]]="",N(tblVerifyRecords[[#This Row],[Assessed on]])=0),"",IF(tblVerifyRecords[[#This Row],[Renewal (months)]]=0,"",EDATE(tblVerifyRecords[[#This Row],[Assessed on]],tblVerifyRecords[[#This Row],[Renewal (months)]]))))</f>
        <v/>
      </c>
      <c r="J74" s="38">
        <f>IF(tblVerifyRecords[[#This Row],[Person]]="","",IF(tblVerifyRecords[[#This Row],[Expires]]="","",tblVerifyRecords[[#This Row],[Expires]]-$E$49))</f>
        <v/>
      </c>
      <c r="K74" s="39" t="str">
        <f>IF(tblVerifyRecords[[#This Row],[Person]]="","",IF(tblVerifyRecords[[#This Row],[Expires]]="","OK",IF(tblVerifyRecords[[#This Row],[Expires]]&lt;$E$49,"Overdue",IF(tblVerifyRecords[[#This Row],[Expires]]-$E$49&lt;=$E$51,"Due soon","OK"))))</f>
        <v>OK</v>
      </c>
      <c r="L74" s="39" t="str">
        <f>IF(tblVerifyRecords[[#This Row],[Person]]="","",IF(AND(N(tblVerifyRecords[[#This Row],[Level (0-4)]])&gt;=$E$50,tblVerifyRecords[[#This Row],[Renewal status]]&lt;&gt;"Overdue"),"Yes","No"))</f>
        <v>Yes</v>
      </c>
      <c r="M74" s="40" t="str">
        <f>IF(tblVerifyRecords[[#This Row],[Person]]="","",IF(tblVerifyRecords[[#This Row],[Skill]]="","Missing skill",IF(tblVerifyRecords[[#This Row],[Level (0-4)]]="","Missing level",IF(tblVerifyRecords[[#This Row],[Assessed on]]="","Missing assessed on",IF(tblVerifyRecords[[#This Row],[Shift]]="","Person not on Setup list",IF(tblVerifyRecords[[#This Row],[Renewal (months)]]="","Skill not on Setup list",IF(COUNTIFS(tblVerifyRecords[Person],tblVerifyRecords[[#This Row],[Person]],tblVerifyRecords[Skill],tblVerifyRecords[[#This Row],[Skill]])&gt;1,"Duplicate person and skill",IF(tblVerifyRecords[[#This Row],[Assessed on]]&gt;$E$49,"Assessed after the as-of date","OK"))))))))</f>
        <v>OK</v>
      </c>
      <c r="N74" s="57" t="s">
        <v>154</v>
      </c>
    </row>
    <row r="75" spans="2:14" x14ac:dyDescent="0.25">
      <c r="B75" s="57" t="s">
        <v>311</v>
      </c>
      <c r="C75" s="57" t="s">
        <v>304</v>
      </c>
      <c r="D75" s="65">
        <v>2</v>
      </c>
      <c r="E75" s="62">
        <v>46144</v>
      </c>
      <c r="F75" s="57" t="s">
        <v>313</v>
      </c>
      <c r="G75" s="57" t="s">
        <v>93</v>
      </c>
      <c r="H75" s="65">
        <v>0</v>
      </c>
      <c r="I75" s="37">
        <f>IF(tblVerifyRecords[[#This Row],[Person]]="","",IF(OR(tblVerifyRecords[[#This Row],[Renewal (months)]]="",N(tblVerifyRecords[[#This Row],[Assessed on]])=0),"",IF(tblVerifyRecords[[#This Row],[Renewal (months)]]=0,"",EDATE(tblVerifyRecords[[#This Row],[Assessed on]],tblVerifyRecords[[#This Row],[Renewal (months)]]))))</f>
        <v/>
      </c>
      <c r="J75" s="38">
        <f>IF(tblVerifyRecords[[#This Row],[Person]]="","",IF(tblVerifyRecords[[#This Row],[Expires]]="","",tblVerifyRecords[[#This Row],[Expires]]-$E$49))</f>
        <v/>
      </c>
      <c r="K75" s="39" t="str">
        <f>IF(tblVerifyRecords[[#This Row],[Person]]="","",IF(tblVerifyRecords[[#This Row],[Expires]]="","OK",IF(tblVerifyRecords[[#This Row],[Expires]]&lt;$E$49,"Overdue",IF(tblVerifyRecords[[#This Row],[Expires]]-$E$49&lt;=$E$51,"Due soon","OK"))))</f>
        <v>OK</v>
      </c>
      <c r="L75" s="39" t="str">
        <f>IF(tblVerifyRecords[[#This Row],[Person]]="","",IF(AND(N(tblVerifyRecords[[#This Row],[Level (0-4)]])&gt;=$E$50,tblVerifyRecords[[#This Row],[Renewal status]]&lt;&gt;"Overdue"),"Yes","No"))</f>
        <v>No</v>
      </c>
      <c r="M75" s="40" t="str">
        <f>IF(tblVerifyRecords[[#This Row],[Person]]="","",IF(tblVerifyRecords[[#This Row],[Skill]]="","Missing skill",IF(tblVerifyRecords[[#This Row],[Level (0-4)]]="","Missing level",IF(tblVerifyRecords[[#This Row],[Assessed on]]="","Missing assessed on",IF(tblVerifyRecords[[#This Row],[Shift]]="","Person not on Setup list",IF(tblVerifyRecords[[#This Row],[Renewal (months)]]="","Skill not on Setup list",IF(COUNTIFS(tblVerifyRecords[Person],tblVerifyRecords[[#This Row],[Person]],tblVerifyRecords[Skill],tblVerifyRecords[[#This Row],[Skill]])&gt;1,"Duplicate person and skill",IF(tblVerifyRecords[[#This Row],[Assessed on]]&gt;$E$49,"Assessed after the as-of date","OK"))))))))</f>
        <v>OK</v>
      </c>
      <c r="N75" s="57" t="s">
        <v>154</v>
      </c>
    </row>
    <row r="76" spans="2:14" x14ac:dyDescent="0.25">
      <c r="B76" s="57" t="s">
        <v>309</v>
      </c>
      <c r="C76" s="57" t="s">
        <v>136</v>
      </c>
      <c r="D76" s="65">
        <v>3</v>
      </c>
      <c r="E76" s="62">
        <v>45078</v>
      </c>
      <c r="F76" s="57" t="s">
        <v>313</v>
      </c>
      <c r="G76" s="57" t="s">
        <v>300</v>
      </c>
      <c r="H76" s="65">
        <v>36</v>
      </c>
      <c r="I76" s="37">
        <f>IF(tblVerifyRecords[[#This Row],[Person]]="","",IF(OR(tblVerifyRecords[[#This Row],[Renewal (months)]]="",N(tblVerifyRecords[[#This Row],[Assessed on]])=0),"",IF(tblVerifyRecords[[#This Row],[Renewal (months)]]=0,"",EDATE(tblVerifyRecords[[#This Row],[Assessed on]],tblVerifyRecords[[#This Row],[Renewal (months)]]))))</f>
        <v>46174</v>
      </c>
      <c r="J76" s="38">
        <f>IF(tblVerifyRecords[[#This Row],[Person]]="","",IF(tblVerifyRecords[[#This Row],[Expires]]="","",tblVerifyRecords[[#This Row],[Expires]]-$E$49))</f>
        <v>-29</v>
      </c>
      <c r="K76" s="39" t="str">
        <f>IF(tblVerifyRecords[[#This Row],[Person]]="","",IF(tblVerifyRecords[[#This Row],[Expires]]="","OK",IF(tblVerifyRecords[[#This Row],[Expires]]&lt;$E$49,"Overdue",IF(tblVerifyRecords[[#This Row],[Expires]]-$E$49&lt;=$E$51,"Due soon","OK"))))</f>
        <v>Overdue</v>
      </c>
      <c r="L76" s="39" t="str">
        <f>IF(tblVerifyRecords[[#This Row],[Person]]="","",IF(AND(N(tblVerifyRecords[[#This Row],[Level (0-4)]])&gt;=$E$50,tblVerifyRecords[[#This Row],[Renewal status]]&lt;&gt;"Overdue"),"Yes","No"))</f>
        <v>No</v>
      </c>
      <c r="M76" s="40" t="str">
        <f>IF(tblVerifyRecords[[#This Row],[Person]]="","",IF(tblVerifyRecords[[#This Row],[Skill]]="","Missing skill",IF(tblVerifyRecords[[#This Row],[Level (0-4)]]="","Missing level",IF(tblVerifyRecords[[#This Row],[Assessed on]]="","Missing assessed on",IF(tblVerifyRecords[[#This Row],[Shift]]="","Person not on Setup list",IF(tblVerifyRecords[[#This Row],[Renewal (months)]]="","Skill not on Setup list",IF(COUNTIFS(tblVerifyRecords[Person],tblVerifyRecords[[#This Row],[Person]],tblVerifyRecords[Skill],tblVerifyRecords[[#This Row],[Skill]])&gt;1,"Duplicate person and skill",IF(tblVerifyRecords[[#This Row],[Assessed on]]&gt;$E$49,"Assessed after the as-of date","OK"))))))))</f>
        <v>OK</v>
      </c>
      <c r="N76" s="57" t="s">
        <v>154</v>
      </c>
    </row>
    <row r="77" spans="2:14" x14ac:dyDescent="0.25">
      <c r="B77" s="57" t="s">
        <v>311</v>
      </c>
      <c r="C77" s="57" t="s">
        <v>136</v>
      </c>
      <c r="D77" s="65">
        <v>3</v>
      </c>
      <c r="E77" s="62">
        <v>45169</v>
      </c>
      <c r="F77" s="57" t="s">
        <v>313</v>
      </c>
      <c r="G77" s="57" t="s">
        <v>93</v>
      </c>
      <c r="H77" s="65">
        <v>36</v>
      </c>
      <c r="I77" s="37">
        <f>IF(tblVerifyRecords[[#This Row],[Person]]="","",IF(OR(tblVerifyRecords[[#This Row],[Renewal (months)]]="",N(tblVerifyRecords[[#This Row],[Assessed on]])=0),"",IF(tblVerifyRecords[[#This Row],[Renewal (months)]]=0,"",EDATE(tblVerifyRecords[[#This Row],[Assessed on]],tblVerifyRecords[[#This Row],[Renewal (months)]]))))</f>
        <v>46265</v>
      </c>
      <c r="J77" s="38">
        <f>IF(tblVerifyRecords[[#This Row],[Person]]="","",IF(tblVerifyRecords[[#This Row],[Expires]]="","",tblVerifyRecords[[#This Row],[Expires]]-$E$49))</f>
        <v>62</v>
      </c>
      <c r="K77" s="39" t="str">
        <f>IF(tblVerifyRecords[[#This Row],[Person]]="","",IF(tblVerifyRecords[[#This Row],[Expires]]="","OK",IF(tblVerifyRecords[[#This Row],[Expires]]&lt;$E$49,"Overdue",IF(tblVerifyRecords[[#This Row],[Expires]]-$E$49&lt;=$E$51,"Due soon","OK"))))</f>
        <v>OK</v>
      </c>
      <c r="L77" s="39" t="str">
        <f>IF(tblVerifyRecords[[#This Row],[Person]]="","",IF(AND(N(tblVerifyRecords[[#This Row],[Level (0-4)]])&gt;=$E$50,tblVerifyRecords[[#This Row],[Renewal status]]&lt;&gt;"Overdue"),"Yes","No"))</f>
        <v>Yes</v>
      </c>
      <c r="M77" s="40" t="str">
        <f>IF(tblVerifyRecords[[#This Row],[Person]]="","",IF(tblVerifyRecords[[#This Row],[Skill]]="","Missing skill",IF(tblVerifyRecords[[#This Row],[Level (0-4)]]="","Missing level",IF(tblVerifyRecords[[#This Row],[Assessed on]]="","Missing assessed on",IF(tblVerifyRecords[[#This Row],[Shift]]="","Person not on Setup list",IF(tblVerifyRecords[[#This Row],[Renewal (months)]]="","Skill not on Setup list",IF(COUNTIFS(tblVerifyRecords[Person],tblVerifyRecords[[#This Row],[Person]],tblVerifyRecords[Skill],tblVerifyRecords[[#This Row],[Skill]])&gt;1,"Duplicate person and skill",IF(tblVerifyRecords[[#This Row],[Assessed on]]&gt;$E$49,"Assessed after the as-of date","OK"))))))))</f>
        <v>OK</v>
      </c>
      <c r="N77" s="57" t="s">
        <v>154</v>
      </c>
    </row>
    <row r="78" spans="2:14" x14ac:dyDescent="0.25">
      <c r="B78" s="57" t="s">
        <v>310</v>
      </c>
      <c r="C78" s="57" t="s">
        <v>142</v>
      </c>
      <c r="D78" s="65">
        <v>3</v>
      </c>
      <c r="E78" s="62">
        <v>45869</v>
      </c>
      <c r="F78" s="57" t="s">
        <v>313</v>
      </c>
      <c r="G78" s="57" t="s">
        <v>300</v>
      </c>
      <c r="H78" s="65">
        <v>12</v>
      </c>
      <c r="I78" s="37">
        <f>IF(tblVerifyRecords[[#This Row],[Person]]="","",IF(OR(tblVerifyRecords[[#This Row],[Renewal (months)]]="",N(tblVerifyRecords[[#This Row],[Assessed on]])=0),"",IF(tblVerifyRecords[[#This Row],[Renewal (months)]]=0,"",EDATE(tblVerifyRecords[[#This Row],[Assessed on]],tblVerifyRecords[[#This Row],[Renewal (months)]]))))</f>
        <v>46234</v>
      </c>
      <c r="J78" s="38">
        <f>IF(tblVerifyRecords[[#This Row],[Person]]="","",IF(tblVerifyRecords[[#This Row],[Expires]]="","",tblVerifyRecords[[#This Row],[Expires]]-$E$49))</f>
        <v>31</v>
      </c>
      <c r="K78" s="39" t="str">
        <f>IF(tblVerifyRecords[[#This Row],[Person]]="","",IF(tblVerifyRecords[[#This Row],[Expires]]="","OK",IF(tblVerifyRecords[[#This Row],[Expires]]&lt;$E$49,"Overdue",IF(tblVerifyRecords[[#This Row],[Expires]]-$E$49&lt;=$E$51,"Due soon","OK"))))</f>
        <v>Due soon</v>
      </c>
      <c r="L78" s="39" t="str">
        <f>IF(tblVerifyRecords[[#This Row],[Person]]="","",IF(AND(N(tblVerifyRecords[[#This Row],[Level (0-4)]])&gt;=$E$50,tblVerifyRecords[[#This Row],[Renewal status]]&lt;&gt;"Overdue"),"Yes","No"))</f>
        <v>Yes</v>
      </c>
      <c r="M78" s="40" t="str">
        <f>IF(tblVerifyRecords[[#This Row],[Person]]="","",IF(tblVerifyRecords[[#This Row],[Skill]]="","Missing skill",IF(tblVerifyRecords[[#This Row],[Level (0-4)]]="","Missing level",IF(tblVerifyRecords[[#This Row],[Assessed on]]="","Missing assessed on",IF(tblVerifyRecords[[#This Row],[Shift]]="","Person not on Setup list",IF(tblVerifyRecords[[#This Row],[Renewal (months)]]="","Skill not on Setup list",IF(COUNTIFS(tblVerifyRecords[Person],tblVerifyRecords[[#This Row],[Person]],tblVerifyRecords[Skill],tblVerifyRecords[[#This Row],[Skill]])&gt;1,"Duplicate person and skill",IF(tblVerifyRecords[[#This Row],[Assessed on]]&gt;$E$49,"Assessed after the as-of date","OK"))))))))</f>
        <v>OK</v>
      </c>
      <c r="N78" s="57" t="s">
        <v>154</v>
      </c>
    </row>
    <row r="79" spans="2:14" x14ac:dyDescent="0.25">
      <c r="B79" s="57" t="s">
        <v>311</v>
      </c>
      <c r="C79" s="57" t="s">
        <v>142</v>
      </c>
      <c r="D79" s="65">
        <v>1</v>
      </c>
      <c r="E79" s="62">
        <v>46174</v>
      </c>
      <c r="F79" s="57" t="s">
        <v>313</v>
      </c>
      <c r="G79" s="57" t="s">
        <v>93</v>
      </c>
      <c r="H79" s="65">
        <v>12</v>
      </c>
      <c r="I79" s="37">
        <f>IF(tblVerifyRecords[[#This Row],[Person]]="","",IF(OR(tblVerifyRecords[[#This Row],[Renewal (months)]]="",N(tblVerifyRecords[[#This Row],[Assessed on]])=0),"",IF(tblVerifyRecords[[#This Row],[Renewal (months)]]=0,"",EDATE(tblVerifyRecords[[#This Row],[Assessed on]],tblVerifyRecords[[#This Row],[Renewal (months)]]))))</f>
        <v>46539</v>
      </c>
      <c r="J79" s="38">
        <f>IF(tblVerifyRecords[[#This Row],[Person]]="","",IF(tblVerifyRecords[[#This Row],[Expires]]="","",tblVerifyRecords[[#This Row],[Expires]]-$E$49))</f>
        <v>336</v>
      </c>
      <c r="K79" s="39" t="str">
        <f>IF(tblVerifyRecords[[#This Row],[Person]]="","",IF(tblVerifyRecords[[#This Row],[Expires]]="","OK",IF(tblVerifyRecords[[#This Row],[Expires]]&lt;$E$49,"Overdue",IF(tblVerifyRecords[[#This Row],[Expires]]-$E$49&lt;=$E$51,"Due soon","OK"))))</f>
        <v>OK</v>
      </c>
      <c r="L79" s="39" t="str">
        <f>IF(tblVerifyRecords[[#This Row],[Person]]="","",IF(AND(N(tblVerifyRecords[[#This Row],[Level (0-4)]])&gt;=$E$50,tblVerifyRecords[[#This Row],[Renewal status]]&lt;&gt;"Overdue"),"Yes","No"))</f>
        <v>No</v>
      </c>
      <c r="M79" s="40" t="str">
        <f>IF(tblVerifyRecords[[#This Row],[Person]]="","",IF(tblVerifyRecords[[#This Row],[Skill]]="","Missing skill",IF(tblVerifyRecords[[#This Row],[Level (0-4)]]="","Missing level",IF(tblVerifyRecords[[#This Row],[Assessed on]]="","Missing assessed on",IF(tblVerifyRecords[[#This Row],[Shift]]="","Person not on Setup list",IF(tblVerifyRecords[[#This Row],[Renewal (months)]]="","Skill not on Setup list",IF(COUNTIFS(tblVerifyRecords[Person],tblVerifyRecords[[#This Row],[Person]],tblVerifyRecords[Skill],tblVerifyRecords[[#This Row],[Skill]])&gt;1,"Duplicate person and skill",IF(tblVerifyRecords[[#This Row],[Assessed on]]&gt;$E$49,"Assessed after the as-of date","OK"))))))))</f>
        <v>OK</v>
      </c>
      <c r="N79" s="57" t="s">
        <v>154</v>
      </c>
    </row>
    <row r="80" spans="2:14" x14ac:dyDescent="0.25">
      <c r="B80" s="57" t="s">
        <v>309</v>
      </c>
      <c r="C80" s="57" t="s">
        <v>142</v>
      </c>
      <c r="D80" s="65">
        <v>3</v>
      </c>
      <c r="E80" s="62">
        <v>45838</v>
      </c>
      <c r="F80" s="57" t="s">
        <v>313</v>
      </c>
      <c r="G80" s="57" t="s">
        <v>300</v>
      </c>
      <c r="H80" s="65">
        <v>12</v>
      </c>
      <c r="I80" s="37">
        <f>IF(tblVerifyRecords[[#This Row],[Person]]="","",IF(OR(tblVerifyRecords[[#This Row],[Renewal (months)]]="",N(tblVerifyRecords[[#This Row],[Assessed on]])=0),"",IF(tblVerifyRecords[[#This Row],[Renewal (months)]]=0,"",EDATE(tblVerifyRecords[[#This Row],[Assessed on]],tblVerifyRecords[[#This Row],[Renewal (months)]]))))</f>
        <v>46203</v>
      </c>
      <c r="J80" s="38">
        <f>IF(tblVerifyRecords[[#This Row],[Person]]="","",IF(tblVerifyRecords[[#This Row],[Expires]]="","",tblVerifyRecords[[#This Row],[Expires]]-$E$49))</f>
        <v>0</v>
      </c>
      <c r="K80" s="39" t="str">
        <f>IF(tblVerifyRecords[[#This Row],[Person]]="","",IF(tblVerifyRecords[[#This Row],[Expires]]="","OK",IF(tblVerifyRecords[[#This Row],[Expires]]&lt;$E$49,"Overdue",IF(tblVerifyRecords[[#This Row],[Expires]]-$E$49&lt;=$E$51,"Due soon","OK"))))</f>
        <v>Due soon</v>
      </c>
      <c r="L80" s="39" t="str">
        <f>IF(tblVerifyRecords[[#This Row],[Person]]="","",IF(AND(N(tblVerifyRecords[[#This Row],[Level (0-4)]])&gt;=$E$50,tblVerifyRecords[[#This Row],[Renewal status]]&lt;&gt;"Overdue"),"Yes","No"))</f>
        <v>Yes</v>
      </c>
      <c r="M80" s="40" t="str">
        <f>IF(tblVerifyRecords[[#This Row],[Person]]="","",IF(tblVerifyRecords[[#This Row],[Skill]]="","Missing skill",IF(tblVerifyRecords[[#This Row],[Level (0-4)]]="","Missing level",IF(tblVerifyRecords[[#This Row],[Assessed on]]="","Missing assessed on",IF(tblVerifyRecords[[#This Row],[Shift]]="","Person not on Setup list",IF(tblVerifyRecords[[#This Row],[Renewal (months)]]="","Skill not on Setup list",IF(COUNTIFS(tblVerifyRecords[Person],tblVerifyRecords[[#This Row],[Person]],tblVerifyRecords[Skill],tblVerifyRecords[[#This Row],[Skill]])&gt;1,"Duplicate person and skill",IF(tblVerifyRecords[[#This Row],[Assessed on]]&gt;$E$49,"Assessed after the as-of date","OK"))))))))</f>
        <v>OK</v>
      </c>
      <c r="N80" s="57" t="s">
        <v>154</v>
      </c>
    </row>
    <row r="81" spans="2:14" x14ac:dyDescent="0.25">
      <c r="B81" s="57" t="s">
        <v>309</v>
      </c>
      <c r="C81" s="57" t="s">
        <v>304</v>
      </c>
      <c r="D81" s="65">
        <v>3</v>
      </c>
      <c r="E81" s="62">
        <v>46023</v>
      </c>
      <c r="F81" s="57" t="s">
        <v>313</v>
      </c>
      <c r="G81" s="57" t="s">
        <v>300</v>
      </c>
      <c r="H81" s="65">
        <v>0</v>
      </c>
      <c r="I81" s="37">
        <f>IF(tblVerifyRecords[[#This Row],[Person]]="","",IF(OR(tblVerifyRecords[[#This Row],[Renewal (months)]]="",N(tblVerifyRecords[[#This Row],[Assessed on]])=0),"",IF(tblVerifyRecords[[#This Row],[Renewal (months)]]=0,"",EDATE(tblVerifyRecords[[#This Row],[Assessed on]],tblVerifyRecords[[#This Row],[Renewal (months)]]))))</f>
        <v/>
      </c>
      <c r="J81" s="38">
        <f>IF(tblVerifyRecords[[#This Row],[Person]]="","",IF(tblVerifyRecords[[#This Row],[Expires]]="","",tblVerifyRecords[[#This Row],[Expires]]-$E$49))</f>
        <v/>
      </c>
      <c r="K81" s="39" t="str">
        <f>IF(tblVerifyRecords[[#This Row],[Person]]="","",IF(tblVerifyRecords[[#This Row],[Expires]]="","OK",IF(tblVerifyRecords[[#This Row],[Expires]]&lt;$E$49,"Overdue",IF(tblVerifyRecords[[#This Row],[Expires]]-$E$49&lt;=$E$51,"Due soon","OK"))))</f>
        <v>OK</v>
      </c>
      <c r="L81" s="39" t="str">
        <f>IF(tblVerifyRecords[[#This Row],[Person]]="","",IF(AND(N(tblVerifyRecords[[#This Row],[Level (0-4)]])&gt;=$E$50,tblVerifyRecords[[#This Row],[Renewal status]]&lt;&gt;"Overdue"),"Yes","No"))</f>
        <v>Yes</v>
      </c>
      <c r="M81" s="40" t="str">
        <f>IF(tblVerifyRecords[[#This Row],[Person]]="","",IF(tblVerifyRecords[[#This Row],[Skill]]="","Missing skill",IF(tblVerifyRecords[[#This Row],[Level (0-4)]]="","Missing level",IF(tblVerifyRecords[[#This Row],[Assessed on]]="","Missing assessed on",IF(tblVerifyRecords[[#This Row],[Shift]]="","Person not on Setup list",IF(tblVerifyRecords[[#This Row],[Renewal (months)]]="","Skill not on Setup list",IF(COUNTIFS(tblVerifyRecords[Person],tblVerifyRecords[[#This Row],[Person]],tblVerifyRecords[Skill],tblVerifyRecords[[#This Row],[Skill]])&gt;1,"Duplicate person and skill",IF(tblVerifyRecords[[#This Row],[Assessed on]]&gt;$E$49,"Assessed after the as-of date","OK"))))))))</f>
        <v>Duplicate person and skill</v>
      </c>
      <c r="N81" s="57" t="s">
        <v>154</v>
      </c>
    </row>
    <row r="83" spans="2:14" x14ac:dyDescent="0.25">
      <c r="B83" s="32" t="s">
        <v>314</v>
      </c>
      <c r="C83" s="32"/>
      <c r="D83" s="32"/>
      <c r="E83" s="32"/>
      <c r="F83" s="32"/>
      <c r="G83" s="32"/>
      <c r="H83" s="32"/>
      <c r="I83" s="32"/>
      <c r="J83" s="32"/>
      <c r="K83" s="32"/>
      <c r="L83" s="32"/>
    </row>
    <row r="84" spans="2:14" ht="32" customHeight="1" x14ac:dyDescent="0.25">
      <c r="B84" s="48" t="s">
        <v>64</v>
      </c>
      <c r="C84" s="33" t="s">
        <v>66</v>
      </c>
      <c r="D84" s="33" t="s">
        <v>167</v>
      </c>
      <c r="E84" s="33" t="s">
        <v>168</v>
      </c>
      <c r="F84" s="33" t="s">
        <v>169</v>
      </c>
      <c r="G84" s="33" t="s">
        <v>170</v>
      </c>
      <c r="H84" s="33" t="s">
        <v>171</v>
      </c>
      <c r="I84" s="33" t="s">
        <v>172</v>
      </c>
      <c r="J84" s="33" t="s">
        <v>173</v>
      </c>
      <c r="K84" s="33" t="s">
        <v>174</v>
      </c>
      <c r="L84" s="33" t="s">
        <v>175</v>
      </c>
      <c r="M84" s="33" t="s">
        <v>176</v>
      </c>
    </row>
    <row r="85" spans="2:14" x14ac:dyDescent="0.25">
      <c r="B85" s="49" t="str">
        <f>IFERROR(INDEX(tblVerifySkills[Skill],1)&amp;"","")</f>
        <v>Lathe</v>
      </c>
      <c r="C85" s="36">
        <f>IF($B$85="","",INDEX(tblVerifySkills[Needed (people)],MATCH($B$85,tblVerifySkills[Skill],0)))</f>
        <v>3</v>
      </c>
      <c r="D85" s="36">
        <f>IF($B$85="","",COUNTIFS(tblVerifyRecords[Skill],$B$85,tblVerifyRecords[Qualified],"Yes"))</f>
        <v>3</v>
      </c>
      <c r="E85" s="36">
        <f>IF($B$85="","",COUNTIFS(tblVerifyRecords[Skill],$B$85,tblVerifyRecords[Level (0-4)],"&gt;=1",tblVerifyRecords[Level (0-4)],"&lt;"&amp;$E$50))</f>
        <v>1</v>
      </c>
      <c r="F85" s="50">
        <f>IF($B$85="","",IF(($C$85)=0,"",($D$85)/($C$85)))</f>
        <v>1</v>
      </c>
      <c r="G85" s="36">
        <f>IF($B$85="","",MAX(0,$C$85-$D$85))</f>
        <v>0</v>
      </c>
      <c r="H85" s="36">
        <f>IF($B$85="","",MIN($D$85,$C$85))</f>
        <v>3</v>
      </c>
      <c r="I85" s="36">
        <f>IF($B$85="","",INDEX(tblVerifySkills[Min per shift (people)],MATCH($B$85,tblVerifySkills[Skill],0)))</f>
        <v>1</v>
      </c>
      <c r="J85" s="36">
        <f>IF($B$85="","",SUMPRODUCT(--(COUNTIFS(tblVerifyRecords[Skill],$B$85,tblVerifyRecords[Qualified],"Yes",tblVerifyRecords[Shift],tblVerifyShiftList[Shift])&lt;$I$85)))</f>
        <v>1</v>
      </c>
      <c r="K85" s="36">
        <f>IF($B$85="","",COUNTIFS(tblVerifyRecords[Skill],$B$85,tblVerifyRecords[Renewal status],"Overdue"))</f>
        <v>0</v>
      </c>
      <c r="L85" s="36">
        <f>IF($B$85="","",COUNTIFS(tblVerifyRecords[Skill],$B$85,tblVerifyRecords[Renewal status],"Due soon"))</f>
        <v>0</v>
      </c>
      <c r="M85" s="39" t="str">
        <f>IF($B$85="","",IF($F$85="","",IF($F$85&lt;$E$52,"Below target",IF($J$85&gt;0,"Check","On target"))))</f>
        <v>Check</v>
      </c>
    </row>
    <row r="86" spans="2:14" x14ac:dyDescent="0.25">
      <c r="B86" s="49" t="str">
        <f>IFERROR(INDEX(tblVerifySkills[Skill],2)&amp;"","")</f>
        <v>Forklift</v>
      </c>
      <c r="C86" s="36">
        <f>IF($B$86="","",INDEX(tblVerifySkills[Needed (people)],MATCH($B$86,tblVerifySkills[Skill],0)))</f>
        <v>2</v>
      </c>
      <c r="D86" s="36">
        <f>IF($B$86="","",COUNTIFS(tblVerifyRecords[Skill],$B$86,tblVerifyRecords[Qualified],"Yes"))</f>
        <v>1</v>
      </c>
      <c r="E86" s="36">
        <f>IF($B$86="","",COUNTIFS(tblVerifyRecords[Skill],$B$86,tblVerifyRecords[Level (0-4)],"&gt;=1",tblVerifyRecords[Level (0-4)],"&lt;"&amp;$E$50))</f>
        <v>0</v>
      </c>
      <c r="F86" s="50">
        <f>IF($B$86="","",IF(($C$86)=0,"",($D$86)/($C$86)))</f>
        <v>0.5</v>
      </c>
      <c r="G86" s="36">
        <f>IF($B$86="","",MAX(0,$C$86-$D$86))</f>
        <v>1</v>
      </c>
      <c r="H86" s="36">
        <f>IF($B$86="","",MIN($D$86,$C$86))</f>
        <v>1</v>
      </c>
      <c r="I86" s="36">
        <f>IF($B$86="","",INDEX(tblVerifySkills[Min per shift (people)],MATCH($B$86,tblVerifySkills[Skill],0)))</f>
        <v>1</v>
      </c>
      <c r="J86" s="36">
        <f>IF($B$86="","",SUMPRODUCT(--(COUNTIFS(tblVerifyRecords[Skill],$B$86,tblVerifyRecords[Qualified],"Yes",tblVerifyRecords[Shift],tblVerifyShiftList[Shift])&lt;$I$86)))</f>
        <v>1</v>
      </c>
      <c r="K86" s="36">
        <f>IF($B$86="","",COUNTIFS(tblVerifyRecords[Skill],$B$86,tblVerifyRecords[Renewal status],"Overdue"))</f>
        <v>1</v>
      </c>
      <c r="L86" s="36">
        <f>IF($B$86="","",COUNTIFS(tblVerifyRecords[Skill],$B$86,tblVerifyRecords[Renewal status],"Due soon"))</f>
        <v>0</v>
      </c>
      <c r="M86" s="39" t="str">
        <f>IF($B$86="","",IF($F$86="","",IF($F$86&lt;$E$52,"Below target",IF($J$86&gt;0,"Check","On target"))))</f>
        <v>Below target</v>
      </c>
    </row>
    <row r="87" spans="2:14" x14ac:dyDescent="0.25">
      <c r="B87" s="49" t="str">
        <f>IFERROR(INDEX(tblVerifySkills[Skill],3)&amp;"","")</f>
        <v>LOTO</v>
      </c>
      <c r="C87" s="36">
        <f>IF($B$87="","",INDEX(tblVerifySkills[Needed (people)],MATCH($B$87,tblVerifySkills[Skill],0)))</f>
        <v>4</v>
      </c>
      <c r="D87" s="36">
        <f>IF($B$87="","",COUNTIFS(tblVerifyRecords[Skill],$B$87,tblVerifyRecords[Qualified],"Yes"))</f>
        <v>2</v>
      </c>
      <c r="E87" s="36">
        <f>IF($B$87="","",COUNTIFS(tblVerifyRecords[Skill],$B$87,tblVerifyRecords[Level (0-4)],"&gt;=1",tblVerifyRecords[Level (0-4)],"&lt;"&amp;$E$50))</f>
        <v>1</v>
      </c>
      <c r="F87" s="50">
        <f>IF($B$87="","",IF(($C$87)=0,"",($D$87)/($C$87)))</f>
        <v>0.5</v>
      </c>
      <c r="G87" s="36">
        <f>IF($B$87="","",MAX(0,$C$87-$D$87))</f>
        <v>2</v>
      </c>
      <c r="H87" s="36">
        <f>IF($B$87="","",MIN($D$87,$C$87))</f>
        <v>2</v>
      </c>
      <c r="I87" s="36">
        <f>IF($B$87="","",INDEX(tblVerifySkills[Min per shift (people)],MATCH($B$87,tblVerifySkills[Skill],0)))</f>
        <v>1</v>
      </c>
      <c r="J87" s="36">
        <f>IF($B$87="","",SUMPRODUCT(--(COUNTIFS(tblVerifyRecords[Skill],$B$87,tblVerifyRecords[Qualified],"Yes",tblVerifyRecords[Shift],tblVerifyShiftList[Shift])&lt;$I$87)))</f>
        <v>1</v>
      </c>
      <c r="K87" s="36">
        <f>IF($B$87="","",COUNTIFS(tblVerifyRecords[Skill],$B$87,tblVerifyRecords[Renewal status],"Overdue"))</f>
        <v>0</v>
      </c>
      <c r="L87" s="36">
        <f>IF($B$87="","",COUNTIFS(tblVerifyRecords[Skill],$B$87,tblVerifyRecords[Renewal status],"Due soon"))</f>
        <v>2</v>
      </c>
      <c r="M87" s="39" t="str">
        <f>IF($B$87="","",IF($F$87="","",IF($F$87&lt;$E$52,"Below target",IF($J$87&gt;0,"Check","On target"))))</f>
        <v>Below target</v>
      </c>
    </row>
    <row r="88" spans="2:14" x14ac:dyDescent="0.25">
      <c r="B88" s="49">
        <f>IFERROR(INDEX(tblVerifySkills[Skill],4)&amp;"","")</f>
        <v/>
      </c>
      <c r="C88" s="36">
        <f>IF($B$88="","",INDEX(tblVerifySkills[Needed (people)],MATCH($B$88,tblVerifySkills[Skill],0)))</f>
        <v/>
      </c>
      <c r="D88" s="36">
        <f>IF($B$88="","",COUNTIFS(tblVerifyRecords[Skill],$B$88,tblVerifyRecords[Qualified],"Yes"))</f>
        <v/>
      </c>
      <c r="E88" s="36">
        <f>IF($B$88="","",COUNTIFS(tblVerifyRecords[Skill],$B$88,tblVerifyRecords[Level (0-4)],"&gt;=1",tblVerifyRecords[Level (0-4)],"&lt;"&amp;$E$50))</f>
        <v/>
      </c>
      <c r="F88" s="50">
        <f>IF($B$88="","",IF(($C$88)=0,"",($D$88)/($C$88)))</f>
        <v/>
      </c>
      <c r="G88" s="36">
        <f>IF($B$88="","",MAX(0,$C$88-$D$88))</f>
        <v/>
      </c>
      <c r="H88" s="36">
        <f>IF($B$88="","",MIN($D$88,$C$88))</f>
        <v/>
      </c>
      <c r="I88" s="36">
        <f>IF($B$88="","",INDEX(tblVerifySkills[Min per shift (people)],MATCH($B$88,tblVerifySkills[Skill],0)))</f>
        <v/>
      </c>
      <c r="J88" s="36">
        <f>IF($B$88="","",SUMPRODUCT(--(COUNTIFS(tblVerifyRecords[Skill],$B$88,tblVerifyRecords[Qualified],"Yes",tblVerifyRecords[Shift],tblVerifyShiftList[Shift])&lt;$I$88)))</f>
        <v/>
      </c>
      <c r="K88" s="36">
        <f>IF($B$88="","",COUNTIFS(tblVerifyRecords[Skill],$B$88,tblVerifyRecords[Renewal status],"Overdue"))</f>
        <v/>
      </c>
      <c r="L88" s="36">
        <f>IF($B$88="","",COUNTIFS(tblVerifyRecords[Skill],$B$88,tblVerifyRecords[Renewal status],"Due soon"))</f>
        <v/>
      </c>
      <c r="M88" s="39">
        <f>IF($B$88="","",IF($F$88="","",IF($F$88&lt;$E$52,"Below target",IF($J$88&gt;0,"Check","On target"))))</f>
        <v/>
      </c>
    </row>
    <row r="89" spans="2:14" x14ac:dyDescent="0.25">
      <c r="B89" s="49">
        <f>IFERROR(INDEX(tblVerifySkills[Skill],5)&amp;"","")</f>
        <v/>
      </c>
      <c r="C89" s="36">
        <f>IF($B$89="","",INDEX(tblVerifySkills[Needed (people)],MATCH($B$89,tblVerifySkills[Skill],0)))</f>
        <v/>
      </c>
      <c r="D89" s="36">
        <f>IF($B$89="","",COUNTIFS(tblVerifyRecords[Skill],$B$89,tblVerifyRecords[Qualified],"Yes"))</f>
        <v/>
      </c>
      <c r="E89" s="36">
        <f>IF($B$89="","",COUNTIFS(tblVerifyRecords[Skill],$B$89,tblVerifyRecords[Level (0-4)],"&gt;=1",tblVerifyRecords[Level (0-4)],"&lt;"&amp;$E$50))</f>
        <v/>
      </c>
      <c r="F89" s="50">
        <f>IF($B$89="","",IF(($C$89)=0,"",($D$89)/($C$89)))</f>
        <v/>
      </c>
      <c r="G89" s="36">
        <f>IF($B$89="","",MAX(0,$C$89-$D$89))</f>
        <v/>
      </c>
      <c r="H89" s="36">
        <f>IF($B$89="","",MIN($D$89,$C$89))</f>
        <v/>
      </c>
      <c r="I89" s="36">
        <f>IF($B$89="","",INDEX(tblVerifySkills[Min per shift (people)],MATCH($B$89,tblVerifySkills[Skill],0)))</f>
        <v/>
      </c>
      <c r="J89" s="36">
        <f>IF($B$89="","",SUMPRODUCT(--(COUNTIFS(tblVerifyRecords[Skill],$B$89,tblVerifyRecords[Qualified],"Yes",tblVerifyRecords[Shift],tblVerifyShiftList[Shift])&lt;$I$89)))</f>
        <v/>
      </c>
      <c r="K89" s="36">
        <f>IF($B$89="","",COUNTIFS(tblVerifyRecords[Skill],$B$89,tblVerifyRecords[Renewal status],"Overdue"))</f>
        <v/>
      </c>
      <c r="L89" s="36">
        <f>IF($B$89="","",COUNTIFS(tblVerifyRecords[Skill],$B$89,tblVerifyRecords[Renewal status],"Due soon"))</f>
        <v/>
      </c>
      <c r="M89" s="39">
        <f>IF($B$89="","",IF($F$89="","",IF($F$89&lt;$E$52,"Below target",IF($J$89&gt;0,"Check","On target"))))</f>
        <v/>
      </c>
    </row>
    <row r="90" spans="2:14" x14ac:dyDescent="0.25">
      <c r="B90" s="49">
        <f>IFERROR(INDEX(tblVerifySkills[Skill],6)&amp;"","")</f>
        <v/>
      </c>
      <c r="C90" s="36">
        <f>IF($B$90="","",INDEX(tblVerifySkills[Needed (people)],MATCH($B$90,tblVerifySkills[Skill],0)))</f>
        <v/>
      </c>
      <c r="D90" s="36">
        <f>IF($B$90="","",COUNTIFS(tblVerifyRecords[Skill],$B$90,tblVerifyRecords[Qualified],"Yes"))</f>
        <v/>
      </c>
      <c r="E90" s="36">
        <f>IF($B$90="","",COUNTIFS(tblVerifyRecords[Skill],$B$90,tblVerifyRecords[Level (0-4)],"&gt;=1",tblVerifyRecords[Level (0-4)],"&lt;"&amp;$E$50))</f>
        <v/>
      </c>
      <c r="F90" s="50">
        <f>IF($B$90="","",IF(($C$90)=0,"",($D$90)/($C$90)))</f>
        <v/>
      </c>
      <c r="G90" s="36">
        <f>IF($B$90="","",MAX(0,$C$90-$D$90))</f>
        <v/>
      </c>
      <c r="H90" s="36">
        <f>IF($B$90="","",MIN($D$90,$C$90))</f>
        <v/>
      </c>
      <c r="I90" s="36">
        <f>IF($B$90="","",INDEX(tblVerifySkills[Min per shift (people)],MATCH($B$90,tblVerifySkills[Skill],0)))</f>
        <v/>
      </c>
      <c r="J90" s="36">
        <f>IF($B$90="","",SUMPRODUCT(--(COUNTIFS(tblVerifyRecords[Skill],$B$90,tblVerifyRecords[Qualified],"Yes",tblVerifyRecords[Shift],tblVerifyShiftList[Shift])&lt;$I$90)))</f>
        <v/>
      </c>
      <c r="K90" s="36">
        <f>IF($B$90="","",COUNTIFS(tblVerifyRecords[Skill],$B$90,tblVerifyRecords[Renewal status],"Overdue"))</f>
        <v/>
      </c>
      <c r="L90" s="36">
        <f>IF($B$90="","",COUNTIFS(tblVerifyRecords[Skill],$B$90,tblVerifyRecords[Renewal status],"Due soon"))</f>
        <v/>
      </c>
      <c r="M90" s="39">
        <f>IF($B$90="","",IF($F$90="","",IF($F$90&lt;$E$52,"Below target",IF($J$90&gt;0,"Check","On target"))))</f>
        <v/>
      </c>
    </row>
    <row r="91" spans="2:14" x14ac:dyDescent="0.25">
      <c r="B91" s="49">
        <f>IFERROR(INDEX(tblVerifySkills[Skill],7)&amp;"","")</f>
        <v/>
      </c>
      <c r="C91" s="36">
        <f>IF($B$91="","",INDEX(tblVerifySkills[Needed (people)],MATCH($B$91,tblVerifySkills[Skill],0)))</f>
        <v/>
      </c>
      <c r="D91" s="36">
        <f>IF($B$91="","",COUNTIFS(tblVerifyRecords[Skill],$B$91,tblVerifyRecords[Qualified],"Yes"))</f>
        <v/>
      </c>
      <c r="E91" s="36">
        <f>IF($B$91="","",COUNTIFS(tblVerifyRecords[Skill],$B$91,tblVerifyRecords[Level (0-4)],"&gt;=1",tblVerifyRecords[Level (0-4)],"&lt;"&amp;$E$50))</f>
        <v/>
      </c>
      <c r="F91" s="50">
        <f>IF($B$91="","",IF(($C$91)=0,"",($D$91)/($C$91)))</f>
        <v/>
      </c>
      <c r="G91" s="36">
        <f>IF($B$91="","",MAX(0,$C$91-$D$91))</f>
        <v/>
      </c>
      <c r="H91" s="36">
        <f>IF($B$91="","",MIN($D$91,$C$91))</f>
        <v/>
      </c>
      <c r="I91" s="36">
        <f>IF($B$91="","",INDEX(tblVerifySkills[Min per shift (people)],MATCH($B$91,tblVerifySkills[Skill],0)))</f>
        <v/>
      </c>
      <c r="J91" s="36">
        <f>IF($B$91="","",SUMPRODUCT(--(COUNTIFS(tblVerifyRecords[Skill],$B$91,tblVerifyRecords[Qualified],"Yes",tblVerifyRecords[Shift],tblVerifyShiftList[Shift])&lt;$I$91)))</f>
        <v/>
      </c>
      <c r="K91" s="36">
        <f>IF($B$91="","",COUNTIFS(tblVerifyRecords[Skill],$B$91,tblVerifyRecords[Renewal status],"Overdue"))</f>
        <v/>
      </c>
      <c r="L91" s="36">
        <f>IF($B$91="","",COUNTIFS(tblVerifyRecords[Skill],$B$91,tblVerifyRecords[Renewal status],"Due soon"))</f>
        <v/>
      </c>
      <c r="M91" s="39">
        <f>IF($B$91="","",IF($F$91="","",IF($F$91&lt;$E$52,"Below target",IF($J$91&gt;0,"Check","On target"))))</f>
        <v/>
      </c>
    </row>
    <row r="92" spans="2:14" x14ac:dyDescent="0.25">
      <c r="B92" s="49">
        <f>IFERROR(INDEX(tblVerifySkills[Skill],8)&amp;"","")</f>
        <v/>
      </c>
      <c r="C92" s="36">
        <f>IF($B$92="","",INDEX(tblVerifySkills[Needed (people)],MATCH($B$92,tblVerifySkills[Skill],0)))</f>
        <v/>
      </c>
      <c r="D92" s="36">
        <f>IF($B$92="","",COUNTIFS(tblVerifyRecords[Skill],$B$92,tblVerifyRecords[Qualified],"Yes"))</f>
        <v/>
      </c>
      <c r="E92" s="36">
        <f>IF($B$92="","",COUNTIFS(tblVerifyRecords[Skill],$B$92,tblVerifyRecords[Level (0-4)],"&gt;=1",tblVerifyRecords[Level (0-4)],"&lt;"&amp;$E$50))</f>
        <v/>
      </c>
      <c r="F92" s="50">
        <f>IF($B$92="","",IF(($C$92)=0,"",($D$92)/($C$92)))</f>
        <v/>
      </c>
      <c r="G92" s="36">
        <f>IF($B$92="","",MAX(0,$C$92-$D$92))</f>
        <v/>
      </c>
      <c r="H92" s="36">
        <f>IF($B$92="","",MIN($D$92,$C$92))</f>
        <v/>
      </c>
      <c r="I92" s="36">
        <f>IF($B$92="","",INDEX(tblVerifySkills[Min per shift (people)],MATCH($B$92,tblVerifySkills[Skill],0)))</f>
        <v/>
      </c>
      <c r="J92" s="36">
        <f>IF($B$92="","",SUMPRODUCT(--(COUNTIFS(tblVerifyRecords[Skill],$B$92,tblVerifyRecords[Qualified],"Yes",tblVerifyRecords[Shift],tblVerifyShiftList[Shift])&lt;$I$92)))</f>
        <v/>
      </c>
      <c r="K92" s="36">
        <f>IF($B$92="","",COUNTIFS(tblVerifyRecords[Skill],$B$92,tblVerifyRecords[Renewal status],"Overdue"))</f>
        <v/>
      </c>
      <c r="L92" s="36">
        <f>IF($B$92="","",COUNTIFS(tblVerifyRecords[Skill],$B$92,tblVerifyRecords[Renewal status],"Due soon"))</f>
        <v/>
      </c>
      <c r="M92" s="39">
        <f>IF($B$92="","",IF($F$92="","",IF($F$92&lt;$E$52,"Below target",IF($J$92&gt;0,"Check","On target"))))</f>
        <v/>
      </c>
    </row>
    <row r="93" spans="2:14" x14ac:dyDescent="0.25">
      <c r="B93" s="49">
        <f>IFERROR(INDEX(tblVerifySkills[Skill],9)&amp;"","")</f>
        <v/>
      </c>
      <c r="C93" s="36">
        <f>IF($B$93="","",INDEX(tblVerifySkills[Needed (people)],MATCH($B$93,tblVerifySkills[Skill],0)))</f>
        <v/>
      </c>
      <c r="D93" s="36">
        <f>IF($B$93="","",COUNTIFS(tblVerifyRecords[Skill],$B$93,tblVerifyRecords[Qualified],"Yes"))</f>
        <v/>
      </c>
      <c r="E93" s="36">
        <f>IF($B$93="","",COUNTIFS(tblVerifyRecords[Skill],$B$93,tblVerifyRecords[Level (0-4)],"&gt;=1",tblVerifyRecords[Level (0-4)],"&lt;"&amp;$E$50))</f>
        <v/>
      </c>
      <c r="F93" s="50">
        <f>IF($B$93="","",IF(($C$93)=0,"",($D$93)/($C$93)))</f>
        <v/>
      </c>
      <c r="G93" s="36">
        <f>IF($B$93="","",MAX(0,$C$93-$D$93))</f>
        <v/>
      </c>
      <c r="H93" s="36">
        <f>IF($B$93="","",MIN($D$93,$C$93))</f>
        <v/>
      </c>
      <c r="I93" s="36">
        <f>IF($B$93="","",INDEX(tblVerifySkills[Min per shift (people)],MATCH($B$93,tblVerifySkills[Skill],0)))</f>
        <v/>
      </c>
      <c r="J93" s="36">
        <f>IF($B$93="","",SUMPRODUCT(--(COUNTIFS(tblVerifyRecords[Skill],$B$93,tblVerifyRecords[Qualified],"Yes",tblVerifyRecords[Shift],tblVerifyShiftList[Shift])&lt;$I$93)))</f>
        <v/>
      </c>
      <c r="K93" s="36">
        <f>IF($B$93="","",COUNTIFS(tblVerifyRecords[Skill],$B$93,tblVerifyRecords[Renewal status],"Overdue"))</f>
        <v/>
      </c>
      <c r="L93" s="36">
        <f>IF($B$93="","",COUNTIFS(tblVerifyRecords[Skill],$B$93,tblVerifyRecords[Renewal status],"Due soon"))</f>
        <v/>
      </c>
      <c r="M93" s="39">
        <f>IF($B$93="","",IF($F$93="","",IF($F$93&lt;$E$52,"Below target",IF($J$93&gt;0,"Check","On target"))))</f>
        <v/>
      </c>
    </row>
    <row r="94" spans="2:14" x14ac:dyDescent="0.25">
      <c r="B94" s="49">
        <f>IFERROR(INDEX(tblVerifySkills[Skill],10)&amp;"","")</f>
        <v/>
      </c>
      <c r="C94" s="36">
        <f>IF($B$94="","",INDEX(tblVerifySkills[Needed (people)],MATCH($B$94,tblVerifySkills[Skill],0)))</f>
        <v/>
      </c>
      <c r="D94" s="36">
        <f>IF($B$94="","",COUNTIFS(tblVerifyRecords[Skill],$B$94,tblVerifyRecords[Qualified],"Yes"))</f>
        <v/>
      </c>
      <c r="E94" s="36">
        <f>IF($B$94="","",COUNTIFS(tblVerifyRecords[Skill],$B$94,tblVerifyRecords[Level (0-4)],"&gt;=1",tblVerifyRecords[Level (0-4)],"&lt;"&amp;$E$50))</f>
        <v/>
      </c>
      <c r="F94" s="50">
        <f>IF($B$94="","",IF(($C$94)=0,"",($D$94)/($C$94)))</f>
        <v/>
      </c>
      <c r="G94" s="36">
        <f>IF($B$94="","",MAX(0,$C$94-$D$94))</f>
        <v/>
      </c>
      <c r="H94" s="36">
        <f>IF($B$94="","",MIN($D$94,$C$94))</f>
        <v/>
      </c>
      <c r="I94" s="36">
        <f>IF($B$94="","",INDEX(tblVerifySkills[Min per shift (people)],MATCH($B$94,tblVerifySkills[Skill],0)))</f>
        <v/>
      </c>
      <c r="J94" s="36">
        <f>IF($B$94="","",SUMPRODUCT(--(COUNTIFS(tblVerifyRecords[Skill],$B$94,tblVerifyRecords[Qualified],"Yes",tblVerifyRecords[Shift],tblVerifyShiftList[Shift])&lt;$I$94)))</f>
        <v/>
      </c>
      <c r="K94" s="36">
        <f>IF($B$94="","",COUNTIFS(tblVerifyRecords[Skill],$B$94,tblVerifyRecords[Renewal status],"Overdue"))</f>
        <v/>
      </c>
      <c r="L94" s="36">
        <f>IF($B$94="","",COUNTIFS(tblVerifyRecords[Skill],$B$94,tblVerifyRecords[Renewal status],"Due soon"))</f>
        <v/>
      </c>
      <c r="M94" s="39">
        <f>IF($B$94="","",IF($F$94="","",IF($F$94&lt;$E$52,"Below target",IF($J$94&gt;0,"Check","On target"))))</f>
        <v/>
      </c>
    </row>
  </sheetData>
  <sheetProtection sheet="1" formatColumns="0" formatRows="0"/>
  <mergeCells count="53">
    <mergeCell ref="A1:N1"/>
    <mergeCell ref="B2:M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B45:L45"/>
    <mergeCell ref="B47:L47"/>
    <mergeCell ref="B48:F48"/>
    <mergeCell ref="B49:D49"/>
    <mergeCell ref="B50:D50"/>
    <mergeCell ref="B51:D51"/>
    <mergeCell ref="B52:D52"/>
    <mergeCell ref="B54:L54"/>
    <mergeCell ref="B59:L59"/>
    <mergeCell ref="B65:L65"/>
    <mergeCell ref="B71:L71"/>
    <mergeCell ref="B83:L83"/>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F85:F94">
    <cfRule type="expression" dxfId="3" priority="43" stopIfTrue="1">
      <formula>AND(ISNUMBER(F85),F85&gt;=($E$52))</formula>
    </cfRule>
    <cfRule type="expression" dxfId="4" priority="44" stopIfTrue="1">
      <formula>AND(ISNUMBER(F85),F85&gt;=($E$52)*(1-0.05))</formula>
    </cfRule>
    <cfRule type="expression" dxfId="5" priority="45">
      <formula>ISNUMBER(F85)</formula>
    </cfRule>
    <cfRule type="dataBar" priority="46">
      <dataBar>
        <cfvo type="num" val="0"/>
        <cfvo type="max"/>
        <color rgb="FFA8BDF0"/>
      </dataBar>
      <extLst>
        <ext xmlns:x14="http://schemas.microsoft.com/office/spreadsheetml/2009/9/main" uri="{B025F937-C7B1-47D3-B67F-A62EFF666E3E}">
          <x14:id>{DA7ABA51-AAAA-BBBB-0006-000000000001}</x14:id>
        </ext>
      </extLst>
    </cfRule>
  </conditionalFormatting>
  <conditionalFormatting sqref="K11:K43">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M73:M81">
    <cfRule type="expression" dxfId="3" priority="41">
      <formula>$M73="OK"</formula>
    </cfRule>
    <cfRule type="expression" dxfId="1" priority="42">
      <formula>AND($M73&lt;&gt;"",$M73&lt;&gt;"OK")</formula>
    </cfRule>
  </conditionalFormatting>
  <conditionalFormatting sqref="M85:M94">
    <cfRule type="cellIs" dxfId="0" priority="47" operator="equal">
      <formula>"On target"</formula>
    </cfRule>
    <cfRule type="cellIs" dxfId="0" priority="48" operator="equal">
      <formula>"PASS"</formula>
    </cfRule>
    <cfRule type="cellIs" dxfId="0" priority="49" operator="equal">
      <formula>"OK"</formula>
    </cfRule>
    <cfRule type="cellIs" dxfId="0" priority="50" operator="equal">
      <formula>"Within limits"</formula>
    </cfRule>
    <cfRule type="cellIs" dxfId="0" priority="51" operator="equal">
      <formula>"Under capacity"</formula>
    </cfRule>
    <cfRule type="cellIs" dxfId="0" priority="52" operator="equal">
      <formula>"Complete"</formula>
    </cfRule>
    <cfRule type="cellIs" dxfId="0" priority="53" operator="equal">
      <formula>"Yes"</formula>
    </cfRule>
    <cfRule type="cellIs" dxfId="1" priority="54" operator="equal">
      <formula>"Near target"</formula>
    </cfRule>
    <cfRule type="cellIs" dxfId="1" priority="55" operator="equal">
      <formula>"Check"</formula>
    </cfRule>
    <cfRule type="cellIs" dxfId="1" priority="56" operator="equal">
      <formula>"Due soon"</formula>
    </cfRule>
    <cfRule type="cellIs" dxfId="1" priority="57" operator="equal">
      <formula>"Near capacity"</formula>
    </cfRule>
    <cfRule type="cellIs" dxfId="1" priority="58" operator="equal">
      <formula>"In progress"</formula>
    </cfRule>
    <cfRule type="cellIs" dxfId="1" priority="59" operator="equal">
      <formula>"Partial"</formula>
    </cfRule>
    <cfRule type="cellIs" dxfId="2" priority="60" operator="equal">
      <formula>"Below target"</formula>
    </cfRule>
    <cfRule type="cellIs" dxfId="2" priority="61" operator="equal">
      <formula>"Above target"</formula>
    </cfRule>
    <cfRule type="cellIs" dxfId="2" priority="62" operator="equal">
      <formula>"FAIL"</formula>
    </cfRule>
    <cfRule type="cellIs" dxfId="2" priority="63" operator="equal">
      <formula>"Over capacity"</formula>
    </cfRule>
    <cfRule type="cellIs" dxfId="2" priority="64" operator="equal">
      <formula>"Overdue"</formula>
    </cfRule>
    <cfRule type="cellIs" dxfId="2" priority="65" operator="equal">
      <formula>"Out of limits"</formula>
    </cfRule>
    <cfRule type="cellIs" dxfId="2" priority="66" operator="equal">
      <formula>"No"</formula>
    </cfRule>
  </conditionalFormatting>
  <hyperlinks>
    <hyperlink ref="N2" r:id="rId1" tooltip="Free manufacturing calculators and templates"/>
  </hyperlinks>
  <printOptions horizontalCentered="1"/>
  <pageMargins left="0.4" right="0.4" top="0.7" bottom="0.65" header="0.3" footer="0.3"/>
  <pageSetup fitToHeight="0" orientation="landscape"/>
  <headerFooter>
    <oddHeader>&amp;L&amp;8MFG Calcs - Skills and Training Matrix&amp;R&amp;8&amp;A</oddHeader>
    <oddFooter>&amp;L&amp;8mfgcalcs.com - free manufacturing templates&amp;R&amp;8Page &amp;P of &amp;N</oddFooter>
  </headerFooter>
  <rowBreaks count="2" manualBreakCount="2">
    <brk id="32" max="16383" man="1"/>
    <brk id="64" max="16383" man="1"/>
  </rowBreaks>
  <tableParts count="4">
    <tablePart r:id="rId2"/>
    <tablePart r:id="rId3"/>
    <tablePart r:id="rId4"/>
    <tablePart r:id="rId5"/>
  </tableParts>
  <extLst>
    <ext xmlns:x14="http://schemas.microsoft.com/office/spreadsheetml/2009/9/main" uri="{78C0D931-6437-407d-A8EE-F0AAD7539E65}">
      <x14:conditionalFormattings>
        <x14:conditionalFormatting xmlns:xm="http://schemas.microsoft.com/office/excel/2006/main">
          <x14:cfRule type="dataBar" id="{DA7ABA51-AAAA-BBBB-0006-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F85:F94</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19</vt:i4>
      </vt:variant>
    </vt:vector>
  </HeadingPairs>
  <TitlesOfParts>
    <vt:vector size="25" baseType="lpstr">
      <vt:lpstr>Start Here</vt:lpstr>
      <vt:lpstr>Setup</vt:lpstr>
      <vt:lpstr>Training Records</vt:lpstr>
      <vt:lpstr>Dashboard</vt:lpstr>
      <vt:lpstr>Method</vt:lpstr>
      <vt:lpstr>Verify</vt:lpstr>
      <vt:lpstr>AsOf</vt:lpstr>
      <vt:lpstr>DueSoonDays</vt:lpstr>
      <vt:lpstr>KpiCover</vt:lpstr>
      <vt:lpstr>KpiGaps</vt:lpstr>
      <vt:lpstr>KpiOverdue</vt:lpstr>
      <vt:lpstr>KpiShort</vt:lpstr>
      <vt:lpstr>PlantName</vt:lpstr>
      <vt:lpstr>Dashboard!Print_Area</vt:lpstr>
      <vt:lpstr>Method!Print_Area</vt:lpstr>
      <vt:lpstr>Setup!Print_Area</vt:lpstr>
      <vt:lpstr>'Start Here'!Print_Area</vt:lpstr>
      <vt:lpstr>'Training Records'!Print_Area</vt:lpstr>
      <vt:lpstr>Verify!Print_Area</vt:lpstr>
      <vt:lpstr>Method!Print_Titles</vt:lpstr>
      <vt:lpstr>'Training Records'!Print_Titles</vt:lpstr>
      <vt:lpstr>QualLevel</vt:lpstr>
      <vt:lpstr>SelfCheck</vt:lpstr>
      <vt:lpstr>SelfCheckSummary</vt:lpstr>
      <vt:lpstr>TargetCover</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Skills and Training Matrix - free Excel template from MFG Calcs</dc:title>
  <dc:subject>Record who is trained on what, at which level and until when, and see skill coverage, shift gaps and certificate renewals at a glance.</dc:subject>
  <dc:creator>MFG Calcs</dc:creator>
  <cp:keywords>skills matrix, training matrix, cross-training, competence, qualification, certification expiry, ISO 9001 7.2, shift coverage</cp:keywords>
  <dc:description>https://www.mfgcalcs.com/templates/skills-matrix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skills-matrix</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matrix</vt:lpwstr>
  </property>
  <property fmtid="{D5CDD505-2E9C-101B-9397-08002B2CF9AE}" pid="6" name="Template URL">
    <vt:lpwstr>https://www.mfgcalcs.com/templates/skills-matrix</vt:lpwstr>
  </property>
  <property fmtid="{D5CDD505-2E9C-101B-9397-08002B2CF9AE}" pid="7" name="Template sheet roles">
    <vt:lpwstr>Start Here=start;Setup=setup;Training Records=work;Dashboard=dashboard;Method=method;Verify=verify</vt:lpwstr>
  </property>
</Properties>
</file>