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tep Study" sheetId="3" r:id="rId3"/>
    <sheet name="Changeover Log" sheetId="4" r:id="rId4"/>
    <sheet name="Dashboard" sheetId="5" r:id="rId5"/>
    <sheet name="Method" sheetId="6" r:id="rId6"/>
    <sheet name="Verify" sheetId="7" r:id="rId7"/>
  </sheets>
  <definedNames>
    <definedName name="Actions">tblActions[Action]</definedName>
    <definedName name="Categories">tblCategories[Category]</definedName>
    <definedName name="CoPerWeek">Setup!$C$14</definedName>
    <definedName name="Currency">Setup!$C$7</definedName>
    <definedName name="KpiCur">Dashboard!$B$7</definedName>
    <definedName name="KpiExt">Dashboard!$D$29</definedName>
    <definedName name="KpiFut">Dashboard!$D$7</definedName>
    <definedName name="KpiHours">Dashboard!$B$29</definedName>
    <definedName name="KpiLogAvg">Dashboard!$G$29</definedName>
    <definedName name="KpiOnTarget">Dashboard!$J$29</definedName>
    <definedName name="KpiRed">Dashboard!$G$7</definedName>
    <definedName name="KpiSave">Dashboard!$J$7</definedName>
    <definedName name="LabourRate">Setup!$C$12</definedName>
    <definedName name="MachineName">Setup!$C$6</definedName>
    <definedName name="MachineRate">Setup!$C$13</definedName>
    <definedName name="_xlnm.Print_Area" localSheetId="3">'Changeover Log'!$A$1:$J$25</definedName>
    <definedName name="_xlnm.Print_Area" localSheetId="4">Dashboard!$A$1:$L$58</definedName>
    <definedName name="_xlnm.Print_Area" localSheetId="5">Method!$A$1:$D$55</definedName>
    <definedName name="_xlnm.Print_Area" localSheetId="1">Setup!$A$1:$E$35</definedName>
    <definedName name="_xlnm.Print_Area" localSheetId="0">'Start Here'!$A$1:$F$57</definedName>
    <definedName name="_xlnm.Print_Area" localSheetId="2">'Step Study'!$A$1:$Q$21</definedName>
    <definedName name="_xlnm.Print_Area" localSheetId="6">Verify!$A$1:$Q$50</definedName>
    <definedName name="_xlnm.Print_Titles" localSheetId="3">'Changeover Log'!$1:$5</definedName>
    <definedName name="_xlnm.Print_Titles" localSheetId="5">Method!$1:$2</definedName>
    <definedName name="_xlnm.Print_Titles" localSheetId="2">'Step Study'!$1:$5</definedName>
    <definedName name="SelfCheck">Verify!$D$4</definedName>
    <definedName name="SelfCheckSummary">Verify!$F$4</definedName>
    <definedName name="TargetMin">Setup!$C$8</definedName>
    <definedName name="WeeksPerYear">Setup!$C$15</definedName>
  </definedNames>
  <calcPr calcId="124519" fullCalcOnLoad="1"/>
</workbook>
</file>

<file path=xl/sharedStrings.xml><?xml version="1.0" encoding="utf-8"?>
<sst xmlns="http://schemas.openxmlformats.org/spreadsheetml/2006/main" count="618" uniqueCount="293">
  <si>
    <t>SMED Changeover Analysis</t>
  </si>
  <si>
    <t>Read this first: what the workbook does and how to use it.</t>
  </si>
  <si>
    <t>mfgcalcs.com</t>
  </si>
  <si>
    <t>Break a changeover into steps, separate internal from external work, plan the future method, see minutes and money saved, and log real changeovers against the target.</t>
  </si>
  <si>
    <t>For: Process and continuous-improvement engineers, setters, production supervisors and plant managers running a SMED or quick-changeover project.</t>
  </si>
  <si>
    <t>Version 1.0.0  ·  updated 15 October 2026</t>
  </si>
  <si>
    <t>Quick start</t>
  </si>
  <si>
    <t>1.</t>
  </si>
  <si>
    <t>On Setup, name the machine, type your currency label, crew labour rate, machine hour rate, changeovers per week, weeks per year and target changeover time.</t>
  </si>
  <si>
    <t>2.</t>
  </si>
  <si>
    <t>Video or walk a real changeover. On Step Study, add one row per step with its category, who does it, current type (Internal or External) and minutes.</t>
  </si>
  <si>
    <t>3.</t>
  </si>
  <si>
    <t>For each step choose an action and type the future type and minutes; the Check column flags steps that do not add up.</t>
  </si>
  <si>
    <t>4.</t>
  </si>
  <si>
    <t>After the change, add every real changeover to the Changeover Log with its duration.</t>
  </si>
  <si>
    <t>5.</t>
  </si>
  <si>
    <t>Open the Dashboard: before and after, the annual savings estimate, and whether real changeovers hold the target.</t>
  </si>
  <si>
    <t>What is in this workbook</t>
  </si>
  <si>
    <t>Start Here</t>
  </si>
  <si>
    <t>Setup</t>
  </si>
  <si>
    <t>The machine studied, rates and volumes for the savings estimate, the target, and the SMED lists.</t>
  </si>
  <si>
    <t>Step Study</t>
  </si>
  <si>
    <t>One row per changeover step: current type and minutes, the action, and the future type and minutes.</t>
  </si>
  <si>
    <t>Changeover Log</t>
  </si>
  <si>
    <t>One row per real changeover after the change: date, products, setter and machine-stopped minutes.</t>
  </si>
  <si>
    <t>Dashboard</t>
  </si>
  <si>
    <t>The changeover before and after, the time and money it frees, and whether real changeovers hold the target.</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</si>
  <si>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</si>
  <si>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</si>
  <si>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</si>
  <si>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</si>
  <si>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</si>
  <si>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</si>
  <si>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</si>
  <si>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</si>
  <si>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</si>
  <si>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</si>
  <si>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</si>
  <si>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</si>
  <si>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</si>
  <si>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</si>
  <si>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</si>
  <si>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</si>
  <si>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</si>
  <si>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</si>
  <si>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</si>
  <si>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</si>
  <si>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Changeover Reduction Calculator on mfgcalcs.com</t>
  </si>
  <si>
    <t>Latest version</t>
  </si>
  <si>
    <t>mfgcalcs.com/templates/smed-changeover-analysis</t>
  </si>
  <si>
    <t>More free templates</t>
  </si>
  <si>
    <t>mfgcalcs.com/templates</t>
  </si>
  <si>
    <t>Version</t>
  </si>
  <si>
    <t>1.0.0 (updated 15 October 2026)</t>
  </si>
  <si>
    <t>About the example data</t>
  </si>
  <si>
    <t>Every number already in this workbook is example data for Brookfield Moulding, a fictional business invented for this template, so the dashboard and charts show something meaningful on day one. It covers a sixteen-step mould change on a 250 t injection press and the first twenty changeovers with the new method (5 to 30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</si>
  <si>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</si>
  <si>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</si>
  <si>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</si>
  <si>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</si>
  <si>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</si>
  <si>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</si>
  <si>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</si>
  <si>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</si>
  <si>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Category</t>
  </si>
  <si>
    <t>Meaning</t>
  </si>
  <si>
    <t>Action</t>
  </si>
  <si>
    <t>Machine and target</t>
  </si>
  <si>
    <t>Machine or line studied</t>
  </si>
  <si>
    <t>Press 7, 250 t injection moulding machine (example)</t>
  </si>
  <si>
    <t>Currency label</t>
  </si>
  <si>
    <t>USD</t>
  </si>
  <si>
    <t>Target changeover time</t>
  </si>
  <si>
    <t>min</t>
  </si>
  <si>
    <t>Savings estimate</t>
  </si>
  <si>
    <t>Changeover crew labour rate (whole crew)</t>
  </si>
  <si>
    <t>Machine hour rate</t>
  </si>
  <si>
    <t>Changeovers per week</t>
  </si>
  <si>
    <t>per week</t>
  </si>
  <si>
    <t>Production weeks per year</t>
  </si>
  <si>
    <t>weeks</t>
  </si>
  <si>
    <t>Rates are examples; use your own costing. The savings are an estimate of the value of the machine and crew hours freed, not a cash saving unless the hours are used to make and sell more or to cut overtime.</t>
  </si>
  <si>
    <t>Lists that feed the dropdowns</t>
  </si>
  <si>
    <t>SMED step categories</t>
  </si>
  <si>
    <t>Preparation</t>
  </si>
  <si>
    <t>Finding, fetching and checking moulds, tools, materials and paperwork</t>
  </si>
  <si>
    <t>Remove and mount</t>
  </si>
  <si>
    <t>Taking the old tool out and putting the new one in, connections included</t>
  </si>
  <si>
    <t>Set and adjust</t>
  </si>
  <si>
    <t>Centring, settings, heating and adjustments before the first shot</t>
  </si>
  <si>
    <t>Trial and approval</t>
  </si>
  <si>
    <t>Trial runs, adjustments and first-off approval until parts are good</t>
  </si>
  <si>
    <t>Clean-up</t>
  </si>
  <si>
    <t>Returning, cleaning and storing the old tool</t>
  </si>
  <si>
    <t>Improvement actions</t>
  </si>
  <si>
    <t>Convert to external</t>
  </si>
  <si>
    <t>Do it while the machine is still running (before the stop or after the restart)</t>
  </si>
  <si>
    <t>Streamline</t>
  </si>
  <si>
    <t>Make the internal step shorter: quick clamps, couplings, standard heights, stored settings</t>
  </si>
  <si>
    <t>Eliminate</t>
  </si>
  <si>
    <t>Remove the step: no waiting, no searching, no adjustment needed</t>
  </si>
  <si>
    <t>Do in parallel</t>
  </si>
  <si>
    <t>A second person does it at the same time, so it no longer adds to the stop</t>
  </si>
  <si>
    <t>Keep as is</t>
  </si>
  <si>
    <t>No change planned for now</t>
  </si>
  <si>
    <t>No.</t>
  </si>
  <si>
    <t>Step</t>
  </si>
  <si>
    <t>Who</t>
  </si>
  <si>
    <t>Current type</t>
  </si>
  <si>
    <t>Current (min)</t>
  </si>
  <si>
    <t>Future type</t>
  </si>
  <si>
    <t>Future (min)</t>
  </si>
  <si>
    <t>Current internal (min)</t>
  </si>
  <si>
    <t>Current external (min)</t>
  </si>
  <si>
    <t>Future internal (min)</t>
  </si>
  <si>
    <t>Future external (min)</t>
  </si>
  <si>
    <t>Stop time saved (min)</t>
  </si>
  <si>
    <t>Check</t>
  </si>
  <si>
    <t>Notes</t>
  </si>
  <si>
    <t>Example data for Brookfield Moulding (fictional). Replace it with your own: select the example rows, right-click, Delete &gt; Table Rows. Changeover time = internal minutes: last good part of the old run to first good part of the new one.</t>
  </si>
  <si>
    <t>Find next mould in the store</t>
  </si>
  <si>
    <t>Setter</t>
  </si>
  <si>
    <t>Internal</t>
  </si>
  <si>
    <t>External</t>
  </si>
  <si>
    <t>Mould staged at the press before the last shot</t>
  </si>
  <si>
    <t>Fetch clamps, bolts, hoses and tools</t>
  </si>
  <si>
    <t>Changeover cart with a shadow board</t>
  </si>
  <si>
    <t>Purge barrel and drain water lines</t>
  </si>
  <si>
    <t/>
  </si>
  <si>
    <t>Disconnect water and hot-runner cables</t>
  </si>
  <si>
    <t>Multi-couplings</t>
  </si>
  <si>
    <t>Wait for the crane</t>
  </si>
  <si>
    <t>Dedicated mould cart</t>
  </si>
  <si>
    <t>Unbolt and lift out the old mould</t>
  </si>
  <si>
    <t>Quick mould clamps</t>
  </si>
  <si>
    <t>Lift in and centre the new mould</t>
  </si>
  <si>
    <t>Locating rings, standard heights</t>
  </si>
  <si>
    <t>Bolt up the new mould</t>
  </si>
  <si>
    <t>Connect water and hot runner</t>
  </si>
  <si>
    <t>Load settings and set strokes</t>
  </si>
  <si>
    <t>Stored recipes</t>
  </si>
  <si>
    <t>Heat the mould to temperature</t>
  </si>
  <si>
    <t>Pre-heat station</t>
  </si>
  <si>
    <t>Trial shots and adjust until good</t>
  </si>
  <si>
    <t>Recipe and standard heights</t>
  </si>
  <si>
    <t>First-off inspection and approval</t>
  </si>
  <si>
    <t>Inspector</t>
  </si>
  <si>
    <t>Gauge at the press</t>
  </si>
  <si>
    <t>Paperwork and label change</t>
  </si>
  <si>
    <t>Operator</t>
  </si>
  <si>
    <t>Return the old mould to the store</t>
  </si>
  <si>
    <t>Clean and protect the old mould</t>
  </si>
  <si>
    <t>Date</t>
  </si>
  <si>
    <t>From</t>
  </si>
  <si>
    <t>To</t>
  </si>
  <si>
    <t>Duration (min)</t>
  </si>
  <si>
    <t>Status</t>
  </si>
  <si>
    <t>Over target (min)</t>
  </si>
  <si>
    <t>Example data for Brookfield Moulding (fictional): the first twenty mould changes with the new method. Near target = within 10% above the target.</t>
  </si>
  <si>
    <t>Base B-40</t>
  </si>
  <si>
    <t>Lid L-40</t>
  </si>
  <si>
    <t>A. Moreno</t>
  </si>
  <si>
    <t>Clip K-07</t>
  </si>
  <si>
    <t>J. Patel</t>
  </si>
  <si>
    <t>Pre-heat station not switched on in time</t>
  </si>
  <si>
    <t>Tray T-22</t>
  </si>
  <si>
    <t>K. Lindqvist</t>
  </si>
  <si>
    <t>Cap C-18</t>
  </si>
  <si>
    <t>Second setter helped with the clamps</t>
  </si>
  <si>
    <t>CHANGEOVER TODAY (MIN)</t>
  </si>
  <si>
    <t>CHANGEOVER PLANNED (MIN)</t>
  </si>
  <si>
    <t>REDUCTION</t>
  </si>
  <si>
    <t>Internal minutes in the study</t>
  </si>
  <si>
    <t>Of machine-stopped time</t>
  </si>
  <si>
    <t>Hours freed x (crew + machine rate)</t>
  </si>
  <si>
    <t>HOURS FREED PER YEAR</t>
  </si>
  <si>
    <t>EXTERNAL WORK PLANNED (MIN)</t>
  </si>
  <si>
    <t>AVERAGE LOGGED CHANGEOVER (MIN)</t>
  </si>
  <si>
    <t>LOGGED CHANGEOVERS ON TARGET</t>
  </si>
  <si>
    <t>Minutes saved / 60 x changeovers x weeks</t>
  </si>
  <si>
    <t>Done while the machine runs</t>
  </si>
  <si>
    <t>At or under the target time</t>
  </si>
  <si>
    <t>Machine-stopped time by step category</t>
  </si>
  <si>
    <t>Steps</t>
  </si>
  <si>
    <t>Internal today (min)</t>
  </si>
  <si>
    <t>External today (min)</t>
  </si>
  <si>
    <t>Internal planned (min)</t>
  </si>
  <si>
    <t>External planned (min)</t>
  </si>
  <si>
    <t>Share of saving</t>
  </si>
  <si>
    <t>Last 12 logged changeovers</t>
  </si>
  <si>
    <t>Changeover no.</t>
  </si>
  <si>
    <t>Planned (min)</t>
  </si>
  <si>
    <t>Target (min)</t>
  </si>
  <si>
    <t>The Dashboard shows the 5 categories of the Setup list and the last 12 logged changeovers. If you add categories, extend the category block (see Method).</t>
  </si>
  <si>
    <t>What this workbook calculates</t>
  </si>
  <si>
    <t>SMED (single-minute exchange of die) shortens a changeover by separating internal work, which can only be done while the machine is stopped, from external work, which can be done while it is still running; then converting internal steps to external ones and streamlining what stays internal. The changeover time is the internal time: last good part of the old run to first good part of the new one. This workbook adds the internal minutes of the study before and after, values the hours freed, and checks real changeovers against the target.</t>
  </si>
  <si>
    <t>Calculations</t>
  </si>
  <si>
    <t>Quantity</t>
  </si>
  <si>
    <t>How it is calculated</t>
  </si>
  <si>
    <t>Units</t>
  </si>
  <si>
    <t>Internal and external minutes</t>
  </si>
  <si>
    <t>Per step: the step's minutes in the Internal or the External column for its type, today and planned.</t>
  </si>
  <si>
    <t>Stop time saved</t>
  </si>
  <si>
    <t>Per step: internal minutes today - internal minutes planned.</t>
  </si>
  <si>
    <t>Changeover today, planned</t>
  </si>
  <si>
    <t>Sum of the internal minutes of all steps, today and planned.</t>
  </si>
  <si>
    <t>Reduction</t>
  </si>
  <si>
    <t>(Today - planned) / today.</t>
  </si>
  <si>
    <t>%</t>
  </si>
  <si>
    <t>Hours freed per year</t>
  </si>
  <si>
    <t>(Today - planned) / 60 x changeovers per week x production weeks per year.</t>
  </si>
  <si>
    <t>h/yr</t>
  </si>
  <si>
    <t>Savings per year (estimate)</t>
  </si>
  <si>
    <t>Hours freed x (crew labour rate + machine hour rate), in the Setup currency.</t>
  </si>
  <si>
    <t>currency/yr</t>
  </si>
  <si>
    <t>External work planned</t>
  </si>
  <si>
    <t>Sum of the planned external minutes: work that must be done before the stop or after the restart.</t>
  </si>
  <si>
    <t>By category</t>
  </si>
  <si>
    <t>SUMIFS of the step columns by category; share of saving = the category's stop time saved / the total.</t>
  </si>
  <si>
    <t>min, %</t>
  </si>
  <si>
    <t>Log status</t>
  </si>
  <si>
    <t>Duration against the target: On target at or under it, Near target up to 10% over, Above target beyond.</t>
  </si>
  <si>
    <t>-</t>
  </si>
  <si>
    <t>Average logged and on-target share</t>
  </si>
  <si>
    <t>Average duration of all logged changeovers; share of them On target.</t>
  </si>
  <si>
    <t>Assumptions</t>
  </si>
  <si>
    <t>Steps are done one after another by the crew. A step done in parallel by a second person is planned with its time at 0 internal minutes or, if it still holds the machine, with the minutes it adds.</t>
  </si>
  <si>
    <t>The crew labour rate is for the whole crew doing internal work; the machine hour rate is the value of one machine hour. Both are your costing, not benchmarks.</t>
  </si>
  <si>
    <t>Every changeover in the year is like the one studied; if changeovers differ, study the most frequent type or keep one workbook per type.</t>
  </si>
  <si>
    <t>Limitations</t>
  </si>
  <si>
    <t>The savings are an estimate of the value of the hours freed, not cash: they become money only when the hours make more good parts that sell, or remove overtime.</t>
  </si>
  <si>
    <t>External work still needs people; it is shown (External work planned) but not costed.</t>
  </si>
  <si>
    <t>The planned times are a plan until the log confirms them; read the logged changeovers before reporting the saving.</t>
  </si>
  <si>
    <t>The Dashboard shows the categories of the example list and the last 12 logged changeovers.</t>
  </si>
  <si>
    <t>Agreement with the live calculator</t>
  </si>
  <si>
    <t>The annual savings are the live Changeover Reduction calculator's formula: minutes saved per changeover / 60 x changeovers per week x production weeks x (labour rate + machine rate). For the calculator's own example (75 to 35 minutes, 8 a week, 50 weeks, 42 + 60 per hour: 266.7 hours and 27,200 a year) and for this workbook's example study, the template's reference agrees with the calculator's engine, checked on every build. The calculator starts from the two changeover times; this workbook builds them step by step and follows up with the log.</t>
  </si>
  <si>
    <t>Open the Changeover Reduction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</si>
  <si>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</si>
  <si>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</si>
  <si>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Shingo, S., A Revolution in Manufacturing: The SMED System, Productivity Press, 1985 (internal and external setup, the conversion and streamlining stages).</t>
  </si>
  <si>
    <t>MFG Calcs Changeover Reduction calculator (changeover-reduction): the same savings formula.</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</si>
  <si>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</si>
  <si>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</si>
  <si>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</si>
  <si>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</si>
  <si>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</si>
  <si>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</si>
  <si>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</si>
  <si>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</si>
  <si>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</si>
  <si>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</si>
  <si>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</si>
  <si>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</si>
  <si>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Tolerance</t>
  </si>
  <si>
    <t>Result</t>
  </si>
  <si>
    <t>Step 1: stop time saved (converted to external)</t>
  </si>
  <si>
    <t>Step 4: external today</t>
  </si>
  <si>
    <t>Step 5: Check reports a converted step that is still internal</t>
  </si>
  <si>
    <t>Converted step is still internal</t>
  </si>
  <si>
    <t>exact</t>
  </si>
  <si>
    <t>Step 2: Check OK</t>
  </si>
  <si>
    <t>OK</t>
  </si>
  <si>
    <t>Changeover today (calculator example: 75 min)</t>
  </si>
  <si>
    <t>Changeover planned (35 min)</t>
  </si>
  <si>
    <t>Hours freed per year (= calculator)</t>
  </si>
  <si>
    <t>Savings per year (= calculator)</t>
  </si>
  <si>
    <t>Log 1: 28 min against 30</t>
  </si>
  <si>
    <t>On target</t>
  </si>
  <si>
    <t>Log 2: 32 min (within 10% over)</t>
  </si>
  <si>
    <t>Near target</t>
  </si>
  <si>
    <t>Log 3: 45 min</t>
  </si>
  <si>
    <t>Above target</t>
  </si>
  <si>
    <t>Log 3: minutes over target</t>
  </si>
  <si>
    <t>Log 4: Check reports the same product</t>
  </si>
  <si>
    <t>From and To are the same</t>
  </si>
  <si>
    <t>Log: average duration</t>
  </si>
  <si>
    <t>Fixed test inputs</t>
  </si>
  <si>
    <t>White cells are fixed test inputs; blue cells are the workbook's formulas evaluated on them.</t>
  </si>
  <si>
    <t>Parameters</t>
  </si>
  <si>
    <t>Crew labour rate (per hour)</t>
  </si>
  <si>
    <t>Machine hour rate (per hour)</t>
  </si>
  <si>
    <t>Target changeover (min)</t>
  </si>
  <si>
    <t>Test table: Steps</t>
  </si>
  <si>
    <t>Prepare tools</t>
  </si>
  <si>
    <t>Change tool</t>
  </si>
  <si>
    <t>Adjust and trial</t>
  </si>
  <si>
    <t>Fetch material</t>
  </si>
  <si>
    <t>Paperwork</t>
  </si>
  <si>
    <t>Test table: Changes</t>
  </si>
  <si>
    <t>A</t>
  </si>
  <si>
    <t>B</t>
  </si>
  <si>
    <t>S</t>
  </si>
  <si>
    <t>C</t>
  </si>
</sst>
</file>

<file path=xl/styles.xml><?xml version="1.0" encoding="utf-8"?>
<styleSheet xmlns="http://schemas.openxmlformats.org/spreadsheetml/2006/main">
  <numFmts count="11">
    <numFmt numFmtId="164" formatCode="#,##0"/>
    <numFmt numFmtId="165" formatCode="#,##0.00"/>
    <numFmt numFmtId="166" formatCode="#,##0.0"/>
    <numFmt numFmtId="167" formatCode="d mmm yyyy"/>
    <numFmt numFmtId="168" formatCode="0%"/>
    <numFmt numFmtId="169" formatCode="&quot;Target &quot;#,##0"/>
    <numFmt numFmtId="170" formatCode="&quot;Target &quot;#,##0.0"/>
    <numFmt numFmtId="171" formatCode="d mmm"/>
    <numFmt numFmtId="172" formatCode="0.0E+00"/>
    <numFmt numFmtId="173" formatCode="0.0%"/>
    <numFmt numFmtId="174" formatCode="#,##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167" fontId="10" fillId="3" borderId="2" xfId="0" applyNumberFormat="1" applyFont="1" applyFill="1" applyBorder="1" applyAlignment="1" applyProtection="1">
      <alignment vertical="center"/>
      <protection locked="0"/>
    </xf>
    <xf numFmtId="0" fontId="10" fillId="4" borderId="3" xfId="0" applyFont="1" applyFill="1" applyBorder="1" applyAlignment="1">
      <alignment horizontal="center" vertical="center"/>
    </xf>
    <xf numFmtId="164" fontId="10" fillId="4" borderId="3" xfId="0" applyNumberFormat="1"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6"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8" fontId="10" fillId="4" borderId="3" xfId="0" applyNumberFormat="1" applyFont="1" applyFill="1" applyBorder="1" applyAlignment="1">
      <alignment vertical="center"/>
    </xf>
    <xf numFmtId="164" fontId="9" fillId="0" borderId="9" xfId="0" applyNumberFormat="1" applyFont="1" applyBorder="1" applyAlignment="1">
      <alignment vertical="center"/>
    </xf>
    <xf numFmtId="171" fontId="10" fillId="4" borderId="3" xfId="0" applyNumberFormat="1" applyFont="1" applyFill="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5" fontId="10" fillId="0" borderId="9" xfId="0" applyNumberFormat="1" applyFont="1" applyBorder="1" applyAlignment="1">
      <alignment vertical="center"/>
    </xf>
    <xf numFmtId="165" fontId="10" fillId="4" borderId="3" xfId="0" applyNumberFormat="1" applyFont="1" applyFill="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Machine-stopped minutes by category</a:t>
            </a:r>
          </a:p>
        </c:rich>
      </c:tx>
      <c:layout/>
    </c:title>
    <c:plotArea>
      <c:layout/>
      <c:barChart>
        <c:barDir val="col"/>
        <c:grouping val="clustered"/>
        <c:ser>
          <c:idx val="0"/>
          <c:order val="0"/>
          <c:tx>
            <c:v>Today</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Dashboard!$B$36:$B$40</c:f>
              <c:strCache>
                <c:ptCount val="5"/>
                <c:pt idx="0">
                  <c:v>Preparation</c:v>
                </c:pt>
                <c:pt idx="1">
                  <c:v>Remove and mount</c:v>
                </c:pt>
                <c:pt idx="2">
                  <c:v>Set and adjust</c:v>
                </c:pt>
                <c:pt idx="3">
                  <c:v>Trial and approval</c:v>
                </c:pt>
                <c:pt idx="4">
                  <c:v>Clean-up</c:v>
                </c:pt>
              </c:strCache>
            </c:strRef>
          </c:cat>
          <c:val>
            <c:numRef>
              <c:f>Dashboard!$D$36:$D$40</c:f>
              <c:numCache>
                <c:formatCode>General</c:formatCode>
                <c:ptCount val="5"/>
                <c:pt idx="0">
                  <c:v>24</c:v>
                </c:pt>
                <c:pt idx="1">
                  <c:v>41</c:v>
                </c:pt>
                <c:pt idx="2">
                  <c:v>37</c:v>
                </c:pt>
                <c:pt idx="3">
                  <c:v>37</c:v>
                </c:pt>
                <c:pt idx="4">
                  <c:v>10</c:v>
                </c:pt>
              </c:numCache>
            </c:numRef>
          </c:val>
        </c:ser>
        <c:ser>
          <c:idx val="1"/>
          <c:order val="1"/>
          <c:tx>
            <c:v>Planned</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Dashboard!$B$36:$B$40</c:f>
              <c:strCache>
                <c:ptCount val="5"/>
                <c:pt idx="0">
                  <c:v>Preparation</c:v>
                </c:pt>
                <c:pt idx="1">
                  <c:v>Remove and mount</c:v>
                </c:pt>
                <c:pt idx="2">
                  <c:v>Set and adjust</c:v>
                </c:pt>
                <c:pt idx="3">
                  <c:v>Trial and approval</c:v>
                </c:pt>
                <c:pt idx="4">
                  <c:v>Clean-up</c:v>
                </c:pt>
              </c:strCache>
            </c:strRef>
          </c:cat>
          <c:val>
            <c:numRef>
              <c:f>Dashboard!$F$36:$F$40</c:f>
              <c:numCache>
                <c:formatCode>General</c:formatCode>
                <c:ptCount val="5"/>
                <c:pt idx="0">
                  <c:v>0</c:v>
                </c:pt>
                <c:pt idx="1">
                  <c:v>14</c:v>
                </c:pt>
                <c:pt idx="2">
                  <c:v>7</c:v>
                </c:pt>
                <c:pt idx="3">
                  <c:v>14</c:v>
                </c:pt>
                <c:pt idx="4">
                  <c:v>0</c:v>
                </c:pt>
              </c:numCache>
            </c:numRef>
          </c:val>
        </c:ser>
        <c:gapWidth val="80"/>
        <c:overlap val="-10"/>
        <c:axId val="50010001"/>
        <c:axId val="50010002"/>
      </c:bar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Last 12 changeovers (min)</a:t>
            </a:r>
          </a:p>
        </c:rich>
      </c:tx>
      <c:layout/>
    </c:title>
    <c:plotArea>
      <c:layout/>
      <c:barChart>
        <c:barDir val="col"/>
        <c:grouping val="clustered"/>
        <c:ser>
          <c:idx val="0"/>
          <c:order val="0"/>
          <c:tx>
            <c:v>Duration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Dashboard!$B$44:$B$55</c:f>
              <c:numCache>
                <c:formatCode>General</c:formatCode>
                <c:ptCount val="12"/>
                <c:pt idx="0">
                  <c:v>9</c:v>
                </c:pt>
                <c:pt idx="1">
                  <c:v>10</c:v>
                </c:pt>
                <c:pt idx="2">
                  <c:v>11</c:v>
                </c:pt>
                <c:pt idx="3">
                  <c:v>12</c:v>
                </c:pt>
                <c:pt idx="4">
                  <c:v>13</c:v>
                </c:pt>
                <c:pt idx="5">
                  <c:v>14</c:v>
                </c:pt>
                <c:pt idx="6">
                  <c:v>15</c:v>
                </c:pt>
                <c:pt idx="7">
                  <c:v>16</c:v>
                </c:pt>
                <c:pt idx="8">
                  <c:v>17</c:v>
                </c:pt>
                <c:pt idx="9">
                  <c:v>18</c:v>
                </c:pt>
                <c:pt idx="10">
                  <c:v>19</c:v>
                </c:pt>
                <c:pt idx="11">
                  <c:v>20</c:v>
                </c:pt>
              </c:numCache>
            </c:numRef>
          </c:cat>
          <c:val>
            <c:numRef>
              <c:f>Dashboard!$D$44:$D$55</c:f>
              <c:numCache>
                <c:formatCode>General</c:formatCode>
                <c:ptCount val="12"/>
                <c:pt idx="0">
                  <c:v>36</c:v>
                </c:pt>
                <c:pt idx="1">
                  <c:v>23</c:v>
                </c:pt>
                <c:pt idx="2">
                  <c:v>33</c:v>
                </c:pt>
                <c:pt idx="3">
                  <c:v>38</c:v>
                </c:pt>
                <c:pt idx="4">
                  <c:v>28</c:v>
                </c:pt>
                <c:pt idx="5">
                  <c:v>34</c:v>
                </c:pt>
                <c:pt idx="6">
                  <c:v>33</c:v>
                </c:pt>
                <c:pt idx="7">
                  <c:v>32</c:v>
                </c:pt>
                <c:pt idx="8">
                  <c:v>34</c:v>
                </c:pt>
                <c:pt idx="9">
                  <c:v>29</c:v>
                </c:pt>
                <c:pt idx="10">
                  <c:v>33</c:v>
                </c:pt>
                <c:pt idx="11">
                  <c:v>23</c:v>
                </c:pt>
              </c:numCache>
            </c:numRef>
          </c:val>
        </c:ser>
        <c:gapWidth val="60"/>
        <c:overlap val="-10"/>
        <c:axId val="50020001"/>
        <c:axId val="50020002"/>
      </c:barChart>
      <c:lineChart>
        <c:grouping val="standard"/>
        <c:ser>
          <c:idx val="1"/>
          <c:order val="1"/>
          <c:tx>
            <c:v>Planned</c:v>
          </c:tx>
          <c:spPr>
            <a:ln w="19050">
              <a:solidFill>
                <a:srgbClr val="4A5361"/>
              </a:solidFill>
              <a:prstDash val="dash"/>
            </a:ln>
          </c:spPr>
          <c:marker>
            <c:symbol val="none"/>
          </c:marker>
          <c:cat>
            <c:numRef>
              <c:f>Dashboard!$B$44:$B$55</c:f>
              <c:numCache>
                <c:formatCode>General</c:formatCode>
                <c:ptCount val="12"/>
                <c:pt idx="0">
                  <c:v>9</c:v>
                </c:pt>
                <c:pt idx="1">
                  <c:v>10</c:v>
                </c:pt>
                <c:pt idx="2">
                  <c:v>11</c:v>
                </c:pt>
                <c:pt idx="3">
                  <c:v>12</c:v>
                </c:pt>
                <c:pt idx="4">
                  <c:v>13</c:v>
                </c:pt>
                <c:pt idx="5">
                  <c:v>14</c:v>
                </c:pt>
                <c:pt idx="6">
                  <c:v>15</c:v>
                </c:pt>
                <c:pt idx="7">
                  <c:v>16</c:v>
                </c:pt>
                <c:pt idx="8">
                  <c:v>17</c:v>
                </c:pt>
                <c:pt idx="9">
                  <c:v>18</c:v>
                </c:pt>
                <c:pt idx="10">
                  <c:v>19</c:v>
                </c:pt>
                <c:pt idx="11">
                  <c:v>20</c:v>
                </c:pt>
              </c:numCache>
            </c:numRef>
          </c:cat>
          <c:val>
            <c:numRef>
              <c:f>Dashboard!$I$44:$I$55</c:f>
              <c:numCache>
                <c:formatCode>General</c:formatCode>
                <c:ptCount val="12"/>
                <c:pt idx="0">
                  <c:v>35</c:v>
                </c:pt>
                <c:pt idx="1">
                  <c:v>35</c:v>
                </c:pt>
                <c:pt idx="2">
                  <c:v>35</c:v>
                </c:pt>
                <c:pt idx="3">
                  <c:v>35</c:v>
                </c:pt>
                <c:pt idx="4">
                  <c:v>35</c:v>
                </c:pt>
                <c:pt idx="5">
                  <c:v>35</c:v>
                </c:pt>
                <c:pt idx="6">
                  <c:v>35</c:v>
                </c:pt>
                <c:pt idx="7">
                  <c:v>35</c:v>
                </c:pt>
                <c:pt idx="8">
                  <c:v>35</c:v>
                </c:pt>
                <c:pt idx="9">
                  <c:v>35</c:v>
                </c:pt>
                <c:pt idx="10">
                  <c:v>35</c:v>
                </c:pt>
                <c:pt idx="11">
                  <c:v>35</c:v>
                </c:pt>
              </c:numCache>
            </c:numRef>
          </c:val>
        </c:ser>
        <c:ser>
          <c:idx val="2"/>
          <c:order val="2"/>
          <c:tx>
            <c:v>Target</c:v>
          </c:tx>
          <c:spPr>
            <a:ln w="19050">
              <a:solidFill>
                <a:srgbClr val="B3000C"/>
              </a:solidFill>
              <a:prstDash val="dash"/>
            </a:ln>
          </c:spPr>
          <c:marker>
            <c:symbol val="none"/>
          </c:marker>
          <c:cat>
            <c:numRef>
              <c:f>Dashboard!$B$44:$B$55</c:f>
              <c:numCache>
                <c:formatCode>General</c:formatCode>
                <c:ptCount val="12"/>
                <c:pt idx="0">
                  <c:v>9</c:v>
                </c:pt>
                <c:pt idx="1">
                  <c:v>10</c:v>
                </c:pt>
                <c:pt idx="2">
                  <c:v>11</c:v>
                </c:pt>
                <c:pt idx="3">
                  <c:v>12</c:v>
                </c:pt>
                <c:pt idx="4">
                  <c:v>13</c:v>
                </c:pt>
                <c:pt idx="5">
                  <c:v>14</c:v>
                </c:pt>
                <c:pt idx="6">
                  <c:v>15</c:v>
                </c:pt>
                <c:pt idx="7">
                  <c:v>16</c:v>
                </c:pt>
                <c:pt idx="8">
                  <c:v>17</c:v>
                </c:pt>
                <c:pt idx="9">
                  <c:v>18</c:v>
                </c:pt>
                <c:pt idx="10">
                  <c:v>19</c:v>
                </c:pt>
                <c:pt idx="11">
                  <c:v>20</c:v>
                </c:pt>
              </c:numCache>
            </c:numRef>
          </c:cat>
          <c:val>
            <c:numRef>
              <c:f>Dashboard!$J$44:$J$55</c:f>
              <c:numCache>
                <c:formatCode>General</c:formatCode>
                <c:ptCount val="12"/>
                <c:pt idx="0">
                  <c:v>30</c:v>
                </c:pt>
                <c:pt idx="1">
                  <c:v>30</c:v>
                </c:pt>
                <c:pt idx="2">
                  <c:v>30</c:v>
                </c:pt>
                <c:pt idx="3">
                  <c:v>30</c:v>
                </c:pt>
                <c:pt idx="4">
                  <c:v>30</c:v>
                </c:pt>
                <c:pt idx="5">
                  <c:v>30</c:v>
                </c:pt>
                <c:pt idx="6">
                  <c:v>30</c:v>
                </c:pt>
                <c:pt idx="7">
                  <c:v>30</c:v>
                </c:pt>
                <c:pt idx="8">
                  <c:v>30</c:v>
                </c:pt>
                <c:pt idx="9">
                  <c:v>30</c:v>
                </c:pt>
                <c:pt idx="10">
                  <c:v>30</c:v>
                </c:pt>
                <c:pt idx="11">
                  <c:v>30</c:v>
                </c:pt>
              </c:numCache>
            </c:numRef>
          </c:val>
        </c:ser>
        <c:marker val="1"/>
        <c:axId val="50020001"/>
        <c:axId val="50020002"/>
      </c:line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25</xdr:row>
      <xdr:rowOff>152400</xdr:rowOff>
    </xdr:to>
    <xdr:graphicFrame macro="">
      <xdr:nvGraphicFramePr>
        <xdr:cNvPr id="2" name="Chart 1" descr="Clustered column chart of internal (machine-stopped) minutes in each step category today and with the planned metho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25</xdr:row>
      <xdr:rowOff>152400</xdr:rowOff>
    </xdr:to>
    <xdr:graphicFrame macro="">
      <xdr:nvGraphicFramePr>
        <xdr:cNvPr id="3" name="Chart 2" descr="Column chart of the duration of the most recent logged changeovers, with the planned changeover time as a dashed grey line and the target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ategories" displayName="tblCategories" ref="B22:C27" totalsRowShown="0">
  <autoFilter ref="B22:C27"/>
  <tableColumns count="2">
    <tableColumn id="1" name="Category"/>
    <tableColumn id="2" name="Meaning"/>
  </tableColumns>
  <tableStyleInfo name="TableStyleLight1" showFirstColumn="0" showLastColumn="0" showRowStripes="0" showColumnStripes="0"/>
</table>
</file>

<file path=xl/tables/table2.xml><?xml version="1.0" encoding="utf-8"?>
<table xmlns="http://schemas.openxmlformats.org/spreadsheetml/2006/main" id="2" name="tblActions" displayName="tblActions" ref="B30:C35" totalsRowShown="0">
  <autoFilter ref="B30:C35"/>
  <tableColumns count="2">
    <tableColumn id="1" name="Action"/>
    <tableColumn id="2" name="Meaning"/>
  </tableColumns>
  <tableStyleInfo name="TableStyleLight1" showFirstColumn="0" showLastColumn="0" showRowStripes="0" showColumnStripes="0"/>
</table>
</file>

<file path=xl/tables/table3.xml><?xml version="1.0" encoding="utf-8"?>
<table xmlns="http://schemas.openxmlformats.org/spreadsheetml/2006/main" id="3" name="tblSteps" displayName="tblSteps" ref="B5:Q21" totalsRowShown="0">
  <autoFilter ref="B5:Q21"/>
  <tableColumns count="16">
    <tableColumn id="1" name="No."/>
    <tableColumn id="2" name="Step"/>
    <tableColumn id="3" name="Category"/>
    <tableColumn id="4" name="Who"/>
    <tableColumn id="5" name="Current type"/>
    <tableColumn id="6" name="Current (min)"/>
    <tableColumn id="7" name="Action"/>
    <tableColumn id="8" name="Future type"/>
    <tableColumn id="9" name="Future (min)"/>
    <tableColumn id="10" name="Current internal (min)">
      <calculatedColumnFormula>IF(tblSteps[[#This Row],[No.]]="","",IF(tblSteps[[#This Row],[Current type]]="Internal",tblSteps[[#This Row],[Current (min)]],0))</calculatedColumnFormula>
    </tableColumn>
    <tableColumn id="11" name="Current external (min)">
      <calculatedColumnFormula>IF(tblSteps[[#This Row],[No.]]="","",IF(tblSteps[[#This Row],[Current type]]="External",tblSteps[[#This Row],[Current (min)]],0))</calculatedColumnFormula>
    </tableColumn>
    <tableColumn id="12" name="Future internal (min)">
      <calculatedColumnFormula>IF(tblSteps[[#This Row],[No.]]="","",IF(tblSteps[[#This Row],[Future type]]="Internal",N(tblSteps[[#This Row],[Future (min)]]),0))</calculatedColumnFormula>
    </tableColumn>
    <tableColumn id="13" name="Future external (min)">
      <calculatedColumnFormula>IF(tblSteps[[#This Row],[No.]]="","",IF(tblSteps[[#This Row],[Future type]]="External",N(tblSteps[[#This Row],[Future (min)]]),0))</calculatedColumnFormula>
    </tableColumn>
    <tableColumn id="14" name="Stop time saved (min)">
      <calculatedColumnFormula>IF(tblSteps[[#This Row],[No.]]="","",tblSteps[[#This Row],[Current internal (min)]]-tblSteps[[#This Row],[Future internal (min)]])</calculatedColumnFormula>
    </tableColumn>
    <tableColumn id="15" name="Check">
      <calculatedColumnFormula>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calculatedColumnFormula>
    </tableColumn>
    <tableColumn id="16" name="Notes"/>
  </tableColumns>
  <tableStyleInfo name="TableStyleLight1" showFirstColumn="0" showLastColumn="0" showRowStripes="0" showColumnStripes="0"/>
</table>
</file>

<file path=xl/tables/table4.xml><?xml version="1.0" encoding="utf-8"?>
<table xmlns="http://schemas.openxmlformats.org/spreadsheetml/2006/main" id="4" name="tblChanges" displayName="tblChanges" ref="B5:J25" totalsRowShown="0">
  <autoFilter ref="B5:J25"/>
  <tableColumns count="9">
    <tableColumn id="1" name="Date"/>
    <tableColumn id="2" name="From"/>
    <tableColumn id="3" name="To"/>
    <tableColumn id="4" name="Setter"/>
    <tableColumn id="5" name="Duration (min)"/>
    <tableColumn id="6" name="Status">
      <calculatedColumnFormula>IF(NOT(ISNUMBER(tblChanges[[#This Row],[Duration (min)]])),"",IF(tblChanges[[#This Row],[Duration (min)]]&lt;=TargetMin,"On target",IF(tblChanges[[#This Row],[Duration (min)]]&lt;=TargetMin*(1+0.1),"Near target","Above target")))</calculatedColumnFormula>
    </tableColumn>
    <tableColumn id="7" name="Over target (min)">
      <calculatedColumnFormula>IF(tblChanges[[#This Row],[Date]]="","",MAX(0,tblChanges[[#This Row],[Duration (min)]]-TargetMin))</calculatedColumnFormula>
    </tableColumn>
    <tableColumn id="8" name="Check">
      <calculatedColumnFormula>IF(tblChanges[[#This Row],[Date]]="","",IF(tblChanges[[#This Row],[Duration (min)]]="","Missing duration",IF(tblChanges[[#This Row],[From]]=tblChanges[[#This Row],[To]],"From and To are the same","OK")))</calculatedColumnFormula>
    </tableColumn>
    <tableColumn id="9" name="Notes"/>
  </tableColumns>
  <tableStyleInfo name="TableStyleLight1" showFirstColumn="0" showLastColumn="0" showRowStripes="0" showColumnStripes="0"/>
</table>
</file>

<file path=xl/tables/table5.xml><?xml version="1.0" encoding="utf-8"?>
<table xmlns="http://schemas.openxmlformats.org/spreadsheetml/2006/main" id="5" name="tblVerifySteps" displayName="tblVerifySteps" ref="B38:Q43" totalsRowShown="0">
  <tableColumns count="16">
    <tableColumn id="1" name="No."/>
    <tableColumn id="2" name="Step"/>
    <tableColumn id="3" name="Category"/>
    <tableColumn id="4" name="Who"/>
    <tableColumn id="5" name="Current type"/>
    <tableColumn id="6" name="Current (min)"/>
    <tableColumn id="7" name="Action"/>
    <tableColumn id="8" name="Future type"/>
    <tableColumn id="9" name="Future (min)"/>
    <tableColumn id="10" name="Current internal (min)">
      <calculatedColumnFormula>IF(tblVerifySteps[[#This Row],[No.]]="","",IF(tblVerifySteps[[#This Row],[Current type]]="Internal",tblVerifySteps[[#This Row],[Current (min)]],0))</calculatedColumnFormula>
    </tableColumn>
    <tableColumn id="11" name="Current external (min)">
      <calculatedColumnFormula>IF(tblVerifySteps[[#This Row],[No.]]="","",IF(tblVerifySteps[[#This Row],[Current type]]="External",tblVerifySteps[[#This Row],[Current (min)]],0))</calculatedColumnFormula>
    </tableColumn>
    <tableColumn id="12" name="Future internal (min)">
      <calculatedColumnFormula>IF(tblVerifySteps[[#This Row],[No.]]="","",IF(tblVerifySteps[[#This Row],[Future type]]="Internal",N(tblVerifySteps[[#This Row],[Future (min)]]),0))</calculatedColumnFormula>
    </tableColumn>
    <tableColumn id="13" name="Future external (min)">
      <calculatedColumnFormula>IF(tblVerifySteps[[#This Row],[No.]]="","",IF(tblVerifySteps[[#This Row],[Future type]]="External",N(tblVerifySteps[[#This Row],[Future (min)]]),0))</calculatedColumnFormula>
    </tableColumn>
    <tableColumn id="14" name="Stop time saved (min)">
      <calculatedColumnFormula>IF(tblVerifySteps[[#This Row],[No.]]="","",tblVerifySteps[[#This Row],[Current internal (min)]]-tblVerifySteps[[#This Row],[Future internal (min)]])</calculatedColumnFormula>
    </tableColumn>
    <tableColumn id="15" name="Check">
      <calculatedColumnFormula>IF(tblVerifySteps[[#This Row],[No.]]="","",IF(tblVerifySteps[[#This Row],[Step]]="","Missing step",IF(tblVerifySteps[[#This Row],[Current type]]="","Missing current type",IF(tblVerifySteps[[#This Row],[Current (min)]]="","Missing current",IF(tblVerifySteps[[#This Row],[Action]]="","Missing action",IF(tblVerifySteps[[#This Row],[Future type]]="","Missing future type",IF(COUNTIF(tblVerifySteps[No.],tblVerifySteps[[#This Row],[No.]])&gt;1,"Duplicate step number",IF(AND(tblVerifySteps[[#This Row],[Action]]="Convert to external",tblVerifySteps[[#This Row],[Future type]]="Internal"),"Converted step is still internal",IF(AND(tblVerifySteps[[#This Row],[Action]]="Eliminate",tblVerifySteps[[#This Row],[Future (min)]]&gt;0),"Eliminated step still has time",IF(AND(tblVerifySteps[[#This Row],[Action]]="Keep as is",tblVerifySteps[[#This Row],[Future (min)]]&lt;&gt;tblVerifySteps[[#This Row],[Current (min)]]),"Kept step changed its time",IF(tblVerifySteps[[#This Row],[Future (min)]]&gt;tblVerifySteps[[#This Row],[Current (min)]],"Future step is longer","OK")))))))))))</calculatedColumnFormula>
    </tableColumn>
    <tableColumn id="16" name="Notes"/>
  </tableColumns>
  <tableStyleInfo name="TableStyleLight1" showFirstColumn="0" showLastColumn="0" showRowStripes="0" showColumnStripes="0"/>
</table>
</file>

<file path=xl/tables/table6.xml><?xml version="1.0" encoding="utf-8"?>
<table xmlns="http://schemas.openxmlformats.org/spreadsheetml/2006/main" id="6" name="tblVerifyChanges" displayName="tblVerifyChanges" ref="B46:J50" totalsRowShown="0">
  <tableColumns count="9">
    <tableColumn id="1" name="Date"/>
    <tableColumn id="2" name="From"/>
    <tableColumn id="3" name="To"/>
    <tableColumn id="4" name="Setter"/>
    <tableColumn id="5" name="Duration (min)"/>
    <tableColumn id="6" name="Status">
      <calculatedColumnFormula>IF(NOT(ISNUMBER(tblVerifyChanges[[#This Row],[Duration (min)]])),"",IF(tblVerifyChanges[[#This Row],[Duration (min)]]&lt;=$E$35,"On target",IF(tblVerifyChanges[[#This Row],[Duration (min)]]&lt;=$E$35*(1+0.1),"Near target","Above target")))</calculatedColumnFormula>
    </tableColumn>
    <tableColumn id="7" name="Over target (min)">
      <calculatedColumnFormula>IF(tblVerifyChanges[[#This Row],[Date]]="","",MAX(0,tblVerifyChanges[[#This Row],[Duration (min)]]-$E$35))</calculatedColumnFormula>
    </tableColumn>
    <tableColumn id="8" name="Check">
      <calculatedColumnFormula>IF(tblVerifyChanges[[#This Row],[Date]]="","",IF(tblVerifyChanges[[#This Row],[Duration (min)]]="","Missing duration",IF(tblVerifyChanges[[#This Row],[From]]=tblVerifyChanges[[#This Row],[To]],"From and To are the same","OK")))</calculatedColumnFormula>
    </tableColumn>
    <tableColumn id="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hyperlink" Target="https://www.mfgcalcs.com/calculators/cnc-machining-cutting-tools/changeover-reduction?utm_source=mfgcalcs-template&amp;utm_medium=xlsx&amp;utm_campaign=smed-changeover-analysis" TargetMode="External"/><Relationship Id="rId3" Type="http://schemas.openxmlformats.org/officeDocument/2006/relationships/hyperlink" Target="https://www.mfgcalcs.com/templates/smed-changeover-analysis?utm_source=mfgcalcs-template&amp;utm_medium=xlsx&amp;utm_campaign=smed-changeover-analysis" TargetMode="External"/><Relationship Id="rId4" Type="http://schemas.openxmlformats.org/officeDocument/2006/relationships/hyperlink" Target="https://www.mfgcalcs.com/templates?utm_source=mfgcalcs-template&amp;utm_medium=xlsx&amp;utm_campaign=smed-changeover-analysi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hyperlink" Target="https://www.mfgcalcs.com/calculators/cnc-machining-cutting-tools/changeover-reduction?utm_source=mfgcalcs-template&amp;utm_medium=xlsx&amp;utm_campaign=smed-changeover-analysi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med-changeover-analysis"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15 of 15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tep Study'!A1" tooltip="Go to Step Study" display="Step Study"/>
    <hyperlink ref="C23" location="'Changeover Log'!A1" tooltip="Go to Changeover Log" display="Changeover Log"/>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SMED Changeover Analysis&amp;R&amp;8&amp;A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5"/>
  <sheetViews>
    <sheetView showGridLines="0" workbookViewId="0"/>
  </sheetViews>
  <sheetFormatPr defaultRowHeight="15"/>
  <cols>
    <col min="1" max="1" width="2.7109375" customWidth="1"/>
    <col min="2" max="2" width="36.7109375" customWidth="1"/>
    <col min="3" max="3" width="16.7109375" customWidth="1"/>
    <col min="4" max="4" width="52.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8" spans="1:5">
      <c r="B8" s="27" t="s">
        <v>72</v>
      </c>
      <c r="C8" s="29">
        <v>30</v>
      </c>
      <c r="D8" s="7" t="s">
        <v>73</v>
      </c>
    </row>
    <row r="10" spans="1:5" ht="21" customHeight="1">
      <c r="B10" s="8" t="s">
        <v>74</v>
      </c>
      <c r="C10" s="8"/>
      <c r="D10" s="8"/>
    </row>
    <row r="11" spans="1:5" ht="5" customHeight="1"/>
    <row r="12" spans="1:5">
      <c r="B12" s="27" t="s">
        <v>75</v>
      </c>
      <c r="C12" s="30">
        <v>90</v>
      </c>
      <c r="D12" s="7" t="str">
        <f>Currency&amp;"/h"</f>
        <v>USD/h</v>
      </c>
    </row>
    <row r="13" spans="1:5">
      <c r="B13" s="27" t="s">
        <v>76</v>
      </c>
      <c r="C13" s="30">
        <v>75</v>
      </c>
      <c r="D13" s="7" t="str">
        <f>Currency&amp;"/h"</f>
        <v>USD/h</v>
      </c>
    </row>
    <row r="14" spans="1:5">
      <c r="B14" s="27" t="s">
        <v>77</v>
      </c>
      <c r="C14" s="31">
        <v>8</v>
      </c>
      <c r="D14" s="7" t="s">
        <v>78</v>
      </c>
    </row>
    <row r="15" spans="1:5">
      <c r="B15" s="27" t="s">
        <v>79</v>
      </c>
      <c r="C15" s="29">
        <v>48</v>
      </c>
      <c r="D15" s="7" t="s">
        <v>80</v>
      </c>
    </row>
    <row r="17" spans="2:4" ht="35.4" customHeight="1">
      <c r="B17" s="25" t="s">
        <v>81</v>
      </c>
      <c r="C17" s="25"/>
      <c r="D17" s="25"/>
    </row>
    <row r="19" spans="2:4" ht="21" customHeight="1">
      <c r="B19" s="8" t="s">
        <v>82</v>
      </c>
      <c r="C19" s="8"/>
      <c r="D19" s="8"/>
    </row>
    <row r="20" spans="2:4" ht="5" customHeight="1"/>
    <row r="21" spans="2:4">
      <c r="B21" s="32" t="s">
        <v>83</v>
      </c>
      <c r="C21" s="32"/>
    </row>
    <row r="22" spans="2:4" ht="20" customHeight="1">
      <c r="B22" s="33" t="s">
        <v>64</v>
      </c>
      <c r="C22" s="33" t="s">
        <v>65</v>
      </c>
    </row>
    <row r="23" spans="2:4">
      <c r="B23" s="28" t="s">
        <v>84</v>
      </c>
      <c r="C23" s="28" t="s">
        <v>85</v>
      </c>
    </row>
    <row r="24" spans="2:4">
      <c r="B24" s="28" t="s">
        <v>86</v>
      </c>
      <c r="C24" s="28" t="s">
        <v>87</v>
      </c>
    </row>
    <row r="25" spans="2:4">
      <c r="B25" s="28" t="s">
        <v>88</v>
      </c>
      <c r="C25" s="28" t="s">
        <v>89</v>
      </c>
    </row>
    <row r="26" spans="2:4">
      <c r="B26" s="28" t="s">
        <v>90</v>
      </c>
      <c r="C26" s="28" t="s">
        <v>91</v>
      </c>
    </row>
    <row r="27" spans="2:4">
      <c r="B27" s="28" t="s">
        <v>92</v>
      </c>
      <c r="C27" s="28" t="s">
        <v>93</v>
      </c>
    </row>
    <row r="29" spans="2:4">
      <c r="B29" s="32" t="s">
        <v>94</v>
      </c>
      <c r="C29" s="32"/>
    </row>
    <row r="30" spans="2:4" ht="20" customHeight="1">
      <c r="B30" s="33" t="s">
        <v>66</v>
      </c>
      <c r="C30" s="33" t="s">
        <v>65</v>
      </c>
    </row>
    <row r="31" spans="2:4">
      <c r="B31" s="28" t="s">
        <v>95</v>
      </c>
      <c r="C31" s="28" t="s">
        <v>96</v>
      </c>
    </row>
    <row r="32" spans="2:4">
      <c r="B32" s="28" t="s">
        <v>97</v>
      </c>
      <c r="C32" s="28" t="s">
        <v>98</v>
      </c>
    </row>
    <row r="33" spans="2:3">
      <c r="B33" s="28" t="s">
        <v>99</v>
      </c>
      <c r="C33" s="28" t="s">
        <v>100</v>
      </c>
    </row>
    <row r="34" spans="2:3">
      <c r="B34" s="28" t="s">
        <v>101</v>
      </c>
      <c r="C34" s="28" t="s">
        <v>102</v>
      </c>
    </row>
    <row r="35" spans="2:3">
      <c r="B35" s="28" t="s">
        <v>103</v>
      </c>
      <c r="C35" s="28" t="s">
        <v>104</v>
      </c>
    </row>
  </sheetData>
  <mergeCells count="11">
    <mergeCell ref="A1:E1"/>
    <mergeCell ref="B2:C2"/>
    <mergeCell ref="D2:E2"/>
    <mergeCell ref="B4:D4"/>
    <mergeCell ref="C6:D6"/>
    <mergeCell ref="C7:D7"/>
    <mergeCell ref="B10:D10"/>
    <mergeCell ref="B17:D17"/>
    <mergeCell ref="B19:D19"/>
    <mergeCell ref="B21:C21"/>
    <mergeCell ref="B29:C29"/>
  </mergeCells>
  <dataValidations count="11">
    <dataValidation type="textLength" allowBlank="1" showInputMessage="1" showErrorMessage="1" errorTitle="Check this entry" error="Text up to 120 characters." promptTitle="Machine or line studied" prompt="Shown on the Dashboard. Text up to 120 characters." sqref="C6">
      <formula1>0</formula1>
      <formula2>120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 to 10,000." promptTitle="Target changeover time" prompt="Machine-stopped minutes you are aiming for: last good part to first good part. Your own target. Enter a number from 0 to 10,000." sqref="C8">
      <formula1>0</formula1>
      <formula2>10000</formula2>
    </dataValidation>
    <dataValidation type="decimal" allowBlank="1" showInputMessage="1" showErrorMessage="1" errorTitle="Check this entry" error="Enter a number from 0 to 10,000,000." promptTitle="Changeover crew labour rate (..." prompt="Loaded cost of the people who do the internal work, per hour, for the whole crew (example: two setters at 45). Enter a number from 0 to 10,000,000." sqref="C12">
      <formula1>0</formula1>
      <formula2>10000000.0</formula2>
    </dataValidation>
    <dataValidation type="decimal" allowBlank="1" showInputMessage="1" showErrorMessage="1" errorTitle="Check this entry" error="Enter a number from 0 to 10,000,000." promptTitle="Machine hour rate" prompt="Value of one machine hour: contribution or burden rate. Use your own costing; example value only. Enter a number from 0 to 10,000,000." sqref="C13">
      <formula1>0</formula1>
      <formula2>10000000.0</formula2>
    </dataValidation>
    <dataValidation type="decimal" allowBlank="1" showInputMessage="1" showErrorMessage="1" errorTitle="Check this entry" error="Enter a number from 0 to 1,000." promptTitle="Changeovers per week" prompt="Enter a number from 0 to 1,000." sqref="C14">
      <formula1>0</formula1>
      <formula2>1000</formula2>
    </dataValidation>
    <dataValidation type="decimal" allowBlank="1" showInputMessage="1" showErrorMessage="1" errorTitle="Check this entry" error="Enter a number from 0 to 53." promptTitle="Production weeks per year" prompt="Enter a number from 0 to 53." sqref="C15">
      <formula1>0</formula1>
      <formula2>53</formula2>
    </dataValidation>
    <dataValidation type="textLength" allowBlank="1" showInputMessage="1" showErrorMessage="1" errorTitle="Check this entry" error="Text up to 40 characters." promptTitle="Category" prompt="Text up to 40 characters." sqref="B23:B127">
      <formula1>0</formula1>
      <formula2>40</formula2>
    </dataValidation>
    <dataValidation type="textLength" allowBlank="1" showInputMessage="1" showErrorMessage="1" errorTitle="Check this entry" error="Text up to 160 characters." promptTitle="Meaning" prompt="Text up to 160 characters." sqref="C23:C127">
      <formula1>0</formula1>
      <formula2>160</formula2>
    </dataValidation>
    <dataValidation type="textLength" allowBlank="1" showInputMessage="1" showErrorMessage="1" errorTitle="Check this entry" error="Text up to 40 characters." promptTitle="Action" prompt="Text up to 40 characters." sqref="B31:B135">
      <formula1>0</formula1>
      <formula2>40</formula2>
    </dataValidation>
    <dataValidation type="textLength" allowBlank="1" showInputMessage="1" showErrorMessage="1" errorTitle="Check this entry" error="Text up to 160 characters." promptTitle="Meaning" prompt="Text up to 160 characters." sqref="C31:C135">
      <formula1>0</formula1>
      <formula2>160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SMED Changeover Analysis&amp;R&amp;8&amp;A</oddHeader>
    <oddFooter>&amp;L&amp;8mfgcalcs.com - free manufacturing templates&amp;R&amp;8Page &amp;P of &amp;N</oddFooter>
  </headerFooter>
  <rowBreaks count="1" manualBreakCount="1">
    <brk id="28"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Q21"/>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5.7109375" customWidth="1"/>
    <col min="3" max="3" width="30.7109375" customWidth="1"/>
    <col min="4" max="4" width="15.7109375" customWidth="1"/>
    <col min="5" max="5" width="10.28515625" customWidth="1"/>
    <col min="6" max="6" width="9.7109375" customWidth="1"/>
    <col min="7" max="7" width="9.28515625" customWidth="1"/>
    <col min="8" max="8" width="15.7109375" customWidth="1"/>
    <col min="9" max="9" width="9.7109375" customWidth="1"/>
    <col min="10" max="10" width="8.7109375" customWidth="1"/>
    <col min="11" max="15" width="10.28515625" customWidth="1"/>
    <col min="16" max="16" width="26.7109375" customWidth="1"/>
    <col min="17" max="17" width="38.7109375" customWidth="1"/>
  </cols>
  <sheetData>
    <row r="1" spans="1:17" ht="30" customHeight="1" x14ac:dyDescent="0.25">
      <c r="A1" s="1" t="s">
        <v>0</v>
      </c>
      <c r="B1" s="1"/>
      <c r="C1" s="1"/>
      <c r="D1" s="1"/>
      <c r="E1" s="1"/>
      <c r="F1" s="1"/>
      <c r="G1" s="1"/>
      <c r="H1" s="1"/>
      <c r="I1" s="1"/>
      <c r="J1" s="1"/>
      <c r="K1" s="1"/>
      <c r="L1" s="1"/>
      <c r="M1" s="1"/>
      <c r="N1" s="1"/>
      <c r="O1" s="1"/>
      <c r="P1" s="1"/>
      <c r="Q1" s="1"/>
    </row>
    <row r="2" spans="1:17" ht="21" customHeight="1" x14ac:dyDescent="0.25">
      <c r="B2" s="2" t="s">
        <v>22</v>
      </c>
      <c r="C2" s="2"/>
      <c r="D2" s="2"/>
      <c r="E2" s="2"/>
      <c r="F2" s="2"/>
      <c r="G2" s="2"/>
      <c r="H2" s="2"/>
      <c r="I2" s="2"/>
      <c r="J2" s="2"/>
      <c r="K2" s="2"/>
      <c r="L2" s="2"/>
      <c r="M2" s="2"/>
      <c r="N2" s="2"/>
      <c r="O2" s="2"/>
      <c r="P2" s="2"/>
      <c r="Q2" s="3" t="s">
        <v>2</v>
      </c>
    </row>
    <row r="3" spans="1:17" ht="6" customHeight="1" x14ac:dyDescent="0.25"/>
    <row r="4" spans="1:17" ht="29.76" customHeight="1" x14ac:dyDescent="0.25">
      <c r="B4" s="34" t="s">
        <v>119</v>
      </c>
      <c r="C4" s="34"/>
      <c r="D4" s="34"/>
      <c r="E4" s="34"/>
      <c r="F4" s="34"/>
      <c r="G4" s="34"/>
      <c r="H4" s="34"/>
      <c r="I4" s="34"/>
      <c r="J4" s="34"/>
      <c r="K4" s="34"/>
      <c r="L4" s="34"/>
      <c r="M4" s="34"/>
      <c r="N4" s="34"/>
      <c r="O4" s="34"/>
      <c r="P4" s="34"/>
      <c r="Q4" s="34"/>
    </row>
    <row r="5" spans="1:17" ht="45.5" customHeight="1" x14ac:dyDescent="0.25">
      <c r="B5" s="33" t="s">
        <v>105</v>
      </c>
      <c r="C5" s="33" t="s">
        <v>106</v>
      </c>
      <c r="D5" s="33" t="s">
        <v>64</v>
      </c>
      <c r="E5" s="33" t="s">
        <v>107</v>
      </c>
      <c r="F5" s="33" t="s">
        <v>108</v>
      </c>
      <c r="G5" s="33" t="s">
        <v>109</v>
      </c>
      <c r="H5" s="33" t="s">
        <v>66</v>
      </c>
      <c r="I5" s="33" t="s">
        <v>110</v>
      </c>
      <c r="J5" s="33" t="s">
        <v>111</v>
      </c>
      <c r="K5" s="33" t="s">
        <v>112</v>
      </c>
      <c r="L5" s="33" t="s">
        <v>113</v>
      </c>
      <c r="M5" s="33" t="s">
        <v>114</v>
      </c>
      <c r="N5" s="33" t="s">
        <v>115</v>
      </c>
      <c r="O5" s="33" t="s">
        <v>116</v>
      </c>
      <c r="P5" s="33" t="s">
        <v>117</v>
      </c>
      <c r="Q5" s="33" t="s">
        <v>118</v>
      </c>
    </row>
    <row r="6" spans="1:17" x14ac:dyDescent="0.25">
      <c r="B6" s="29">
        <v>1</v>
      </c>
      <c r="C6" s="35" t="s">
        <v>120</v>
      </c>
      <c r="D6" s="28" t="s">
        <v>84</v>
      </c>
      <c r="E6" s="28" t="s">
        <v>121</v>
      </c>
      <c r="F6" s="28" t="s">
        <v>122</v>
      </c>
      <c r="G6" s="31">
        <v>12</v>
      </c>
      <c r="H6" s="28" t="s">
        <v>95</v>
      </c>
      <c r="I6" s="28" t="s">
        <v>123</v>
      </c>
      <c r="J6" s="31">
        <v>10</v>
      </c>
      <c r="K6" s="36">
        <f>IF(tblSteps[[#This Row],[No.]]="","",IF(tblSteps[[#This Row],[Current type]]="Internal",tblSteps[[#This Row],[Current (min)]],0))</f>
        <v>12</v>
      </c>
      <c r="L6" s="36">
        <f>IF(tblSteps[[#This Row],[No.]]="","",IF(tblSteps[[#This Row],[Current type]]="External",tblSteps[[#This Row],[Current (min)]],0))</f>
        <v>0</v>
      </c>
      <c r="M6" s="36">
        <f>IF(tblSteps[[#This Row],[No.]]="","",IF(tblSteps[[#This Row],[Future type]]="Internal",N(tblSteps[[#This Row],[Future (min)]]),0))</f>
        <v>0</v>
      </c>
      <c r="N6" s="36">
        <f>IF(tblSteps[[#This Row],[No.]]="","",IF(tblSteps[[#This Row],[Future type]]="External",N(tblSteps[[#This Row],[Future (min)]]),0))</f>
        <v>10</v>
      </c>
      <c r="O6" s="36">
        <f>IF(tblSteps[[#This Row],[No.]]="","",tblSteps[[#This Row],[Current internal (min)]]-tblSteps[[#This Row],[Future internal (min)]])</f>
        <v>12</v>
      </c>
      <c r="P6"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6" s="35" t="s">
        <v>124</v>
      </c>
    </row>
    <row r="7" spans="1:17" x14ac:dyDescent="0.25">
      <c r="B7" s="29">
        <v>2</v>
      </c>
      <c r="C7" s="35" t="s">
        <v>125</v>
      </c>
      <c r="D7" s="28" t="s">
        <v>84</v>
      </c>
      <c r="E7" s="28" t="s">
        <v>121</v>
      </c>
      <c r="F7" s="28" t="s">
        <v>122</v>
      </c>
      <c r="G7" s="31">
        <v>8</v>
      </c>
      <c r="H7" s="28" t="s">
        <v>95</v>
      </c>
      <c r="I7" s="28" t="s">
        <v>123</v>
      </c>
      <c r="J7" s="31">
        <v>5</v>
      </c>
      <c r="K7" s="36">
        <f>IF(tblSteps[[#This Row],[No.]]="","",IF(tblSteps[[#This Row],[Current type]]="Internal",tblSteps[[#This Row],[Current (min)]],0))</f>
        <v>8</v>
      </c>
      <c r="L7" s="36">
        <f>IF(tblSteps[[#This Row],[No.]]="","",IF(tblSteps[[#This Row],[Current type]]="External",tblSteps[[#This Row],[Current (min)]],0))</f>
        <v>0</v>
      </c>
      <c r="M7" s="36">
        <f>IF(tblSteps[[#This Row],[No.]]="","",IF(tblSteps[[#This Row],[Future type]]="Internal",N(tblSteps[[#This Row],[Future (min)]]),0))</f>
        <v>0</v>
      </c>
      <c r="N7" s="36">
        <f>IF(tblSteps[[#This Row],[No.]]="","",IF(tblSteps[[#This Row],[Future type]]="External",N(tblSteps[[#This Row],[Future (min)]]),0))</f>
        <v>5</v>
      </c>
      <c r="O7" s="36">
        <f>IF(tblSteps[[#This Row],[No.]]="","",tblSteps[[#This Row],[Current internal (min)]]-tblSteps[[#This Row],[Future internal (min)]])</f>
        <v>8</v>
      </c>
      <c r="P7"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7" s="35" t="s">
        <v>126</v>
      </c>
    </row>
    <row r="8" spans="1:17" x14ac:dyDescent="0.25">
      <c r="B8" s="29">
        <v>3</v>
      </c>
      <c r="C8" s="35" t="s">
        <v>127</v>
      </c>
      <c r="D8" s="28" t="s">
        <v>86</v>
      </c>
      <c r="E8" s="28" t="s">
        <v>121</v>
      </c>
      <c r="F8" s="28" t="s">
        <v>122</v>
      </c>
      <c r="G8" s="31">
        <v>6</v>
      </c>
      <c r="H8" s="28" t="s">
        <v>97</v>
      </c>
      <c r="I8" s="28" t="s">
        <v>122</v>
      </c>
      <c r="J8" s="31">
        <v>4</v>
      </c>
      <c r="K8" s="36">
        <f>IF(tblSteps[[#This Row],[No.]]="","",IF(tblSteps[[#This Row],[Current type]]="Internal",tblSteps[[#This Row],[Current (min)]],0))</f>
        <v>6</v>
      </c>
      <c r="L8" s="36">
        <f>IF(tblSteps[[#This Row],[No.]]="","",IF(tblSteps[[#This Row],[Current type]]="External",tblSteps[[#This Row],[Current (min)]],0))</f>
        <v>0</v>
      </c>
      <c r="M8" s="36">
        <f>IF(tblSteps[[#This Row],[No.]]="","",IF(tblSteps[[#This Row],[Future type]]="Internal",N(tblSteps[[#This Row],[Future (min)]]),0))</f>
        <v>4</v>
      </c>
      <c r="N8" s="36">
        <f>IF(tblSteps[[#This Row],[No.]]="","",IF(tblSteps[[#This Row],[Future type]]="External",N(tblSteps[[#This Row],[Future (min)]]),0))</f>
        <v>0</v>
      </c>
      <c r="O8" s="36">
        <f>IF(tblSteps[[#This Row],[No.]]="","",tblSteps[[#This Row],[Current internal (min)]]-tblSteps[[#This Row],[Future internal (min)]])</f>
        <v>2</v>
      </c>
      <c r="P8"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8" s="35" t="s">
        <v>128</v>
      </c>
    </row>
    <row r="9" spans="1:17" x14ac:dyDescent="0.25">
      <c r="B9" s="29">
        <v>4</v>
      </c>
      <c r="C9" s="35" t="s">
        <v>129</v>
      </c>
      <c r="D9" s="28" t="s">
        <v>86</v>
      </c>
      <c r="E9" s="28" t="s">
        <v>121</v>
      </c>
      <c r="F9" s="28" t="s">
        <v>122</v>
      </c>
      <c r="G9" s="31">
        <v>5</v>
      </c>
      <c r="H9" s="28" t="s">
        <v>97</v>
      </c>
      <c r="I9" s="28" t="s">
        <v>122</v>
      </c>
      <c r="J9" s="31">
        <v>2</v>
      </c>
      <c r="K9" s="36">
        <f>IF(tblSteps[[#This Row],[No.]]="","",IF(tblSteps[[#This Row],[Current type]]="Internal",tblSteps[[#This Row],[Current (min)]],0))</f>
        <v>5</v>
      </c>
      <c r="L9" s="36">
        <f>IF(tblSteps[[#This Row],[No.]]="","",IF(tblSteps[[#This Row],[Current type]]="External",tblSteps[[#This Row],[Current (min)]],0))</f>
        <v>0</v>
      </c>
      <c r="M9" s="36">
        <f>IF(tblSteps[[#This Row],[No.]]="","",IF(tblSteps[[#This Row],[Future type]]="Internal",N(tblSteps[[#This Row],[Future (min)]]),0))</f>
        <v>2</v>
      </c>
      <c r="N9" s="36">
        <f>IF(tblSteps[[#This Row],[No.]]="","",IF(tblSteps[[#This Row],[Future type]]="External",N(tblSteps[[#This Row],[Future (min)]]),0))</f>
        <v>0</v>
      </c>
      <c r="O9" s="36">
        <f>IF(tblSteps[[#This Row],[No.]]="","",tblSteps[[#This Row],[Current internal (min)]]-tblSteps[[#This Row],[Future internal (min)]])</f>
        <v>3</v>
      </c>
      <c r="P9"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9" s="35" t="s">
        <v>130</v>
      </c>
    </row>
    <row r="10" spans="1:17" x14ac:dyDescent="0.25">
      <c r="B10" s="29">
        <v>5</v>
      </c>
      <c r="C10" s="35" t="s">
        <v>131</v>
      </c>
      <c r="D10" s="28" t="s">
        <v>86</v>
      </c>
      <c r="E10" s="28" t="s">
        <v>121</v>
      </c>
      <c r="F10" s="28" t="s">
        <v>122</v>
      </c>
      <c r="G10" s="31">
        <v>7</v>
      </c>
      <c r="H10" s="28" t="s">
        <v>99</v>
      </c>
      <c r="I10" s="28" t="s">
        <v>122</v>
      </c>
      <c r="J10" s="31">
        <v>0</v>
      </c>
      <c r="K10" s="36">
        <f>IF(tblSteps[[#This Row],[No.]]="","",IF(tblSteps[[#This Row],[Current type]]="Internal",tblSteps[[#This Row],[Current (min)]],0))</f>
        <v>7</v>
      </c>
      <c r="L10" s="36">
        <f>IF(tblSteps[[#This Row],[No.]]="","",IF(tblSteps[[#This Row],[Current type]]="External",tblSteps[[#This Row],[Current (min)]],0))</f>
        <v>0</v>
      </c>
      <c r="M10" s="36">
        <f>IF(tblSteps[[#This Row],[No.]]="","",IF(tblSteps[[#This Row],[Future type]]="Internal",N(tblSteps[[#This Row],[Future (min)]]),0))</f>
        <v>0</v>
      </c>
      <c r="N10" s="36">
        <f>IF(tblSteps[[#This Row],[No.]]="","",IF(tblSteps[[#This Row],[Future type]]="External",N(tblSteps[[#This Row],[Future (min)]]),0))</f>
        <v>0</v>
      </c>
      <c r="O10" s="36">
        <f>IF(tblSteps[[#This Row],[No.]]="","",tblSteps[[#This Row],[Current internal (min)]]-tblSteps[[#This Row],[Future internal (min)]])</f>
        <v>7</v>
      </c>
      <c r="P10"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0" s="35" t="s">
        <v>132</v>
      </c>
    </row>
    <row r="11" spans="1:17" x14ac:dyDescent="0.25">
      <c r="B11" s="29">
        <v>6</v>
      </c>
      <c r="C11" s="35" t="s">
        <v>133</v>
      </c>
      <c r="D11" s="28" t="s">
        <v>86</v>
      </c>
      <c r="E11" s="28" t="s">
        <v>121</v>
      </c>
      <c r="F11" s="28" t="s">
        <v>122</v>
      </c>
      <c r="G11" s="31">
        <v>10</v>
      </c>
      <c r="H11" s="28" t="s">
        <v>97</v>
      </c>
      <c r="I11" s="28" t="s">
        <v>122</v>
      </c>
      <c r="J11" s="31">
        <v>4</v>
      </c>
      <c r="K11" s="36">
        <f>IF(tblSteps[[#This Row],[No.]]="","",IF(tblSteps[[#This Row],[Current type]]="Internal",tblSteps[[#This Row],[Current (min)]],0))</f>
        <v>10</v>
      </c>
      <c r="L11" s="36">
        <f>IF(tblSteps[[#This Row],[No.]]="","",IF(tblSteps[[#This Row],[Current type]]="External",tblSteps[[#This Row],[Current (min)]],0))</f>
        <v>0</v>
      </c>
      <c r="M11" s="36">
        <f>IF(tblSteps[[#This Row],[No.]]="","",IF(tblSteps[[#This Row],[Future type]]="Internal",N(tblSteps[[#This Row],[Future (min)]]),0))</f>
        <v>4</v>
      </c>
      <c r="N11" s="36">
        <f>IF(tblSteps[[#This Row],[No.]]="","",IF(tblSteps[[#This Row],[Future type]]="External",N(tblSteps[[#This Row],[Future (min)]]),0))</f>
        <v>0</v>
      </c>
      <c r="O11" s="36">
        <f>IF(tblSteps[[#This Row],[No.]]="","",tblSteps[[#This Row],[Current internal (min)]]-tblSteps[[#This Row],[Future internal (min)]])</f>
        <v>6</v>
      </c>
      <c r="P11"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1" s="35" t="s">
        <v>134</v>
      </c>
    </row>
    <row r="12" spans="1:17" x14ac:dyDescent="0.25">
      <c r="B12" s="29">
        <v>7</v>
      </c>
      <c r="C12" s="35" t="s">
        <v>135</v>
      </c>
      <c r="D12" s="28" t="s">
        <v>88</v>
      </c>
      <c r="E12" s="28" t="s">
        <v>121</v>
      </c>
      <c r="F12" s="28" t="s">
        <v>122</v>
      </c>
      <c r="G12" s="31">
        <v>9</v>
      </c>
      <c r="H12" s="28" t="s">
        <v>97</v>
      </c>
      <c r="I12" s="28" t="s">
        <v>122</v>
      </c>
      <c r="J12" s="31">
        <v>4</v>
      </c>
      <c r="K12" s="36">
        <f>IF(tblSteps[[#This Row],[No.]]="","",IF(tblSteps[[#This Row],[Current type]]="Internal",tblSteps[[#This Row],[Current (min)]],0))</f>
        <v>9</v>
      </c>
      <c r="L12" s="36">
        <f>IF(tblSteps[[#This Row],[No.]]="","",IF(tblSteps[[#This Row],[Current type]]="External",tblSteps[[#This Row],[Current (min)]],0))</f>
        <v>0</v>
      </c>
      <c r="M12" s="36">
        <f>IF(tblSteps[[#This Row],[No.]]="","",IF(tblSteps[[#This Row],[Future type]]="Internal",N(tblSteps[[#This Row],[Future (min)]]),0))</f>
        <v>4</v>
      </c>
      <c r="N12" s="36">
        <f>IF(tblSteps[[#This Row],[No.]]="","",IF(tblSteps[[#This Row],[Future type]]="External",N(tblSteps[[#This Row],[Future (min)]]),0))</f>
        <v>0</v>
      </c>
      <c r="O12" s="36">
        <f>IF(tblSteps[[#This Row],[No.]]="","",tblSteps[[#This Row],[Current internal (min)]]-tblSteps[[#This Row],[Future internal (min)]])</f>
        <v>5</v>
      </c>
      <c r="P12"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2" s="35" t="s">
        <v>136</v>
      </c>
    </row>
    <row r="13" spans="1:17" x14ac:dyDescent="0.25">
      <c r="B13" s="29">
        <v>8</v>
      </c>
      <c r="C13" s="35" t="s">
        <v>137</v>
      </c>
      <c r="D13" s="28" t="s">
        <v>86</v>
      </c>
      <c r="E13" s="28" t="s">
        <v>121</v>
      </c>
      <c r="F13" s="28" t="s">
        <v>122</v>
      </c>
      <c r="G13" s="31">
        <v>8</v>
      </c>
      <c r="H13" s="28" t="s">
        <v>97</v>
      </c>
      <c r="I13" s="28" t="s">
        <v>122</v>
      </c>
      <c r="J13" s="31">
        <v>2</v>
      </c>
      <c r="K13" s="36">
        <f>IF(tblSteps[[#This Row],[No.]]="","",IF(tblSteps[[#This Row],[Current type]]="Internal",tblSteps[[#This Row],[Current (min)]],0))</f>
        <v>8</v>
      </c>
      <c r="L13" s="36">
        <f>IF(tblSteps[[#This Row],[No.]]="","",IF(tblSteps[[#This Row],[Current type]]="External",tblSteps[[#This Row],[Current (min)]],0))</f>
        <v>0</v>
      </c>
      <c r="M13" s="36">
        <f>IF(tblSteps[[#This Row],[No.]]="","",IF(tblSteps[[#This Row],[Future type]]="Internal",N(tblSteps[[#This Row],[Future (min)]]),0))</f>
        <v>2</v>
      </c>
      <c r="N13" s="36">
        <f>IF(tblSteps[[#This Row],[No.]]="","",IF(tblSteps[[#This Row],[Future type]]="External",N(tblSteps[[#This Row],[Future (min)]]),0))</f>
        <v>0</v>
      </c>
      <c r="O13" s="36">
        <f>IF(tblSteps[[#This Row],[No.]]="","",tblSteps[[#This Row],[Current internal (min)]]-tblSteps[[#This Row],[Future internal (min)]])</f>
        <v>6</v>
      </c>
      <c r="P13"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3" s="35" t="s">
        <v>134</v>
      </c>
    </row>
    <row r="14" spans="1:17" x14ac:dyDescent="0.25">
      <c r="B14" s="29">
        <v>9</v>
      </c>
      <c r="C14" s="35" t="s">
        <v>138</v>
      </c>
      <c r="D14" s="28" t="s">
        <v>86</v>
      </c>
      <c r="E14" s="28" t="s">
        <v>121</v>
      </c>
      <c r="F14" s="28" t="s">
        <v>122</v>
      </c>
      <c r="G14" s="31">
        <v>5</v>
      </c>
      <c r="H14" s="28" t="s">
        <v>97</v>
      </c>
      <c r="I14" s="28" t="s">
        <v>122</v>
      </c>
      <c r="J14" s="31">
        <v>2</v>
      </c>
      <c r="K14" s="36">
        <f>IF(tblSteps[[#This Row],[No.]]="","",IF(tblSteps[[#This Row],[Current type]]="Internal",tblSteps[[#This Row],[Current (min)]],0))</f>
        <v>5</v>
      </c>
      <c r="L14" s="36">
        <f>IF(tblSteps[[#This Row],[No.]]="","",IF(tblSteps[[#This Row],[Current type]]="External",tblSteps[[#This Row],[Current (min)]],0))</f>
        <v>0</v>
      </c>
      <c r="M14" s="36">
        <f>IF(tblSteps[[#This Row],[No.]]="","",IF(tblSteps[[#This Row],[Future type]]="Internal",N(tblSteps[[#This Row],[Future (min)]]),0))</f>
        <v>2</v>
      </c>
      <c r="N14" s="36">
        <f>IF(tblSteps[[#This Row],[No.]]="","",IF(tblSteps[[#This Row],[Future type]]="External",N(tblSteps[[#This Row],[Future (min)]]),0))</f>
        <v>0</v>
      </c>
      <c r="O14" s="36">
        <f>IF(tblSteps[[#This Row],[No.]]="","",tblSteps[[#This Row],[Current internal (min)]]-tblSteps[[#This Row],[Future internal (min)]])</f>
        <v>3</v>
      </c>
      <c r="P14"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4" s="35" t="s">
        <v>130</v>
      </c>
    </row>
    <row r="15" spans="1:17" x14ac:dyDescent="0.25">
      <c r="B15" s="29">
        <v>10</v>
      </c>
      <c r="C15" s="35" t="s">
        <v>139</v>
      </c>
      <c r="D15" s="28" t="s">
        <v>88</v>
      </c>
      <c r="E15" s="28" t="s">
        <v>121</v>
      </c>
      <c r="F15" s="28" t="s">
        <v>122</v>
      </c>
      <c r="G15" s="31">
        <v>10</v>
      </c>
      <c r="H15" s="28" t="s">
        <v>97</v>
      </c>
      <c r="I15" s="28" t="s">
        <v>122</v>
      </c>
      <c r="J15" s="31">
        <v>3</v>
      </c>
      <c r="K15" s="36">
        <f>IF(tblSteps[[#This Row],[No.]]="","",IF(tblSteps[[#This Row],[Current type]]="Internal",tblSteps[[#This Row],[Current (min)]],0))</f>
        <v>10</v>
      </c>
      <c r="L15" s="36">
        <f>IF(tblSteps[[#This Row],[No.]]="","",IF(tblSteps[[#This Row],[Current type]]="External",tblSteps[[#This Row],[Current (min)]],0))</f>
        <v>0</v>
      </c>
      <c r="M15" s="36">
        <f>IF(tblSteps[[#This Row],[No.]]="","",IF(tblSteps[[#This Row],[Future type]]="Internal",N(tblSteps[[#This Row],[Future (min)]]),0))</f>
        <v>3</v>
      </c>
      <c r="N15" s="36">
        <f>IF(tblSteps[[#This Row],[No.]]="","",IF(tblSteps[[#This Row],[Future type]]="External",N(tblSteps[[#This Row],[Future (min)]]),0))</f>
        <v>0</v>
      </c>
      <c r="O15" s="36">
        <f>IF(tblSteps[[#This Row],[No.]]="","",tblSteps[[#This Row],[Current internal (min)]]-tblSteps[[#This Row],[Future internal (min)]])</f>
        <v>7</v>
      </c>
      <c r="P15"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5" s="35" t="s">
        <v>140</v>
      </c>
    </row>
    <row r="16" spans="1:17" x14ac:dyDescent="0.25">
      <c r="B16" s="29">
        <v>11</v>
      </c>
      <c r="C16" s="35" t="s">
        <v>141</v>
      </c>
      <c r="D16" s="28" t="s">
        <v>88</v>
      </c>
      <c r="E16" s="28" t="s">
        <v>121</v>
      </c>
      <c r="F16" s="28" t="s">
        <v>122</v>
      </c>
      <c r="G16" s="31">
        <v>18</v>
      </c>
      <c r="H16" s="28" t="s">
        <v>95</v>
      </c>
      <c r="I16" s="28" t="s">
        <v>123</v>
      </c>
      <c r="J16" s="31">
        <v>18</v>
      </c>
      <c r="K16" s="36">
        <f>IF(tblSteps[[#This Row],[No.]]="","",IF(tblSteps[[#This Row],[Current type]]="Internal",tblSteps[[#This Row],[Current (min)]],0))</f>
        <v>18</v>
      </c>
      <c r="L16" s="36">
        <f>IF(tblSteps[[#This Row],[No.]]="","",IF(tblSteps[[#This Row],[Current type]]="External",tblSteps[[#This Row],[Current (min)]],0))</f>
        <v>0</v>
      </c>
      <c r="M16" s="36">
        <f>IF(tblSteps[[#This Row],[No.]]="","",IF(tblSteps[[#This Row],[Future type]]="Internal",N(tblSteps[[#This Row],[Future (min)]]),0))</f>
        <v>0</v>
      </c>
      <c r="N16" s="36">
        <f>IF(tblSteps[[#This Row],[No.]]="","",IF(tblSteps[[#This Row],[Future type]]="External",N(tblSteps[[#This Row],[Future (min)]]),0))</f>
        <v>18</v>
      </c>
      <c r="O16" s="36">
        <f>IF(tblSteps[[#This Row],[No.]]="","",tblSteps[[#This Row],[Current internal (min)]]-tblSteps[[#This Row],[Future internal (min)]])</f>
        <v>18</v>
      </c>
      <c r="P16"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6" s="35" t="s">
        <v>142</v>
      </c>
    </row>
    <row r="17" spans="2:17" x14ac:dyDescent="0.25">
      <c r="B17" s="29">
        <v>12</v>
      </c>
      <c r="C17" s="35" t="s">
        <v>143</v>
      </c>
      <c r="D17" s="28" t="s">
        <v>90</v>
      </c>
      <c r="E17" s="28" t="s">
        <v>121</v>
      </c>
      <c r="F17" s="28" t="s">
        <v>122</v>
      </c>
      <c r="G17" s="31">
        <v>25</v>
      </c>
      <c r="H17" s="28" t="s">
        <v>97</v>
      </c>
      <c r="I17" s="28" t="s">
        <v>122</v>
      </c>
      <c r="J17" s="31">
        <v>10</v>
      </c>
      <c r="K17" s="36">
        <f>IF(tblSteps[[#This Row],[No.]]="","",IF(tblSteps[[#This Row],[Current type]]="Internal",tblSteps[[#This Row],[Current (min)]],0))</f>
        <v>25</v>
      </c>
      <c r="L17" s="36">
        <f>IF(tblSteps[[#This Row],[No.]]="","",IF(tblSteps[[#This Row],[Current type]]="External",tblSteps[[#This Row],[Current (min)]],0))</f>
        <v>0</v>
      </c>
      <c r="M17" s="36">
        <f>IF(tblSteps[[#This Row],[No.]]="","",IF(tblSteps[[#This Row],[Future type]]="Internal",N(tblSteps[[#This Row],[Future (min)]]),0))</f>
        <v>10</v>
      </c>
      <c r="N17" s="36">
        <f>IF(tblSteps[[#This Row],[No.]]="","",IF(tblSteps[[#This Row],[Future type]]="External",N(tblSteps[[#This Row],[Future (min)]]),0))</f>
        <v>0</v>
      </c>
      <c r="O17" s="36">
        <f>IF(tblSteps[[#This Row],[No.]]="","",tblSteps[[#This Row],[Current internal (min)]]-tblSteps[[#This Row],[Future internal (min)]])</f>
        <v>15</v>
      </c>
      <c r="P17"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7" s="35" t="s">
        <v>144</v>
      </c>
    </row>
    <row r="18" spans="2:17" x14ac:dyDescent="0.25">
      <c r="B18" s="29">
        <v>13</v>
      </c>
      <c r="C18" s="35" t="s">
        <v>145</v>
      </c>
      <c r="D18" s="28" t="s">
        <v>90</v>
      </c>
      <c r="E18" s="28" t="s">
        <v>146</v>
      </c>
      <c r="F18" s="28" t="s">
        <v>122</v>
      </c>
      <c r="G18" s="31">
        <v>12</v>
      </c>
      <c r="H18" s="28" t="s">
        <v>101</v>
      </c>
      <c r="I18" s="28" t="s">
        <v>122</v>
      </c>
      <c r="J18" s="31">
        <v>4</v>
      </c>
      <c r="K18" s="36">
        <f>IF(tblSteps[[#This Row],[No.]]="","",IF(tblSteps[[#This Row],[Current type]]="Internal",tblSteps[[#This Row],[Current (min)]],0))</f>
        <v>12</v>
      </c>
      <c r="L18" s="36">
        <f>IF(tblSteps[[#This Row],[No.]]="","",IF(tblSteps[[#This Row],[Current type]]="External",tblSteps[[#This Row],[Current (min)]],0))</f>
        <v>0</v>
      </c>
      <c r="M18" s="36">
        <f>IF(tblSteps[[#This Row],[No.]]="","",IF(tblSteps[[#This Row],[Future type]]="Internal",N(tblSteps[[#This Row],[Future (min)]]),0))</f>
        <v>4</v>
      </c>
      <c r="N18" s="36">
        <f>IF(tblSteps[[#This Row],[No.]]="","",IF(tblSteps[[#This Row],[Future type]]="External",N(tblSteps[[#This Row],[Future (min)]]),0))</f>
        <v>0</v>
      </c>
      <c r="O18" s="36">
        <f>IF(tblSteps[[#This Row],[No.]]="","",tblSteps[[#This Row],[Current internal (min)]]-tblSteps[[#This Row],[Future internal (min)]])</f>
        <v>8</v>
      </c>
      <c r="P18"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8" s="35" t="s">
        <v>147</v>
      </c>
    </row>
    <row r="19" spans="2:17" x14ac:dyDescent="0.25">
      <c r="B19" s="29">
        <v>14</v>
      </c>
      <c r="C19" s="35" t="s">
        <v>148</v>
      </c>
      <c r="D19" s="28" t="s">
        <v>84</v>
      </c>
      <c r="E19" s="28" t="s">
        <v>149</v>
      </c>
      <c r="F19" s="28" t="s">
        <v>122</v>
      </c>
      <c r="G19" s="31">
        <v>4</v>
      </c>
      <c r="H19" s="28" t="s">
        <v>95</v>
      </c>
      <c r="I19" s="28" t="s">
        <v>123</v>
      </c>
      <c r="J19" s="31">
        <v>4</v>
      </c>
      <c r="K19" s="36">
        <f>IF(tblSteps[[#This Row],[No.]]="","",IF(tblSteps[[#This Row],[Current type]]="Internal",tblSteps[[#This Row],[Current (min)]],0))</f>
        <v>4</v>
      </c>
      <c r="L19" s="36">
        <f>IF(tblSteps[[#This Row],[No.]]="","",IF(tblSteps[[#This Row],[Current type]]="External",tblSteps[[#This Row],[Current (min)]],0))</f>
        <v>0</v>
      </c>
      <c r="M19" s="36">
        <f>IF(tblSteps[[#This Row],[No.]]="","",IF(tblSteps[[#This Row],[Future type]]="Internal",N(tblSteps[[#This Row],[Future (min)]]),0))</f>
        <v>0</v>
      </c>
      <c r="N19" s="36">
        <f>IF(tblSteps[[#This Row],[No.]]="","",IF(tblSteps[[#This Row],[Future type]]="External",N(tblSteps[[#This Row],[Future (min)]]),0))</f>
        <v>4</v>
      </c>
      <c r="O19" s="36">
        <f>IF(tblSteps[[#This Row],[No.]]="","",tblSteps[[#This Row],[Current internal (min)]]-tblSteps[[#This Row],[Future internal (min)]])</f>
        <v>4</v>
      </c>
      <c r="P19"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19" s="35" t="s">
        <v>128</v>
      </c>
    </row>
    <row r="20" spans="2:17" x14ac:dyDescent="0.25">
      <c r="B20" s="29">
        <v>15</v>
      </c>
      <c r="C20" s="35" t="s">
        <v>150</v>
      </c>
      <c r="D20" s="28" t="s">
        <v>92</v>
      </c>
      <c r="E20" s="28" t="s">
        <v>121</v>
      </c>
      <c r="F20" s="28" t="s">
        <v>122</v>
      </c>
      <c r="G20" s="31">
        <v>6</v>
      </c>
      <c r="H20" s="28" t="s">
        <v>95</v>
      </c>
      <c r="I20" s="28" t="s">
        <v>123</v>
      </c>
      <c r="J20" s="31">
        <v>6</v>
      </c>
      <c r="K20" s="36">
        <f>IF(tblSteps[[#This Row],[No.]]="","",IF(tblSteps[[#This Row],[Current type]]="Internal",tblSteps[[#This Row],[Current (min)]],0))</f>
        <v>6</v>
      </c>
      <c r="L20" s="36">
        <f>IF(tblSteps[[#This Row],[No.]]="","",IF(tblSteps[[#This Row],[Current type]]="External",tblSteps[[#This Row],[Current (min)]],0))</f>
        <v>0</v>
      </c>
      <c r="M20" s="36">
        <f>IF(tblSteps[[#This Row],[No.]]="","",IF(tblSteps[[#This Row],[Future type]]="Internal",N(tblSteps[[#This Row],[Future (min)]]),0))</f>
        <v>0</v>
      </c>
      <c r="N20" s="36">
        <f>IF(tblSteps[[#This Row],[No.]]="","",IF(tblSteps[[#This Row],[Future type]]="External",N(tblSteps[[#This Row],[Future (min)]]),0))</f>
        <v>6</v>
      </c>
      <c r="O20" s="36">
        <f>IF(tblSteps[[#This Row],[No.]]="","",tblSteps[[#This Row],[Current internal (min)]]-tblSteps[[#This Row],[Future internal (min)]])</f>
        <v>6</v>
      </c>
      <c r="P20"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20" s="35" t="s">
        <v>128</v>
      </c>
    </row>
    <row r="21" spans="2:17" x14ac:dyDescent="0.25">
      <c r="B21" s="29">
        <v>16</v>
      </c>
      <c r="C21" s="35" t="s">
        <v>151</v>
      </c>
      <c r="D21" s="28" t="s">
        <v>92</v>
      </c>
      <c r="E21" s="28" t="s">
        <v>121</v>
      </c>
      <c r="F21" s="28" t="s">
        <v>122</v>
      </c>
      <c r="G21" s="31">
        <v>4</v>
      </c>
      <c r="H21" s="28" t="s">
        <v>95</v>
      </c>
      <c r="I21" s="28" t="s">
        <v>123</v>
      </c>
      <c r="J21" s="31">
        <v>4</v>
      </c>
      <c r="K21" s="36">
        <f>IF(tblSteps[[#This Row],[No.]]="","",IF(tblSteps[[#This Row],[Current type]]="Internal",tblSteps[[#This Row],[Current (min)]],0))</f>
        <v>4</v>
      </c>
      <c r="L21" s="36">
        <f>IF(tblSteps[[#This Row],[No.]]="","",IF(tblSteps[[#This Row],[Current type]]="External",tblSteps[[#This Row],[Current (min)]],0))</f>
        <v>0</v>
      </c>
      <c r="M21" s="36">
        <f>IF(tblSteps[[#This Row],[No.]]="","",IF(tblSteps[[#This Row],[Future type]]="Internal",N(tblSteps[[#This Row],[Future (min)]]),0))</f>
        <v>0</v>
      </c>
      <c r="N21" s="36">
        <f>IF(tblSteps[[#This Row],[No.]]="","",IF(tblSteps[[#This Row],[Future type]]="External",N(tblSteps[[#This Row],[Future (min)]]),0))</f>
        <v>4</v>
      </c>
      <c r="O21" s="36">
        <f>IF(tblSteps[[#This Row],[No.]]="","",tblSteps[[#This Row],[Current internal (min)]]-tblSteps[[#This Row],[Future internal (min)]])</f>
        <v>4</v>
      </c>
      <c r="P21" s="37" t="str">
        <f>IF(tblSteps[[#This Row],[No.]]="","",IF(tblSteps[[#This Row],[Step]]="","Missing step",IF(tblSteps[[#This Row],[Current type]]="","Missing current type",IF(tblSteps[[#This Row],[Current (min)]]="","Missing current",IF(tblSteps[[#This Row],[Action]]="","Missing action",IF(tblSteps[[#This Row],[Future type]]="","Missing future type",IF(COUNTIF(tblSteps[No.],tblSteps[[#This Row],[No.]])&gt;1,"Duplicate step number",IF(AND(tblSteps[[#This Row],[Action]]="Convert to external",tblSteps[[#This Row],[Future type]]="Internal"),"Converted step is still internal",IF(AND(tblSteps[[#This Row],[Action]]="Eliminate",tblSteps[[#This Row],[Future (min)]]&gt;0),"Eliminated step still has time",IF(AND(tblSteps[[#This Row],[Action]]="Keep as is",tblSteps[[#This Row],[Future (min)]]&lt;&gt;tblSteps[[#This Row],[Current (min)]]),"Kept step changed its time",IF(tblSteps[[#This Row],[Future (min)]]&gt;tblSteps[[#This Row],[Current (min)]],"Future step is longer","OK")))))))))))</f>
        <v>OK</v>
      </c>
      <c r="Q21" s="35" t="s">
        <v>128</v>
      </c>
    </row>
  </sheetData>
  <mergeCells count="3">
    <mergeCell ref="A1:Q1"/>
    <mergeCell ref="B2:P2"/>
    <mergeCell ref="B4:Q4"/>
  </mergeCells>
  <conditionalFormatting sqref="O6:O521">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P6:P521">
    <cfRule type="expression" dxfId="3" priority="2">
      <formula>$P6="OK"</formula>
    </cfRule>
    <cfRule type="expression" dxfId="1" priority="3">
      <formula>AND($P6&lt;&gt;"",$P6&lt;&gt;"OK")</formula>
    </cfRule>
  </conditionalFormatting>
  <dataValidations count="10">
    <dataValidation type="whole" allowBlank="1" showInputMessage="1" showErrorMessage="1" errorTitle="Check this entry" error="Enter a whole number from 1 to 999." promptTitle="No." prompt="Enter a whole number from 1 to 999." sqref="B6:B521">
      <formula1>1</formula1>
      <formula2>999</formula2>
    </dataValidation>
    <dataValidation type="textLength" allowBlank="1" showInputMessage="1" showErrorMessage="1" errorTitle="Check this entry" error="Text up to 80 characters." promptTitle="Step" prompt="What is done, from start to end of the step. Text up to 80 characters." sqref="C6:C521">
      <formula1>0</formula1>
      <formula2>80</formula2>
    </dataValidation>
    <dataValidation type="list" allowBlank="1" showInputMessage="1" showErrorMessage="1" errorTitle="Check this entry" error="Pick from the list (edit the list on Setup: Categories)." promptTitle="Category" prompt="Pick from the list (edit the list on Setup: Categories)." sqref="D6:D521">
      <formula1>Categories</formula1>
    </dataValidation>
    <dataValidation type="textLength" allowBlank="1" showInputMessage="1" showErrorMessage="1" errorTitle="Check this entry" error="Text up to 40 characters." promptTitle="Who" prompt="Text up to 40 characters." sqref="E6:E521">
      <formula1>0</formula1>
      <formula2>40</formula2>
    </dataValidation>
    <dataValidation type="list" allowBlank="1" showInputMessage="1" showErrorMessage="1" errorTitle="Check this entry" error="Pick one of: Internal, External." promptTitle="Current type" prompt="Internal = done while the machine is stopped; External = done while it is running. Pick one of: Internal, External." sqref="F6:F521">
      <formula1>"Internal,External"</formula1>
    </dataValidation>
    <dataValidation type="decimal" allowBlank="1" showInputMessage="1" showErrorMessage="1" errorTitle="Check this entry" error="Enter a number from 0 to 10,000." promptTitle="Current (min)" prompt="Minutes the step takes today (from the video or the stopwatch). Enter a number from 0 to 10,000." sqref="G6:G521">
      <formula1>0</formula1>
      <formula2>10000</formula2>
    </dataValidation>
    <dataValidation type="list" allowBlank="1" showInputMessage="1" showErrorMessage="1" errorTitle="Check this entry" error="Pick from the list (edit the list on Setup: Actions)." promptTitle="Action" prompt="Pick from the list (edit the list on Setup: Actions)." sqref="H6:H521">
      <formula1>Actions</formula1>
    </dataValidation>
    <dataValidation type="list" allowBlank="1" showInputMessage="1" showErrorMessage="1" errorTitle="Check this entry" error="Pick one of: Internal, External." promptTitle="Future type" prompt="Internal or External after the change. Pick one of: Internal, External." sqref="I6:I521">
      <formula1>"Internal,External"</formula1>
    </dataValidation>
    <dataValidation type="decimal" allowBlank="1" showInputMessage="1" showErrorMessage="1" errorTitle="Check this entry" error="Enter a number from 0 to 10,000." promptTitle="Future (min)" prompt="Minutes the step will take after the change; 0 for an eliminated step. Enter a number from 0 to 10,000." sqref="J6:J521">
      <formula1>0</formula1>
      <formula2>10000</formula2>
    </dataValidation>
    <dataValidation type="textLength" allowBlank="1" showInputMessage="1" showErrorMessage="1" errorTitle="Check this entry" error="Text up to 255 characters." promptTitle="Notes" prompt="Text up to 255 characters." sqref="Q6:Q521">
      <formula1>0</formula1>
      <formula2>255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SMED Changeover Analysis&amp;R&amp;8&amp;A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O6:O521</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J25"/>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2.7109375" customWidth="1"/>
    <col min="2" max="2" width="12.28515625" customWidth="1"/>
    <col min="3" max="5" width="14.7109375" customWidth="1"/>
    <col min="6" max="6" width="10.28515625" customWidth="1"/>
    <col min="7" max="7" width="12.7109375" customWidth="1"/>
    <col min="8" max="8" width="10.28515625" customWidth="1"/>
    <col min="9" max="9" width="22.7109375" customWidth="1"/>
    <col min="10" max="10" width="34.7109375" customWidth="1"/>
  </cols>
  <sheetData>
    <row r="1" spans="1:10" ht="30" customHeight="1">
      <c r="A1" s="1" t="s">
        <v>0</v>
      </c>
      <c r="B1" s="1"/>
      <c r="C1" s="1"/>
      <c r="D1" s="1"/>
      <c r="E1" s="1"/>
      <c r="F1" s="1"/>
      <c r="G1" s="1"/>
      <c r="H1" s="1"/>
      <c r="I1" s="1"/>
      <c r="J1" s="1"/>
    </row>
    <row r="2" spans="1:10" ht="21" customHeight="1">
      <c r="B2" s="2" t="s">
        <v>24</v>
      </c>
      <c r="C2" s="2"/>
      <c r="D2" s="2"/>
      <c r="E2" s="2"/>
      <c r="F2" s="2"/>
      <c r="G2" s="2"/>
      <c r="H2" s="2"/>
      <c r="I2" s="2"/>
      <c r="J2" s="3" t="s">
        <v>2</v>
      </c>
    </row>
    <row r="3" spans="1:10" ht="6" customHeight="1"/>
    <row r="4" spans="1:10" ht="29.76" customHeight="1">
      <c r="B4" s="34" t="s">
        <v>158</v>
      </c>
      <c r="C4" s="34"/>
      <c r="D4" s="34"/>
      <c r="E4" s="34"/>
      <c r="F4" s="34"/>
      <c r="G4" s="34"/>
      <c r="H4" s="34"/>
      <c r="I4" s="34"/>
      <c r="J4" s="34"/>
    </row>
    <row r="5" spans="1:10" ht="32" customHeight="1">
      <c r="B5" s="33" t="s">
        <v>152</v>
      </c>
      <c r="C5" s="33" t="s">
        <v>153</v>
      </c>
      <c r="D5" s="33" t="s">
        <v>154</v>
      </c>
      <c r="E5" s="33" t="s">
        <v>121</v>
      </c>
      <c r="F5" s="33" t="s">
        <v>155</v>
      </c>
      <c r="G5" s="33" t="s">
        <v>156</v>
      </c>
      <c r="H5" s="33" t="s">
        <v>157</v>
      </c>
      <c r="I5" s="33" t="s">
        <v>117</v>
      </c>
      <c r="J5" s="33" t="s">
        <v>118</v>
      </c>
    </row>
    <row r="6" spans="1:10">
      <c r="B6" s="38">
        <v>46300</v>
      </c>
      <c r="C6" s="28" t="s">
        <v>159</v>
      </c>
      <c r="D6" s="28" t="s">
        <v>160</v>
      </c>
      <c r="E6" s="28" t="s">
        <v>161</v>
      </c>
      <c r="F6" s="29">
        <v>54</v>
      </c>
      <c r="G6" s="39" t="str">
        <f>IF(NOT(ISNUMBER(tblChanges[[#This Row],[Duration (min)]])),"",IF(tblChanges[[#This Row],[Duration (min)]]&lt;=TargetMin,"On target",IF(tblChanges[[#This Row],[Duration (min)]]&lt;=TargetMin*(1+0.1),"Near target","Above target")))</f>
        <v>Above target</v>
      </c>
      <c r="H6" s="40">
        <f>IF(tblChanges[[#This Row],[Date]]="","",MAX(0,tblChanges[[#This Row],[Duration (min)]]-TargetMin))</f>
        <v>24</v>
      </c>
      <c r="I6" s="37" t="str">
        <f>IF(tblChanges[[#This Row],[Date]]="","",IF(tblChanges[[#This Row],[Duration (min)]]="","Missing duration",IF(tblChanges[[#This Row],[From]]=tblChanges[[#This Row],[To]],"From and To are the same","OK")))</f>
        <v>OK</v>
      </c>
      <c r="J6" s="35" t="s">
        <v>128</v>
      </c>
    </row>
    <row r="7" spans="1:10">
      <c r="B7" s="38">
        <v>46301</v>
      </c>
      <c r="C7" s="28" t="s">
        <v>162</v>
      </c>
      <c r="D7" s="28" t="s">
        <v>160</v>
      </c>
      <c r="E7" s="28" t="s">
        <v>163</v>
      </c>
      <c r="F7" s="29">
        <v>54</v>
      </c>
      <c r="G7" s="39" t="str">
        <f>IF(NOT(ISNUMBER(tblChanges[[#This Row],[Duration (min)]])),"",IF(tblChanges[[#This Row],[Duration (min)]]&lt;=TargetMin,"On target",IF(tblChanges[[#This Row],[Duration (min)]]&lt;=TargetMin*(1+0.1),"Near target","Above target")))</f>
        <v>Above target</v>
      </c>
      <c r="H7" s="40">
        <f>IF(tblChanges[[#This Row],[Date]]="","",MAX(0,tblChanges[[#This Row],[Duration (min)]]-TargetMin))</f>
        <v>24</v>
      </c>
      <c r="I7" s="37" t="str">
        <f>IF(tblChanges[[#This Row],[Date]]="","",IF(tblChanges[[#This Row],[Duration (min)]]="","Missing duration",IF(tblChanges[[#This Row],[From]]=tblChanges[[#This Row],[To]],"From and To are the same","OK")))</f>
        <v>OK</v>
      </c>
      <c r="J7" s="35" t="s">
        <v>164</v>
      </c>
    </row>
    <row r="8" spans="1:10">
      <c r="B8" s="38">
        <v>46302</v>
      </c>
      <c r="C8" s="28" t="s">
        <v>162</v>
      </c>
      <c r="D8" s="28" t="s">
        <v>165</v>
      </c>
      <c r="E8" s="28" t="s">
        <v>166</v>
      </c>
      <c r="F8" s="29">
        <v>54</v>
      </c>
      <c r="G8" s="39" t="str">
        <f>IF(NOT(ISNUMBER(tblChanges[[#This Row],[Duration (min)]])),"",IF(tblChanges[[#This Row],[Duration (min)]]&lt;=TargetMin,"On target",IF(tblChanges[[#This Row],[Duration (min)]]&lt;=TargetMin*(1+0.1),"Near target","Above target")))</f>
        <v>Above target</v>
      </c>
      <c r="H8" s="40">
        <f>IF(tblChanges[[#This Row],[Date]]="","",MAX(0,tblChanges[[#This Row],[Duration (min)]]-TargetMin))</f>
        <v>24</v>
      </c>
      <c r="I8" s="37" t="str">
        <f>IF(tblChanges[[#This Row],[Date]]="","",IF(tblChanges[[#This Row],[Duration (min)]]="","Missing duration",IF(tblChanges[[#This Row],[From]]=tblChanges[[#This Row],[To]],"From and To are the same","OK")))</f>
        <v>OK</v>
      </c>
      <c r="J8" s="35" t="s">
        <v>128</v>
      </c>
    </row>
    <row r="9" spans="1:10">
      <c r="B9" s="38">
        <v>46303</v>
      </c>
      <c r="C9" s="28" t="s">
        <v>167</v>
      </c>
      <c r="D9" s="28" t="s">
        <v>162</v>
      </c>
      <c r="E9" s="28" t="s">
        <v>161</v>
      </c>
      <c r="F9" s="29">
        <v>50</v>
      </c>
      <c r="G9" s="39" t="str">
        <f>IF(NOT(ISNUMBER(tblChanges[[#This Row],[Duration (min)]])),"",IF(tblChanges[[#This Row],[Duration (min)]]&lt;=TargetMin,"On target",IF(tblChanges[[#This Row],[Duration (min)]]&lt;=TargetMin*(1+0.1),"Near target","Above target")))</f>
        <v>Above target</v>
      </c>
      <c r="H9" s="40">
        <f>IF(tblChanges[[#This Row],[Date]]="","",MAX(0,tblChanges[[#This Row],[Duration (min)]]-TargetMin))</f>
        <v>20</v>
      </c>
      <c r="I9" s="37" t="str">
        <f>IF(tblChanges[[#This Row],[Date]]="","",IF(tblChanges[[#This Row],[Duration (min)]]="","Missing duration",IF(tblChanges[[#This Row],[From]]=tblChanges[[#This Row],[To]],"From and To are the same","OK")))</f>
        <v>OK</v>
      </c>
      <c r="J9" s="35" t="s">
        <v>128</v>
      </c>
    </row>
    <row r="10" spans="1:10">
      <c r="B10" s="38">
        <v>46304</v>
      </c>
      <c r="C10" s="28" t="s">
        <v>159</v>
      </c>
      <c r="D10" s="28" t="s">
        <v>160</v>
      </c>
      <c r="E10" s="28" t="s">
        <v>163</v>
      </c>
      <c r="F10" s="29">
        <v>38</v>
      </c>
      <c r="G10" s="39" t="str">
        <f>IF(NOT(ISNUMBER(tblChanges[[#This Row],[Duration (min)]])),"",IF(tblChanges[[#This Row],[Duration (min)]]&lt;=TargetMin,"On target",IF(tblChanges[[#This Row],[Duration (min)]]&lt;=TargetMin*(1+0.1),"Near target","Above target")))</f>
        <v>Above target</v>
      </c>
      <c r="H10" s="40">
        <f>IF(tblChanges[[#This Row],[Date]]="","",MAX(0,tblChanges[[#This Row],[Duration (min)]]-TargetMin))</f>
        <v>8</v>
      </c>
      <c r="I10" s="37" t="str">
        <f>IF(tblChanges[[#This Row],[Date]]="","",IF(tblChanges[[#This Row],[Duration (min)]]="","Missing duration",IF(tblChanges[[#This Row],[From]]=tblChanges[[#This Row],[To]],"From and To are the same","OK")))</f>
        <v>OK</v>
      </c>
      <c r="J10" s="35" t="s">
        <v>128</v>
      </c>
    </row>
    <row r="11" spans="1:10">
      <c r="B11" s="38">
        <v>46307</v>
      </c>
      <c r="C11" s="28" t="s">
        <v>159</v>
      </c>
      <c r="D11" s="28" t="s">
        <v>165</v>
      </c>
      <c r="E11" s="28" t="s">
        <v>166</v>
      </c>
      <c r="F11" s="29">
        <v>38</v>
      </c>
      <c r="G11" s="39" t="str">
        <f>IF(NOT(ISNUMBER(tblChanges[[#This Row],[Duration (min)]])),"",IF(tblChanges[[#This Row],[Duration (min)]]&lt;=TargetMin,"On target",IF(tblChanges[[#This Row],[Duration (min)]]&lt;=TargetMin*(1+0.1),"Near target","Above target")))</f>
        <v>Above target</v>
      </c>
      <c r="H11" s="40">
        <f>IF(tblChanges[[#This Row],[Date]]="","",MAX(0,tblChanges[[#This Row],[Duration (min)]]-TargetMin))</f>
        <v>8</v>
      </c>
      <c r="I11" s="37" t="str">
        <f>IF(tblChanges[[#This Row],[Date]]="","",IF(tblChanges[[#This Row],[Duration (min)]]="","Missing duration",IF(tblChanges[[#This Row],[From]]=tblChanges[[#This Row],[To]],"From and To are the same","OK")))</f>
        <v>OK</v>
      </c>
      <c r="J11" s="35" t="s">
        <v>128</v>
      </c>
    </row>
    <row r="12" spans="1:10">
      <c r="B12" s="38">
        <v>46308</v>
      </c>
      <c r="C12" s="28" t="s">
        <v>165</v>
      </c>
      <c r="D12" s="28" t="s">
        <v>162</v>
      </c>
      <c r="E12" s="28" t="s">
        <v>161</v>
      </c>
      <c r="F12" s="29">
        <v>37</v>
      </c>
      <c r="G12" s="39" t="str">
        <f>IF(NOT(ISNUMBER(tblChanges[[#This Row],[Duration (min)]])),"",IF(tblChanges[[#This Row],[Duration (min)]]&lt;=TargetMin,"On target",IF(tblChanges[[#This Row],[Duration (min)]]&lt;=TargetMin*(1+0.1),"Near target","Above target")))</f>
        <v>Above target</v>
      </c>
      <c r="H12" s="40">
        <f>IF(tblChanges[[#This Row],[Date]]="","",MAX(0,tblChanges[[#This Row],[Duration (min)]]-TargetMin))</f>
        <v>7</v>
      </c>
      <c r="I12" s="37" t="str">
        <f>IF(tblChanges[[#This Row],[Date]]="","",IF(tblChanges[[#This Row],[Duration (min)]]="","Missing duration",IF(tblChanges[[#This Row],[From]]=tblChanges[[#This Row],[To]],"From and To are the same","OK")))</f>
        <v>OK</v>
      </c>
      <c r="J12" s="35" t="s">
        <v>168</v>
      </c>
    </row>
    <row r="13" spans="1:10">
      <c r="B13" s="38">
        <v>46309</v>
      </c>
      <c r="C13" s="28" t="s">
        <v>159</v>
      </c>
      <c r="D13" s="28" t="s">
        <v>160</v>
      </c>
      <c r="E13" s="28" t="s">
        <v>163</v>
      </c>
      <c r="F13" s="29">
        <v>39</v>
      </c>
      <c r="G13" s="39" t="str">
        <f>IF(NOT(ISNUMBER(tblChanges[[#This Row],[Duration (min)]])),"",IF(tblChanges[[#This Row],[Duration (min)]]&lt;=TargetMin,"On target",IF(tblChanges[[#This Row],[Duration (min)]]&lt;=TargetMin*(1+0.1),"Near target","Above target")))</f>
        <v>Above target</v>
      </c>
      <c r="H13" s="40">
        <f>IF(tblChanges[[#This Row],[Date]]="","",MAX(0,tblChanges[[#This Row],[Duration (min)]]-TargetMin))</f>
        <v>9</v>
      </c>
      <c r="I13" s="37" t="str">
        <f>IF(tblChanges[[#This Row],[Date]]="","",IF(tblChanges[[#This Row],[Duration (min)]]="","Missing duration",IF(tblChanges[[#This Row],[From]]=tblChanges[[#This Row],[To]],"From and To are the same","OK")))</f>
        <v>OK</v>
      </c>
      <c r="J13" s="35" t="s">
        <v>128</v>
      </c>
    </row>
    <row r="14" spans="1:10">
      <c r="B14" s="38">
        <v>46310</v>
      </c>
      <c r="C14" s="28" t="s">
        <v>159</v>
      </c>
      <c r="D14" s="28" t="s">
        <v>165</v>
      </c>
      <c r="E14" s="28" t="s">
        <v>166</v>
      </c>
      <c r="F14" s="29">
        <v>36</v>
      </c>
      <c r="G14" s="39" t="str">
        <f>IF(NOT(ISNUMBER(tblChanges[[#This Row],[Duration (min)]])),"",IF(tblChanges[[#This Row],[Duration (min)]]&lt;=TargetMin,"On target",IF(tblChanges[[#This Row],[Duration (min)]]&lt;=TargetMin*(1+0.1),"Near target","Above target")))</f>
        <v>Above target</v>
      </c>
      <c r="H14" s="40">
        <f>IF(tblChanges[[#This Row],[Date]]="","",MAX(0,tblChanges[[#This Row],[Duration (min)]]-TargetMin))</f>
        <v>6</v>
      </c>
      <c r="I14" s="37" t="str">
        <f>IF(tblChanges[[#This Row],[Date]]="","",IF(tblChanges[[#This Row],[Duration (min)]]="","Missing duration",IF(tblChanges[[#This Row],[From]]=tblChanges[[#This Row],[To]],"From and To are the same","OK")))</f>
        <v>OK</v>
      </c>
      <c r="J14" s="35" t="s">
        <v>128</v>
      </c>
    </row>
    <row r="15" spans="1:10">
      <c r="B15" s="38">
        <v>46311</v>
      </c>
      <c r="C15" s="28" t="s">
        <v>165</v>
      </c>
      <c r="D15" s="28" t="s">
        <v>167</v>
      </c>
      <c r="E15" s="28" t="s">
        <v>161</v>
      </c>
      <c r="F15" s="29">
        <v>23</v>
      </c>
      <c r="G15" s="39" t="str">
        <f>IF(NOT(ISNUMBER(tblChanges[[#This Row],[Duration (min)]])),"",IF(tblChanges[[#This Row],[Duration (min)]]&lt;=TargetMin,"On target",IF(tblChanges[[#This Row],[Duration (min)]]&lt;=TargetMin*(1+0.1),"Near target","Above target")))</f>
        <v>On target</v>
      </c>
      <c r="H15" s="40">
        <f>IF(tblChanges[[#This Row],[Date]]="","",MAX(0,tblChanges[[#This Row],[Duration (min)]]-TargetMin))</f>
        <v>0</v>
      </c>
      <c r="I15" s="37" t="str">
        <f>IF(tblChanges[[#This Row],[Date]]="","",IF(tblChanges[[#This Row],[Duration (min)]]="","Missing duration",IF(tblChanges[[#This Row],[From]]=tblChanges[[#This Row],[To]],"From and To are the same","OK")))</f>
        <v>OK</v>
      </c>
      <c r="J15" s="35" t="s">
        <v>128</v>
      </c>
    </row>
    <row r="16" spans="1:10">
      <c r="B16" s="38">
        <v>46314</v>
      </c>
      <c r="C16" s="28" t="s">
        <v>159</v>
      </c>
      <c r="D16" s="28" t="s">
        <v>167</v>
      </c>
      <c r="E16" s="28" t="s">
        <v>163</v>
      </c>
      <c r="F16" s="29">
        <v>33</v>
      </c>
      <c r="G16" s="39" t="str">
        <f>IF(NOT(ISNUMBER(tblChanges[[#This Row],[Duration (min)]])),"",IF(tblChanges[[#This Row],[Duration (min)]]&lt;=TargetMin,"On target",IF(tblChanges[[#This Row],[Duration (min)]]&lt;=TargetMin*(1+0.1),"Near target","Above target")))</f>
        <v>Near target</v>
      </c>
      <c r="H16" s="40">
        <f>IF(tblChanges[[#This Row],[Date]]="","",MAX(0,tblChanges[[#This Row],[Duration (min)]]-TargetMin))</f>
        <v>3</v>
      </c>
      <c r="I16" s="37" t="str">
        <f>IF(tblChanges[[#This Row],[Date]]="","",IF(tblChanges[[#This Row],[Duration (min)]]="","Missing duration",IF(tblChanges[[#This Row],[From]]=tblChanges[[#This Row],[To]],"From and To are the same","OK")))</f>
        <v>OK</v>
      </c>
      <c r="J16" s="35" t="s">
        <v>128</v>
      </c>
    </row>
    <row r="17" spans="2:10">
      <c r="B17" s="38">
        <v>46315</v>
      </c>
      <c r="C17" s="28" t="s">
        <v>162</v>
      </c>
      <c r="D17" s="28" t="s">
        <v>159</v>
      </c>
      <c r="E17" s="28" t="s">
        <v>166</v>
      </c>
      <c r="F17" s="29">
        <v>38</v>
      </c>
      <c r="G17" s="39" t="str">
        <f>IF(NOT(ISNUMBER(tblChanges[[#This Row],[Duration (min)]])),"",IF(tblChanges[[#This Row],[Duration (min)]]&lt;=TargetMin,"On target",IF(tblChanges[[#This Row],[Duration (min)]]&lt;=TargetMin*(1+0.1),"Near target","Above target")))</f>
        <v>Above target</v>
      </c>
      <c r="H17" s="40">
        <f>IF(tblChanges[[#This Row],[Date]]="","",MAX(0,tblChanges[[#This Row],[Duration (min)]]-TargetMin))</f>
        <v>8</v>
      </c>
      <c r="I17" s="37" t="str">
        <f>IF(tblChanges[[#This Row],[Date]]="","",IF(tblChanges[[#This Row],[Duration (min)]]="","Missing duration",IF(tblChanges[[#This Row],[From]]=tblChanges[[#This Row],[To]],"From and To are the same","OK")))</f>
        <v>OK</v>
      </c>
      <c r="J17" s="35" t="s">
        <v>128</v>
      </c>
    </row>
    <row r="18" spans="2:10">
      <c r="B18" s="38">
        <v>46316</v>
      </c>
      <c r="C18" s="28" t="s">
        <v>165</v>
      </c>
      <c r="D18" s="28" t="s">
        <v>159</v>
      </c>
      <c r="E18" s="28" t="s">
        <v>161</v>
      </c>
      <c r="F18" s="29">
        <v>28</v>
      </c>
      <c r="G18" s="39" t="str">
        <f>IF(NOT(ISNUMBER(tblChanges[[#This Row],[Duration (min)]])),"",IF(tblChanges[[#This Row],[Duration (min)]]&lt;=TargetMin,"On target",IF(tblChanges[[#This Row],[Duration (min)]]&lt;=TargetMin*(1+0.1),"Near target","Above target")))</f>
        <v>On target</v>
      </c>
      <c r="H18" s="40">
        <f>IF(tblChanges[[#This Row],[Date]]="","",MAX(0,tblChanges[[#This Row],[Duration (min)]]-TargetMin))</f>
        <v>0</v>
      </c>
      <c r="I18" s="37" t="str">
        <f>IF(tblChanges[[#This Row],[Date]]="","",IF(tblChanges[[#This Row],[Duration (min)]]="","Missing duration",IF(tblChanges[[#This Row],[From]]=tblChanges[[#This Row],[To]],"From and To are the same","OK")))</f>
        <v>OK</v>
      </c>
      <c r="J18" s="35" t="s">
        <v>128</v>
      </c>
    </row>
    <row r="19" spans="2:10">
      <c r="B19" s="38">
        <v>46317</v>
      </c>
      <c r="C19" s="28" t="s">
        <v>165</v>
      </c>
      <c r="D19" s="28" t="s">
        <v>160</v>
      </c>
      <c r="E19" s="28" t="s">
        <v>163</v>
      </c>
      <c r="F19" s="29">
        <v>34</v>
      </c>
      <c r="G19" s="39" t="str">
        <f>IF(NOT(ISNUMBER(tblChanges[[#This Row],[Duration (min)]])),"",IF(tblChanges[[#This Row],[Duration (min)]]&lt;=TargetMin,"On target",IF(tblChanges[[#This Row],[Duration (min)]]&lt;=TargetMin*(1+0.1),"Near target","Above target")))</f>
        <v>Above target</v>
      </c>
      <c r="H19" s="40">
        <f>IF(tblChanges[[#This Row],[Date]]="","",MAX(0,tblChanges[[#This Row],[Duration (min)]]-TargetMin))</f>
        <v>4</v>
      </c>
      <c r="I19" s="37" t="str">
        <f>IF(tblChanges[[#This Row],[Date]]="","",IF(tblChanges[[#This Row],[Duration (min)]]="","Missing duration",IF(tblChanges[[#This Row],[From]]=tblChanges[[#This Row],[To]],"From and To are the same","OK")))</f>
        <v>OK</v>
      </c>
      <c r="J19" s="35" t="s">
        <v>128</v>
      </c>
    </row>
    <row r="20" spans="2:10">
      <c r="B20" s="38">
        <v>46318</v>
      </c>
      <c r="C20" s="28" t="s">
        <v>160</v>
      </c>
      <c r="D20" s="28" t="s">
        <v>167</v>
      </c>
      <c r="E20" s="28" t="s">
        <v>166</v>
      </c>
      <c r="F20" s="29">
        <v>33</v>
      </c>
      <c r="G20" s="39" t="str">
        <f>IF(NOT(ISNUMBER(tblChanges[[#This Row],[Duration (min)]])),"",IF(tblChanges[[#This Row],[Duration (min)]]&lt;=TargetMin,"On target",IF(tblChanges[[#This Row],[Duration (min)]]&lt;=TargetMin*(1+0.1),"Near target","Above target")))</f>
        <v>Near target</v>
      </c>
      <c r="H20" s="40">
        <f>IF(tblChanges[[#This Row],[Date]]="","",MAX(0,tblChanges[[#This Row],[Duration (min)]]-TargetMin))</f>
        <v>3</v>
      </c>
      <c r="I20" s="37" t="str">
        <f>IF(tblChanges[[#This Row],[Date]]="","",IF(tblChanges[[#This Row],[Duration (min)]]="","Missing duration",IF(tblChanges[[#This Row],[From]]=tblChanges[[#This Row],[To]],"From and To are the same","OK")))</f>
        <v>OK</v>
      </c>
      <c r="J20" s="35" t="s">
        <v>128</v>
      </c>
    </row>
    <row r="21" spans="2:10">
      <c r="B21" s="38">
        <v>46321</v>
      </c>
      <c r="C21" s="28" t="s">
        <v>160</v>
      </c>
      <c r="D21" s="28" t="s">
        <v>162</v>
      </c>
      <c r="E21" s="28" t="s">
        <v>161</v>
      </c>
      <c r="F21" s="29">
        <v>32</v>
      </c>
      <c r="G21" s="39" t="str">
        <f>IF(NOT(ISNUMBER(tblChanges[[#This Row],[Duration (min)]])),"",IF(tblChanges[[#This Row],[Duration (min)]]&lt;=TargetMin,"On target",IF(tblChanges[[#This Row],[Duration (min)]]&lt;=TargetMin*(1+0.1),"Near target","Above target")))</f>
        <v>Near target</v>
      </c>
      <c r="H21" s="40">
        <f>IF(tblChanges[[#This Row],[Date]]="","",MAX(0,tblChanges[[#This Row],[Duration (min)]]-TargetMin))</f>
        <v>2</v>
      </c>
      <c r="I21" s="37" t="str">
        <f>IF(tblChanges[[#This Row],[Date]]="","",IF(tblChanges[[#This Row],[Duration (min)]]="","Missing duration",IF(tblChanges[[#This Row],[From]]=tblChanges[[#This Row],[To]],"From and To are the same","OK")))</f>
        <v>OK</v>
      </c>
      <c r="J21" s="35" t="s">
        <v>128</v>
      </c>
    </row>
    <row r="22" spans="2:10">
      <c r="B22" s="38">
        <v>46322</v>
      </c>
      <c r="C22" s="28" t="s">
        <v>160</v>
      </c>
      <c r="D22" s="28" t="s">
        <v>159</v>
      </c>
      <c r="E22" s="28" t="s">
        <v>163</v>
      </c>
      <c r="F22" s="29">
        <v>34</v>
      </c>
      <c r="G22" s="39" t="str">
        <f>IF(NOT(ISNUMBER(tblChanges[[#This Row],[Duration (min)]])),"",IF(tblChanges[[#This Row],[Duration (min)]]&lt;=TargetMin,"On target",IF(tblChanges[[#This Row],[Duration (min)]]&lt;=TargetMin*(1+0.1),"Near target","Above target")))</f>
        <v>Above target</v>
      </c>
      <c r="H22" s="40">
        <f>IF(tblChanges[[#This Row],[Date]]="","",MAX(0,tblChanges[[#This Row],[Duration (min)]]-TargetMin))</f>
        <v>4</v>
      </c>
      <c r="I22" s="37" t="str">
        <f>IF(tblChanges[[#This Row],[Date]]="","",IF(tblChanges[[#This Row],[Duration (min)]]="","Missing duration",IF(tblChanges[[#This Row],[From]]=tblChanges[[#This Row],[To]],"From and To are the same","OK")))</f>
        <v>OK</v>
      </c>
      <c r="J22" s="35" t="s">
        <v>128</v>
      </c>
    </row>
    <row r="23" spans="2:10">
      <c r="B23" s="38">
        <v>46323</v>
      </c>
      <c r="C23" s="28" t="s">
        <v>162</v>
      </c>
      <c r="D23" s="28" t="s">
        <v>167</v>
      </c>
      <c r="E23" s="28" t="s">
        <v>166</v>
      </c>
      <c r="F23" s="29">
        <v>29</v>
      </c>
      <c r="G23" s="39" t="str">
        <f>IF(NOT(ISNUMBER(tblChanges[[#This Row],[Duration (min)]])),"",IF(tblChanges[[#This Row],[Duration (min)]]&lt;=TargetMin,"On target",IF(tblChanges[[#This Row],[Duration (min)]]&lt;=TargetMin*(1+0.1),"Near target","Above target")))</f>
        <v>On target</v>
      </c>
      <c r="H23" s="40">
        <f>IF(tblChanges[[#This Row],[Date]]="","",MAX(0,tblChanges[[#This Row],[Duration (min)]]-TargetMin))</f>
        <v>0</v>
      </c>
      <c r="I23" s="37" t="str">
        <f>IF(tblChanges[[#This Row],[Date]]="","",IF(tblChanges[[#This Row],[Duration (min)]]="","Missing duration",IF(tblChanges[[#This Row],[From]]=tblChanges[[#This Row],[To]],"From and To are the same","OK")))</f>
        <v>OK</v>
      </c>
      <c r="J23" s="35" t="s">
        <v>128</v>
      </c>
    </row>
    <row r="24" spans="2:10">
      <c r="B24" s="38">
        <v>46324</v>
      </c>
      <c r="C24" s="28" t="s">
        <v>159</v>
      </c>
      <c r="D24" s="28" t="s">
        <v>160</v>
      </c>
      <c r="E24" s="28" t="s">
        <v>161</v>
      </c>
      <c r="F24" s="29">
        <v>33</v>
      </c>
      <c r="G24" s="39" t="str">
        <f>IF(NOT(ISNUMBER(tblChanges[[#This Row],[Duration (min)]])),"",IF(tblChanges[[#This Row],[Duration (min)]]&lt;=TargetMin,"On target",IF(tblChanges[[#This Row],[Duration (min)]]&lt;=TargetMin*(1+0.1),"Near target","Above target")))</f>
        <v>Near target</v>
      </c>
      <c r="H24" s="40">
        <f>IF(tblChanges[[#This Row],[Date]]="","",MAX(0,tblChanges[[#This Row],[Duration (min)]]-TargetMin))</f>
        <v>3</v>
      </c>
      <c r="I24" s="37" t="str">
        <f>IF(tblChanges[[#This Row],[Date]]="","",IF(tblChanges[[#This Row],[Duration (min)]]="","Missing duration",IF(tblChanges[[#This Row],[From]]=tblChanges[[#This Row],[To]],"From and To are the same","OK")))</f>
        <v>OK</v>
      </c>
      <c r="J24" s="35" t="s">
        <v>128</v>
      </c>
    </row>
    <row r="25" spans="2:10">
      <c r="B25" s="38">
        <v>46325</v>
      </c>
      <c r="C25" s="28" t="s">
        <v>162</v>
      </c>
      <c r="D25" s="28" t="s">
        <v>165</v>
      </c>
      <c r="E25" s="28" t="s">
        <v>163</v>
      </c>
      <c r="F25" s="29">
        <v>23</v>
      </c>
      <c r="G25" s="39" t="str">
        <f>IF(NOT(ISNUMBER(tblChanges[[#This Row],[Duration (min)]])),"",IF(tblChanges[[#This Row],[Duration (min)]]&lt;=TargetMin,"On target",IF(tblChanges[[#This Row],[Duration (min)]]&lt;=TargetMin*(1+0.1),"Near target","Above target")))</f>
        <v>On target</v>
      </c>
      <c r="H25" s="40">
        <f>IF(tblChanges[[#This Row],[Date]]="","",MAX(0,tblChanges[[#This Row],[Duration (min)]]-TargetMin))</f>
        <v>0</v>
      </c>
      <c r="I25" s="37" t="str">
        <f>IF(tblChanges[[#This Row],[Date]]="","",IF(tblChanges[[#This Row],[Duration (min)]]="","Missing duration",IF(tblChanges[[#This Row],[From]]=tblChanges[[#This Row],[To]],"From and To are the same","OK")))</f>
        <v>OK</v>
      </c>
      <c r="J25" s="35" t="s">
        <v>128</v>
      </c>
    </row>
  </sheetData>
  <mergeCells count="3">
    <mergeCell ref="A1:J1"/>
    <mergeCell ref="B2:I2"/>
    <mergeCell ref="B4:J4"/>
  </mergeCells>
  <conditionalFormatting sqref="G6:G52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I6:I525">
    <cfRule type="expression" dxfId="3" priority="21">
      <formula>$I6="OK"</formula>
    </cfRule>
    <cfRule type="expression" dxfId="1" priority="22">
      <formula>AND($I6&lt;&gt;"",$I6&lt;&gt;"OK")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6:B525">
      <formula1>36526</formula1>
      <formula2>73415</formula2>
    </dataValidation>
    <dataValidation type="textLength" allowBlank="1" showInputMessage="1" showErrorMessage="1" errorTitle="Check this entry" error="Text up to 60 characters." promptTitle="From" prompt="Product or tool before the changeover. Text up to 60 characters." sqref="C6:C525">
      <formula1>0</formula1>
      <formula2>60</formula2>
    </dataValidation>
    <dataValidation type="textLength" allowBlank="1" showInputMessage="1" showErrorMessage="1" errorTitle="Check this entry" error="Text up to 60 characters." promptTitle="To" prompt="Product or tool after the changeover. Text up to 60 characters." sqref="D6:D525">
      <formula1>0</formula1>
      <formula2>60</formula2>
    </dataValidation>
    <dataValidation type="textLength" allowBlank="1" showInputMessage="1" showErrorMessage="1" errorTitle="Check this entry" error="Text up to 60 characters." promptTitle="Setter" prompt="Text up to 60 characters." sqref="E6:E525">
      <formula1>0</formula1>
      <formula2>60</formula2>
    </dataValidation>
    <dataValidation type="decimal" allowBlank="1" showInputMessage="1" showErrorMessage="1" errorTitle="Check this entry" error="Enter a number from 0 to 10,000." promptTitle="Duration (min)" prompt="Last good part to first good part, in minutes. Enter a number from 0 to 10,000." sqref="F6:F525">
      <formula1>0</formula1>
      <formula2>10000</formula2>
    </dataValidation>
    <dataValidation type="textLength" allowBlank="1" showInputMessage="1" showErrorMessage="1" errorTitle="Check this entry" error="Text up to 255 characters." promptTitle="Notes" prompt="Text up to 255 characters." sqref="J6:J525">
      <formula1>0</formula1>
      <formula2>255</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SMED Changeover Analysis&amp;R&amp;8&amp;A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5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41" t="str">
        <f>MachineName&amp;": "&amp;COUNT(tblSteps[No.])&amp;" steps studied, "&amp;COUNT(tblChanges[Duration (min)])&amp;" changeovers logged since the change."</f>
        <v>Press 7, 250 t injection moulding machine (example): 16 steps studied, 20 changeovers logged since the change.</v>
      </c>
      <c r="C4" s="41"/>
      <c r="D4" s="41"/>
      <c r="E4" s="41"/>
      <c r="F4" s="41"/>
      <c r="G4" s="41"/>
      <c r="H4" s="41"/>
      <c r="I4" s="41"/>
      <c r="J4" s="41"/>
      <c r="K4" s="41"/>
      <c r="L4" s="41"/>
    </row>
    <row r="6" spans="1:12" ht="18" customHeight="1" x14ac:dyDescent="0.25">
      <c r="B6" s="42" t="s">
        <v>169</v>
      </c>
      <c r="C6" s="42"/>
      <c r="D6" s="42" t="s">
        <v>170</v>
      </c>
      <c r="E6" s="42"/>
      <c r="F6" s="42"/>
      <c r="G6" s="42" t="s">
        <v>171</v>
      </c>
      <c r="H6" s="42"/>
      <c r="I6" s="42"/>
      <c r="J6" s="42" t="str">
        <f>"SAVINGS PER YEAR ("&amp;Currency&amp;", EST.)"</f>
        <v>SAVINGS PER YEAR (USD, EST.)</v>
      </c>
      <c r="K6" s="42"/>
      <c r="L6" s="42"/>
    </row>
    <row r="7" spans="1:12" ht="21" customHeight="1" x14ac:dyDescent="0.25">
      <c r="B7" s="43">
        <f>IF(COUNT(tblSteps[Current (min)])=0,"",SUM(tblSteps[Current internal (min)]))</f>
        <v>149</v>
      </c>
      <c r="C7" s="43"/>
      <c r="D7" s="43">
        <f>IF(COUNT(tblSteps[Future (min)])=0,"",SUM(tblSteps[Future internal (min)]))</f>
        <v>35</v>
      </c>
      <c r="E7" s="43"/>
      <c r="F7" s="43"/>
      <c r="G7" s="44">
        <f>IF((SUM(tblSteps[Current internal (min)]))=0,"",(SUM(tblSteps[Current internal (min)])-SUM(tblSteps[Future internal (min)]))/(SUM(tblSteps[Current internal (min)])))</f>
        <v>0.76510067114094</v>
      </c>
      <c r="H7" s="44"/>
      <c r="I7" s="44"/>
      <c r="J7" s="43">
        <f>IF(COUNT(tblSteps[Current (min)])=0,"",(SUM(tblSteps[Current internal (min)])-SUM(tblSteps[Future internal (min)]))/60*CoPerWeek*WeeksPerYear*(LabourRate+MachineRate))</f>
        <v>120384</v>
      </c>
      <c r="K7" s="43"/>
      <c r="L7" s="43"/>
    </row>
    <row r="8" spans="1:12" ht="21" customHeight="1" x14ac:dyDescent="0.25">
      <c r="B8" s="43"/>
      <c r="C8" s="43"/>
      <c r="D8" s="43"/>
      <c r="E8" s="43"/>
      <c r="F8" s="43"/>
      <c r="G8" s="44"/>
      <c r="H8" s="44"/>
      <c r="I8" s="44"/>
      <c r="J8" s="43"/>
      <c r="K8" s="43"/>
      <c r="L8" s="43"/>
    </row>
    <row r="9" spans="1:12" x14ac:dyDescent="0.25">
      <c r="B9" s="45" t="s">
        <v>172</v>
      </c>
      <c r="C9" s="45"/>
      <c r="D9" s="46">
        <f>TargetMin</f>
        <v>30</v>
      </c>
      <c r="E9" s="46"/>
      <c r="F9" s="46"/>
      <c r="G9" s="45" t="s">
        <v>173</v>
      </c>
      <c r="H9" s="45"/>
      <c r="I9" s="45"/>
      <c r="J9" s="45" t="s">
        <v>174</v>
      </c>
      <c r="K9" s="45"/>
      <c r="L9" s="45"/>
    </row>
    <row r="10" spans="1:12" ht="18" customHeight="1" x14ac:dyDescent="0.25">
      <c r="B10" s="47"/>
      <c r="C10" s="47"/>
      <c r="D10" s="47" t="str">
        <f>IF(NOT(ISNUMBER(KpiFut)),"No data",IF(KpiFut&lt;=(TargetMin),"On target",IF(KpiFut&lt;=(TargetMin)*(1+0.1),"Near target","Above target")))</f>
        <v>Above target</v>
      </c>
      <c r="E10" s="47"/>
      <c r="F10" s="47"/>
      <c r="G10" s="47"/>
      <c r="H10" s="47"/>
      <c r="I10" s="47"/>
      <c r="J10" s="47"/>
      <c r="K10" s="47"/>
      <c r="L10" s="47"/>
    </row>
    <row r="28" spans="2:12" ht="18" customHeight="1" x14ac:dyDescent="0.25">
      <c r="B28" s="42" t="s">
        <v>175</v>
      </c>
      <c r="C28" s="42"/>
      <c r="D28" s="42" t="s">
        <v>176</v>
      </c>
      <c r="E28" s="42"/>
      <c r="F28" s="42"/>
      <c r="G28" s="42" t="s">
        <v>177</v>
      </c>
      <c r="H28" s="42"/>
      <c r="I28" s="42"/>
      <c r="J28" s="42" t="s">
        <v>178</v>
      </c>
      <c r="K28" s="42"/>
      <c r="L28" s="42"/>
    </row>
    <row r="29" spans="2:12" ht="21" customHeight="1" x14ac:dyDescent="0.25">
      <c r="B29" s="43">
        <f>IF(COUNT(tblSteps[Current (min)])=0,"",(SUM(tblSteps[Current internal (min)])-SUM(tblSteps[Future internal (min)]))/60*CoPerWeek*WeeksPerYear)</f>
        <v>729.6</v>
      </c>
      <c r="C29" s="43"/>
      <c r="D29" s="43">
        <f>IF(COUNT(tblSteps[Future (min)])=0,"",SUM(tblSteps[Future external (min)]))</f>
        <v>47</v>
      </c>
      <c r="E29" s="43"/>
      <c r="F29" s="43"/>
      <c r="G29" s="48">
        <f>IF(COUNT(tblChanges[Duration (min)])=0,"",AVERAGE(tblChanges[Duration (min)]))</f>
        <v>37</v>
      </c>
      <c r="H29" s="48"/>
      <c r="I29" s="48"/>
      <c r="J29" s="44">
        <f>IF((COUNT(tblChanges[Duration (min)]))=0,"",(COUNTIF(tblChanges[Status],"On target"))/(COUNT(tblChanges[Duration (min)])))</f>
        <v>0.2</v>
      </c>
      <c r="K29" s="44"/>
      <c r="L29" s="44"/>
    </row>
    <row r="30" spans="2:12" ht="21" customHeight="1" x14ac:dyDescent="0.25">
      <c r="B30" s="43"/>
      <c r="C30" s="43"/>
      <c r="D30" s="43"/>
      <c r="E30" s="43"/>
      <c r="F30" s="43"/>
      <c r="G30" s="48"/>
      <c r="H30" s="48"/>
      <c r="I30" s="48"/>
      <c r="J30" s="44"/>
      <c r="K30" s="44"/>
      <c r="L30" s="44"/>
    </row>
    <row r="31" spans="2:12" x14ac:dyDescent="0.25">
      <c r="B31" s="45" t="s">
        <v>179</v>
      </c>
      <c r="C31" s="45"/>
      <c r="D31" s="45" t="s">
        <v>180</v>
      </c>
      <c r="E31" s="45"/>
      <c r="F31" s="45"/>
      <c r="G31" s="49">
        <f>TargetMin</f>
        <v>30</v>
      </c>
      <c r="H31" s="49"/>
      <c r="I31" s="49"/>
      <c r="J31" s="45" t="s">
        <v>181</v>
      </c>
      <c r="K31" s="45"/>
      <c r="L31" s="45"/>
    </row>
    <row r="32" spans="2:12" ht="18" customHeight="1" x14ac:dyDescent="0.25">
      <c r="B32" s="47"/>
      <c r="C32" s="47"/>
      <c r="D32" s="47"/>
      <c r="E32" s="47"/>
      <c r="F32" s="47"/>
      <c r="G32" s="47" t="str">
        <f>IF(NOT(ISNUMBER(KpiLogAvg)),"No data",IF(KpiLogAvg&lt;=(TargetMin),"On target",IF(KpiLogAvg&lt;=(TargetMin)*(1+0.1),"Near target","Above target")))</f>
        <v>Above target</v>
      </c>
      <c r="H32" s="47"/>
      <c r="I32" s="47"/>
      <c r="J32" s="47"/>
      <c r="K32" s="47"/>
      <c r="L32" s="47"/>
    </row>
    <row r="34" spans="2:10" x14ac:dyDescent="0.25">
      <c r="B34" s="32" t="s">
        <v>182</v>
      </c>
      <c r="C34" s="32"/>
      <c r="D34" s="32"/>
      <c r="E34" s="32"/>
      <c r="F34" s="32"/>
      <c r="G34" s="32"/>
      <c r="H34" s="32"/>
      <c r="I34" s="32"/>
      <c r="J34" s="32"/>
    </row>
    <row r="35" spans="2:10" ht="45.5" customHeight="1" x14ac:dyDescent="0.25">
      <c r="B35" s="50" t="s">
        <v>64</v>
      </c>
      <c r="C35" s="33" t="s">
        <v>183</v>
      </c>
      <c r="D35" s="33" t="s">
        <v>184</v>
      </c>
      <c r="E35" s="33" t="s">
        <v>185</v>
      </c>
      <c r="F35" s="33" t="s">
        <v>186</v>
      </c>
      <c r="G35" s="33" t="s">
        <v>187</v>
      </c>
      <c r="H35" s="33" t="s">
        <v>116</v>
      </c>
      <c r="I35" s="33" t="s">
        <v>188</v>
      </c>
      <c r="J35" s="33"/>
    </row>
    <row r="36" spans="2:10" x14ac:dyDescent="0.25">
      <c r="B36" s="51" t="str">
        <f>IFERROR(INDEX(tblCategories[Category],1)&amp;"","")</f>
        <v>Preparation</v>
      </c>
      <c r="C36" s="40">
        <f>IF($B$36="","",COUNTIFS(tblSteps[Category],$B$36))</f>
        <v>3</v>
      </c>
      <c r="D36" s="36">
        <f>IF($B$36="","",SUMIFS(tblSteps[Current internal (min)],tblSteps[Category],$B$36))</f>
        <v>24</v>
      </c>
      <c r="E36" s="36">
        <f>IF($B$36="","",SUMIFS(tblSteps[Current external (min)],tblSteps[Category],$B$36))</f>
        <v>0</v>
      </c>
      <c r="F36" s="36">
        <f>IF($B$36="","",SUMIFS(tblSteps[Future internal (min)],tblSteps[Category],$B$36))</f>
        <v>0</v>
      </c>
      <c r="G36" s="36">
        <f>IF($B$36="","",SUMIFS(tblSteps[Future external (min)],tblSteps[Category],$B$36))</f>
        <v>19</v>
      </c>
      <c r="H36" s="36">
        <f>IF($B$36="","",SUMIFS(tblSteps[Stop time saved (min)],tblSteps[Category],$B$36))</f>
        <v>24</v>
      </c>
      <c r="I36" s="52">
        <f>IF($B$36="","",IF((SUM(tblSteps[Stop time saved (min)]))=0,"",($H$36)/(SUM(tblSteps[Stop time saved (min)]))))</f>
        <v>0.210526315789474</v>
      </c>
      <c r="J36" s="52"/>
    </row>
    <row r="37" spans="2:10" x14ac:dyDescent="0.25">
      <c r="B37" s="51" t="str">
        <f>IFERROR(INDEX(tblCategories[Category],2)&amp;"","")</f>
        <v>Remove and mount</v>
      </c>
      <c r="C37" s="40">
        <f>IF($B$37="","",COUNTIFS(tblSteps[Category],$B$37))</f>
        <v>6</v>
      </c>
      <c r="D37" s="36">
        <f>IF($B$37="","",SUMIFS(tblSteps[Current internal (min)],tblSteps[Category],$B$37))</f>
        <v>41</v>
      </c>
      <c r="E37" s="36">
        <f>IF($B$37="","",SUMIFS(tblSteps[Current external (min)],tblSteps[Category],$B$37))</f>
        <v>0</v>
      </c>
      <c r="F37" s="36">
        <f>IF($B$37="","",SUMIFS(tblSteps[Future internal (min)],tblSteps[Category],$B$37))</f>
        <v>14</v>
      </c>
      <c r="G37" s="36">
        <f>IF($B$37="","",SUMIFS(tblSteps[Future external (min)],tblSteps[Category],$B$37))</f>
        <v>0</v>
      </c>
      <c r="H37" s="36">
        <f>IF($B$37="","",SUMIFS(tblSteps[Stop time saved (min)],tblSteps[Category],$B$37))</f>
        <v>27</v>
      </c>
      <c r="I37" s="52">
        <f>IF($B$37="","",IF((SUM(tblSteps[Stop time saved (min)]))=0,"",($H$37)/(SUM(tblSteps[Stop time saved (min)]))))</f>
        <v>0.236842105263158</v>
      </c>
      <c r="J37" s="52"/>
    </row>
    <row r="38" spans="2:10" x14ac:dyDescent="0.25">
      <c r="B38" s="51" t="str">
        <f>IFERROR(INDEX(tblCategories[Category],3)&amp;"","")</f>
        <v>Set and adjust</v>
      </c>
      <c r="C38" s="40">
        <f>IF($B$38="","",COUNTIFS(tblSteps[Category],$B$38))</f>
        <v>3</v>
      </c>
      <c r="D38" s="36">
        <f>IF($B$38="","",SUMIFS(tblSteps[Current internal (min)],tblSteps[Category],$B$38))</f>
        <v>37</v>
      </c>
      <c r="E38" s="36">
        <f>IF($B$38="","",SUMIFS(tblSteps[Current external (min)],tblSteps[Category],$B$38))</f>
        <v>0</v>
      </c>
      <c r="F38" s="36">
        <f>IF($B$38="","",SUMIFS(tblSteps[Future internal (min)],tblSteps[Category],$B$38))</f>
        <v>7</v>
      </c>
      <c r="G38" s="36">
        <f>IF($B$38="","",SUMIFS(tblSteps[Future external (min)],tblSteps[Category],$B$38))</f>
        <v>18</v>
      </c>
      <c r="H38" s="36">
        <f>IF($B$38="","",SUMIFS(tblSteps[Stop time saved (min)],tblSteps[Category],$B$38))</f>
        <v>30</v>
      </c>
      <c r="I38" s="52">
        <f>IF($B$38="","",IF((SUM(tblSteps[Stop time saved (min)]))=0,"",($H$38)/(SUM(tblSteps[Stop time saved (min)]))))</f>
        <v>0.263157894736842</v>
      </c>
      <c r="J38" s="52"/>
    </row>
    <row r="39" spans="2:10" x14ac:dyDescent="0.25">
      <c r="B39" s="51" t="str">
        <f>IFERROR(INDEX(tblCategories[Category],4)&amp;"","")</f>
        <v>Trial and approval</v>
      </c>
      <c r="C39" s="40">
        <f>IF($B$39="","",COUNTIFS(tblSteps[Category],$B$39))</f>
        <v>2</v>
      </c>
      <c r="D39" s="36">
        <f>IF($B$39="","",SUMIFS(tblSteps[Current internal (min)],tblSteps[Category],$B$39))</f>
        <v>37</v>
      </c>
      <c r="E39" s="36">
        <f>IF($B$39="","",SUMIFS(tblSteps[Current external (min)],tblSteps[Category],$B$39))</f>
        <v>0</v>
      </c>
      <c r="F39" s="36">
        <f>IF($B$39="","",SUMIFS(tblSteps[Future internal (min)],tblSteps[Category],$B$39))</f>
        <v>14</v>
      </c>
      <c r="G39" s="36">
        <f>IF($B$39="","",SUMIFS(tblSteps[Future external (min)],tblSteps[Category],$B$39))</f>
        <v>0</v>
      </c>
      <c r="H39" s="36">
        <f>IF($B$39="","",SUMIFS(tblSteps[Stop time saved (min)],tblSteps[Category],$B$39))</f>
        <v>23</v>
      </c>
      <c r="I39" s="52">
        <f>IF($B$39="","",IF((SUM(tblSteps[Stop time saved (min)]))=0,"",($H$39)/(SUM(tblSteps[Stop time saved (min)]))))</f>
        <v>0.201754385964912</v>
      </c>
      <c r="J39" s="52"/>
    </row>
    <row r="40" spans="2:10" x14ac:dyDescent="0.25">
      <c r="B40" s="51" t="str">
        <f>IFERROR(INDEX(tblCategories[Category],5)&amp;"","")</f>
        <v>Clean-up</v>
      </c>
      <c r="C40" s="40">
        <f>IF($B$40="","",COUNTIFS(tblSteps[Category],$B$40))</f>
        <v>2</v>
      </c>
      <c r="D40" s="36">
        <f>IF($B$40="","",SUMIFS(tblSteps[Current internal (min)],tblSteps[Category],$B$40))</f>
        <v>10</v>
      </c>
      <c r="E40" s="36">
        <f>IF($B$40="","",SUMIFS(tblSteps[Current external (min)],tblSteps[Category],$B$40))</f>
        <v>0</v>
      </c>
      <c r="F40" s="36">
        <f>IF($B$40="","",SUMIFS(tblSteps[Future internal (min)],tblSteps[Category],$B$40))</f>
        <v>0</v>
      </c>
      <c r="G40" s="36">
        <f>IF($B$40="","",SUMIFS(tblSteps[Future external (min)],tblSteps[Category],$B$40))</f>
        <v>10</v>
      </c>
      <c r="H40" s="36">
        <f>IF($B$40="","",SUMIFS(tblSteps[Stop time saved (min)],tblSteps[Category],$B$40))</f>
        <v>10</v>
      </c>
      <c r="I40" s="52">
        <f>IF($B$40="","",IF((SUM(tblSteps[Stop time saved (min)]))=0,"",($H$40)/(SUM(tblSteps[Stop time saved (min)]))))</f>
        <v>0.087719298245614</v>
      </c>
      <c r="J40" s="52"/>
    </row>
    <row r="42" spans="2:10" x14ac:dyDescent="0.25">
      <c r="B42" s="32" t="s">
        <v>189</v>
      </c>
      <c r="C42" s="32"/>
      <c r="D42" s="32"/>
      <c r="E42" s="32"/>
      <c r="F42" s="32"/>
      <c r="G42" s="32"/>
      <c r="H42" s="32"/>
      <c r="I42" s="32"/>
      <c r="J42" s="32"/>
    </row>
    <row r="43" spans="2:10" ht="32" customHeight="1" x14ac:dyDescent="0.25">
      <c r="B43" s="50" t="s">
        <v>190</v>
      </c>
      <c r="C43" s="33" t="s">
        <v>152</v>
      </c>
      <c r="D43" s="33" t="s">
        <v>155</v>
      </c>
      <c r="E43" s="33" t="s">
        <v>156</v>
      </c>
      <c r="F43" s="33"/>
      <c r="G43" s="33" t="s">
        <v>121</v>
      </c>
      <c r="H43" s="33"/>
      <c r="I43" s="33" t="s">
        <v>191</v>
      </c>
      <c r="J43" s="33" t="s">
        <v>192</v>
      </c>
    </row>
    <row r="44" spans="2:10" x14ac:dyDescent="0.25">
      <c r="B44" s="53">
        <f>IF($B$45="","",IF($B$45&lt;=1,"",$B$45-1))</f>
        <v>9</v>
      </c>
      <c r="C44" s="54">
        <f>IF($B$44="","",INDEX(tblChanges[Date],$B$44))</f>
        <v>46310</v>
      </c>
      <c r="D44" s="40">
        <f>IF($B$44="","",INDEX(tblChanges[Duration (min)],$B$44))</f>
        <v>36</v>
      </c>
      <c r="E44" s="55" t="str">
        <f>IF($B$44="","",INDEX(tblChanges[Status],$B$44))</f>
        <v>Above target</v>
      </c>
      <c r="F44" s="55"/>
      <c r="G44" s="55" t="str">
        <f>IF($B$44="","",INDEX(tblChanges[Setter],$B$44)&amp;"")</f>
        <v>K. Lindqvist</v>
      </c>
      <c r="H44" s="55"/>
      <c r="I44" s="56">
        <f>IF(COUNT(tblSteps[Future (min)])=0,"",SUM(tblSteps[Future internal (min)]))</f>
        <v>35</v>
      </c>
      <c r="J44" s="56">
        <f>TargetMin</f>
        <v>30</v>
      </c>
    </row>
    <row r="45" spans="2:10" x14ac:dyDescent="0.25">
      <c r="B45" s="53">
        <f>IF($B$46="","",IF($B$46&lt;=1,"",$B$46-1))</f>
        <v>10</v>
      </c>
      <c r="C45" s="54">
        <f>IF($B$45="","",INDEX(tblChanges[Date],$B$45))</f>
        <v>46311</v>
      </c>
      <c r="D45" s="40">
        <f>IF($B$45="","",INDEX(tblChanges[Duration (min)],$B$45))</f>
        <v>23</v>
      </c>
      <c r="E45" s="55" t="str">
        <f>IF($B$45="","",INDEX(tblChanges[Status],$B$45))</f>
        <v>On target</v>
      </c>
      <c r="F45" s="55"/>
      <c r="G45" s="55" t="str">
        <f>IF($B$45="","",INDEX(tblChanges[Setter],$B$45)&amp;"")</f>
        <v>A. Moreno</v>
      </c>
      <c r="H45" s="55"/>
      <c r="I45" s="56">
        <f>IF(COUNT(tblSteps[Future (min)])=0,"",SUM(tblSteps[Future internal (min)]))</f>
        <v>35</v>
      </c>
      <c r="J45" s="56">
        <f>TargetMin</f>
        <v>30</v>
      </c>
    </row>
    <row r="46" spans="2:10" x14ac:dyDescent="0.25">
      <c r="B46" s="53">
        <f>IF($B$47="","",IF($B$47&lt;=1,"",$B$47-1))</f>
        <v>11</v>
      </c>
      <c r="C46" s="54">
        <f>IF($B$46="","",INDEX(tblChanges[Date],$B$46))</f>
        <v>46314</v>
      </c>
      <c r="D46" s="40">
        <f>IF($B$46="","",INDEX(tblChanges[Duration (min)],$B$46))</f>
        <v>33</v>
      </c>
      <c r="E46" s="55" t="str">
        <f>IF($B$46="","",INDEX(tblChanges[Status],$B$46))</f>
        <v>Near target</v>
      </c>
      <c r="F46" s="55"/>
      <c r="G46" s="55" t="str">
        <f>IF($B$46="","",INDEX(tblChanges[Setter],$B$46)&amp;"")</f>
        <v>J. Patel</v>
      </c>
      <c r="H46" s="55"/>
      <c r="I46" s="56">
        <f>IF(COUNT(tblSteps[Future (min)])=0,"",SUM(tblSteps[Future internal (min)]))</f>
        <v>35</v>
      </c>
      <c r="J46" s="56">
        <f>TargetMin</f>
        <v>30</v>
      </c>
    </row>
    <row r="47" spans="2:10" x14ac:dyDescent="0.25">
      <c r="B47" s="53">
        <f>IF($B$48="","",IF($B$48&lt;=1,"",$B$48-1))</f>
        <v>12</v>
      </c>
      <c r="C47" s="54">
        <f>IF($B$47="","",INDEX(tblChanges[Date],$B$47))</f>
        <v>46315</v>
      </c>
      <c r="D47" s="40">
        <f>IF($B$47="","",INDEX(tblChanges[Duration (min)],$B$47))</f>
        <v>38</v>
      </c>
      <c r="E47" s="55" t="str">
        <f>IF($B$47="","",INDEX(tblChanges[Status],$B$47))</f>
        <v>Above target</v>
      </c>
      <c r="F47" s="55"/>
      <c r="G47" s="55" t="str">
        <f>IF($B$47="","",INDEX(tblChanges[Setter],$B$47)&amp;"")</f>
        <v>K. Lindqvist</v>
      </c>
      <c r="H47" s="55"/>
      <c r="I47" s="56">
        <f>IF(COUNT(tblSteps[Future (min)])=0,"",SUM(tblSteps[Future internal (min)]))</f>
        <v>35</v>
      </c>
      <c r="J47" s="56">
        <f>TargetMin</f>
        <v>30</v>
      </c>
    </row>
    <row r="48" spans="2:10" x14ac:dyDescent="0.25">
      <c r="B48" s="53">
        <f>IF($B$49="","",IF($B$49&lt;=1,"",$B$49-1))</f>
        <v>13</v>
      </c>
      <c r="C48" s="54">
        <f>IF($B$48="","",INDEX(tblChanges[Date],$B$48))</f>
        <v>46316</v>
      </c>
      <c r="D48" s="40">
        <f>IF($B$48="","",INDEX(tblChanges[Duration (min)],$B$48))</f>
        <v>28</v>
      </c>
      <c r="E48" s="55" t="str">
        <f>IF($B$48="","",INDEX(tblChanges[Status],$B$48))</f>
        <v>On target</v>
      </c>
      <c r="F48" s="55"/>
      <c r="G48" s="55" t="str">
        <f>IF($B$48="","",INDEX(tblChanges[Setter],$B$48)&amp;"")</f>
        <v>A. Moreno</v>
      </c>
      <c r="H48" s="55"/>
      <c r="I48" s="56">
        <f>IF(COUNT(tblSteps[Future (min)])=0,"",SUM(tblSteps[Future internal (min)]))</f>
        <v>35</v>
      </c>
      <c r="J48" s="56">
        <f>TargetMin</f>
        <v>30</v>
      </c>
    </row>
    <row r="49" spans="2:12" x14ac:dyDescent="0.25">
      <c r="B49" s="53">
        <f>IF($B$50="","",IF($B$50&lt;=1,"",$B$50-1))</f>
        <v>14</v>
      </c>
      <c r="C49" s="54">
        <f>IF($B$49="","",INDEX(tblChanges[Date],$B$49))</f>
        <v>46317</v>
      </c>
      <c r="D49" s="40">
        <f>IF($B$49="","",INDEX(tblChanges[Duration (min)],$B$49))</f>
        <v>34</v>
      </c>
      <c r="E49" s="55" t="str">
        <f>IF($B$49="","",INDEX(tblChanges[Status],$B$49))</f>
        <v>Above target</v>
      </c>
      <c r="F49" s="55"/>
      <c r="G49" s="55" t="str">
        <f>IF($B$49="","",INDEX(tblChanges[Setter],$B$49)&amp;"")</f>
        <v>J. Patel</v>
      </c>
      <c r="H49" s="55"/>
      <c r="I49" s="56">
        <f>IF(COUNT(tblSteps[Future (min)])=0,"",SUM(tblSteps[Future internal (min)]))</f>
        <v>35</v>
      </c>
      <c r="J49" s="56">
        <f>TargetMin</f>
        <v>30</v>
      </c>
    </row>
    <row r="50" spans="2:12" x14ac:dyDescent="0.25">
      <c r="B50" s="53">
        <f>IF($B$51="","",IF($B$51&lt;=1,"",$B$51-1))</f>
        <v>15</v>
      </c>
      <c r="C50" s="54">
        <f>IF($B$50="","",INDEX(tblChanges[Date],$B$50))</f>
        <v>46318</v>
      </c>
      <c r="D50" s="40">
        <f>IF($B$50="","",INDEX(tblChanges[Duration (min)],$B$50))</f>
        <v>33</v>
      </c>
      <c r="E50" s="55" t="str">
        <f>IF($B$50="","",INDEX(tblChanges[Status],$B$50))</f>
        <v>Near target</v>
      </c>
      <c r="F50" s="55"/>
      <c r="G50" s="55" t="str">
        <f>IF($B$50="","",INDEX(tblChanges[Setter],$B$50)&amp;"")</f>
        <v>K. Lindqvist</v>
      </c>
      <c r="H50" s="55"/>
      <c r="I50" s="56">
        <f>IF(COUNT(tblSteps[Future (min)])=0,"",SUM(tblSteps[Future internal (min)]))</f>
        <v>35</v>
      </c>
      <c r="J50" s="56">
        <f>TargetMin</f>
        <v>30</v>
      </c>
    </row>
    <row r="51" spans="2:12" x14ac:dyDescent="0.25">
      <c r="B51" s="53">
        <f>IF($B$52="","",IF($B$52&lt;=1,"",$B$52-1))</f>
        <v>16</v>
      </c>
      <c r="C51" s="54">
        <f>IF($B$51="","",INDEX(tblChanges[Date],$B$51))</f>
        <v>46321</v>
      </c>
      <c r="D51" s="40">
        <f>IF($B$51="","",INDEX(tblChanges[Duration (min)],$B$51))</f>
        <v>32</v>
      </c>
      <c r="E51" s="55" t="str">
        <f>IF($B$51="","",INDEX(tblChanges[Status],$B$51))</f>
        <v>Near target</v>
      </c>
      <c r="F51" s="55"/>
      <c r="G51" s="55" t="str">
        <f>IF($B$51="","",INDEX(tblChanges[Setter],$B$51)&amp;"")</f>
        <v>A. Moreno</v>
      </c>
      <c r="H51" s="55"/>
      <c r="I51" s="56">
        <f>IF(COUNT(tblSteps[Future (min)])=0,"",SUM(tblSteps[Future internal (min)]))</f>
        <v>35</v>
      </c>
      <c r="J51" s="56">
        <f>TargetMin</f>
        <v>30</v>
      </c>
    </row>
    <row r="52" spans="2:12" x14ac:dyDescent="0.25">
      <c r="B52" s="53">
        <f>IF($B$53="","",IF($B$53&lt;=1,"",$B$53-1))</f>
        <v>17</v>
      </c>
      <c r="C52" s="54">
        <f>IF($B$52="","",INDEX(tblChanges[Date],$B$52))</f>
        <v>46322</v>
      </c>
      <c r="D52" s="40">
        <f>IF($B$52="","",INDEX(tblChanges[Duration (min)],$B$52))</f>
        <v>34</v>
      </c>
      <c r="E52" s="55" t="str">
        <f>IF($B$52="","",INDEX(tblChanges[Status],$B$52))</f>
        <v>Above target</v>
      </c>
      <c r="F52" s="55"/>
      <c r="G52" s="55" t="str">
        <f>IF($B$52="","",INDEX(tblChanges[Setter],$B$52)&amp;"")</f>
        <v>J. Patel</v>
      </c>
      <c r="H52" s="55"/>
      <c r="I52" s="56">
        <f>IF(COUNT(tblSteps[Future (min)])=0,"",SUM(tblSteps[Future internal (min)]))</f>
        <v>35</v>
      </c>
      <c r="J52" s="56">
        <f>TargetMin</f>
        <v>30</v>
      </c>
    </row>
    <row r="53" spans="2:12" x14ac:dyDescent="0.25">
      <c r="B53" s="53">
        <f>IF($B$54="","",IF($B$54&lt;=1,"",$B$54-1))</f>
        <v>18</v>
      </c>
      <c r="C53" s="54">
        <f>IF($B$53="","",INDEX(tblChanges[Date],$B$53))</f>
        <v>46323</v>
      </c>
      <c r="D53" s="40">
        <f>IF($B$53="","",INDEX(tblChanges[Duration (min)],$B$53))</f>
        <v>29</v>
      </c>
      <c r="E53" s="55" t="str">
        <f>IF($B$53="","",INDEX(tblChanges[Status],$B$53))</f>
        <v>On target</v>
      </c>
      <c r="F53" s="55"/>
      <c r="G53" s="55" t="str">
        <f>IF($B$53="","",INDEX(tblChanges[Setter],$B$53)&amp;"")</f>
        <v>K. Lindqvist</v>
      </c>
      <c r="H53" s="55"/>
      <c r="I53" s="56">
        <f>IF(COUNT(tblSteps[Future (min)])=0,"",SUM(tblSteps[Future internal (min)]))</f>
        <v>35</v>
      </c>
      <c r="J53" s="56">
        <f>TargetMin</f>
        <v>30</v>
      </c>
    </row>
    <row r="54" spans="2:12" x14ac:dyDescent="0.25">
      <c r="B54" s="53">
        <f>IF($B$55="","",IF($B$55&lt;=1,"",$B$55-1))</f>
        <v>19</v>
      </c>
      <c r="C54" s="54">
        <f>IF($B$54="","",INDEX(tblChanges[Date],$B$54))</f>
        <v>46324</v>
      </c>
      <c r="D54" s="40">
        <f>IF($B$54="","",INDEX(tblChanges[Duration (min)],$B$54))</f>
        <v>33</v>
      </c>
      <c r="E54" s="55" t="str">
        <f>IF($B$54="","",INDEX(tblChanges[Status],$B$54))</f>
        <v>Near target</v>
      </c>
      <c r="F54" s="55"/>
      <c r="G54" s="55" t="str">
        <f>IF($B$54="","",INDEX(tblChanges[Setter],$B$54)&amp;"")</f>
        <v>A. Moreno</v>
      </c>
      <c r="H54" s="55"/>
      <c r="I54" s="56">
        <f>IF(COUNT(tblSteps[Future (min)])=0,"",SUM(tblSteps[Future internal (min)]))</f>
        <v>35</v>
      </c>
      <c r="J54" s="56">
        <f>TargetMin</f>
        <v>30</v>
      </c>
    </row>
    <row r="55" spans="2:12" x14ac:dyDescent="0.25">
      <c r="B55" s="53">
        <f>IF(COUNT(tblChanges[Duration (min)])=0,"",COUNT(tblChanges[Duration (min)]))</f>
        <v>20</v>
      </c>
      <c r="C55" s="54">
        <f>IF($B$55="","",INDEX(tblChanges[Date],$B$55))</f>
        <v>46325</v>
      </c>
      <c r="D55" s="40">
        <f>IF($B$55="","",INDEX(tblChanges[Duration (min)],$B$55))</f>
        <v>23</v>
      </c>
      <c r="E55" s="55" t="str">
        <f>IF($B$55="","",INDEX(tblChanges[Status],$B$55))</f>
        <v>On target</v>
      </c>
      <c r="F55" s="55"/>
      <c r="G55" s="55" t="str">
        <f>IF($B$55="","",INDEX(tblChanges[Setter],$B$55)&amp;"")</f>
        <v>J. Patel</v>
      </c>
      <c r="H55" s="55"/>
      <c r="I55" s="56">
        <f>IF(COUNT(tblSteps[Future (min)])=0,"",SUM(tblSteps[Future internal (min)]))</f>
        <v>35</v>
      </c>
      <c r="J55" s="56">
        <f>TargetMin</f>
        <v>30</v>
      </c>
    </row>
    <row r="56" spans="2:12" ht="8" customHeight="1" x14ac:dyDescent="0.25"/>
    <row r="57" spans="2:12" x14ac:dyDescent="0.25">
      <c r="B57" s="21" t="s">
        <v>193</v>
      </c>
      <c r="C57" s="21"/>
      <c r="D57" s="21"/>
      <c r="E57" s="21"/>
      <c r="F57" s="21"/>
      <c r="G57" s="21"/>
      <c r="H57" s="21"/>
      <c r="I57" s="21"/>
      <c r="J57" s="21"/>
      <c r="K57" s="21"/>
      <c r="L57" s="21"/>
    </row>
    <row r="58" spans="2:12" x14ac:dyDescent="0.25">
      <c r="B58" s="57">
        <f>IF(COUNTA(tblCategories[Category])&gt;5,"The category list is longer than the Dashboard block: some categories are not shown.","")</f>
        <v/>
      </c>
      <c r="C58" s="57"/>
      <c r="D58" s="57"/>
      <c r="E58" s="57"/>
      <c r="F58" s="57"/>
      <c r="G58" s="57"/>
      <c r="H58" s="57"/>
      <c r="I58" s="57"/>
      <c r="J58" s="57"/>
      <c r="K58" s="57"/>
      <c r="L58" s="57"/>
    </row>
  </sheetData>
  <sheetProtection sheet="1" formatColumns="0" formatRows="0"/>
  <mergeCells count="72">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C28"/>
    <mergeCell ref="B29:C30"/>
    <mergeCell ref="B31:C31"/>
    <mergeCell ref="B32:C32"/>
    <mergeCell ref="D28:F28"/>
    <mergeCell ref="D29:F30"/>
    <mergeCell ref="D31:F31"/>
    <mergeCell ref="D32:F32"/>
    <mergeCell ref="G28:I28"/>
    <mergeCell ref="G29:I30"/>
    <mergeCell ref="G31:I31"/>
    <mergeCell ref="G32:I32"/>
    <mergeCell ref="J28:L28"/>
    <mergeCell ref="J29:L30"/>
    <mergeCell ref="J31:L31"/>
    <mergeCell ref="J32:L32"/>
    <mergeCell ref="B34:J34"/>
    <mergeCell ref="I35:J35"/>
    <mergeCell ref="I36:J36"/>
    <mergeCell ref="I37:J37"/>
    <mergeCell ref="I38:J38"/>
    <mergeCell ref="I39:J39"/>
    <mergeCell ref="I40:J40"/>
    <mergeCell ref="B42:J42"/>
    <mergeCell ref="E43:F43"/>
    <mergeCell ref="G43:H43"/>
    <mergeCell ref="E44:F44"/>
    <mergeCell ref="E45:F45"/>
    <mergeCell ref="E46:F46"/>
    <mergeCell ref="E47:F47"/>
    <mergeCell ref="E48:F48"/>
    <mergeCell ref="E49:F49"/>
    <mergeCell ref="E50:F50"/>
    <mergeCell ref="E51:F51"/>
    <mergeCell ref="E52:F52"/>
    <mergeCell ref="E53:F53"/>
    <mergeCell ref="E54:F54"/>
    <mergeCell ref="E55:F55"/>
    <mergeCell ref="G44:H44"/>
    <mergeCell ref="G45:H45"/>
    <mergeCell ref="G46:H46"/>
    <mergeCell ref="G47:H47"/>
    <mergeCell ref="G48:H48"/>
    <mergeCell ref="G49:H49"/>
    <mergeCell ref="G50:H50"/>
    <mergeCell ref="G51:H51"/>
    <mergeCell ref="G52:H52"/>
    <mergeCell ref="G53:H53"/>
    <mergeCell ref="G54:H54"/>
    <mergeCell ref="G55:H55"/>
    <mergeCell ref="B57:L57"/>
    <mergeCell ref="B58:L58"/>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44:E55">
    <cfRule type="cellIs" dxfId="0" priority="42" operator="equal">
      <formula>"On target"</formula>
    </cfRule>
    <cfRule type="cellIs" dxfId="0" priority="43" operator="equal">
      <formula>"PASS"</formula>
    </cfRule>
    <cfRule type="cellIs" dxfId="0" priority="44" operator="equal">
      <formula>"OK"</formula>
    </cfRule>
    <cfRule type="cellIs" dxfId="0" priority="45" operator="equal">
      <formula>"Within limits"</formula>
    </cfRule>
    <cfRule type="cellIs" dxfId="0" priority="46" operator="equal">
      <formula>"Under capacity"</formula>
    </cfRule>
    <cfRule type="cellIs" dxfId="0" priority="47" operator="equal">
      <formula>"Complete"</formula>
    </cfRule>
    <cfRule type="cellIs" dxfId="0" priority="48" operator="equal">
      <formula>"Yes"</formula>
    </cfRule>
    <cfRule type="cellIs" dxfId="1" priority="49" operator="equal">
      <formula>"Near target"</formula>
    </cfRule>
    <cfRule type="cellIs" dxfId="1" priority="50" operator="equal">
      <formula>"Check"</formula>
    </cfRule>
    <cfRule type="cellIs" dxfId="1" priority="51" operator="equal">
      <formula>"Due soon"</formula>
    </cfRule>
    <cfRule type="cellIs" dxfId="1" priority="52" operator="equal">
      <formula>"Near capacity"</formula>
    </cfRule>
    <cfRule type="cellIs" dxfId="1" priority="53" operator="equal">
      <formula>"In progress"</formula>
    </cfRule>
    <cfRule type="cellIs" dxfId="1" priority="54" operator="equal">
      <formula>"Partial"</formula>
    </cfRule>
    <cfRule type="cellIs" dxfId="2" priority="55" operator="equal">
      <formula>"Below target"</formula>
    </cfRule>
    <cfRule type="cellIs" dxfId="2" priority="56" operator="equal">
      <formula>"Above target"</formula>
    </cfRule>
    <cfRule type="cellIs" dxfId="2" priority="57" operator="equal">
      <formula>"FAIL"</formula>
    </cfRule>
    <cfRule type="cellIs" dxfId="2" priority="58" operator="equal">
      <formula>"Over capacity"</formula>
    </cfRule>
    <cfRule type="cellIs" dxfId="2" priority="59" operator="equal">
      <formula>"Overdue"</formula>
    </cfRule>
    <cfRule type="cellIs" dxfId="2" priority="60" operator="equal">
      <formula>"Out of limits"</formula>
    </cfRule>
    <cfRule type="cellIs" dxfId="2" priority="61" operator="equal">
      <formula>"No"</formula>
    </cfRule>
  </conditionalFormatting>
  <conditionalFormatting sqref="G32">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36:H40">
    <cfRule type="dataBar" priority="41">
      <dataBar>
        <cfvo type="num" val="0"/>
        <cfvo type="max"/>
        <color rgb="FFA8BDF0"/>
      </dataBar>
      <extLst>
        <ext xmlns:x14="http://schemas.microsoft.com/office/spreadsheetml/2009/9/main" uri="{B025F937-C7B1-47D3-B67F-A62EFF666E3E}">
          <x14:id>{DA7ABA51-AAAA-BBBB-0005-000000000001}</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SMED Changeover Analysis&amp;R&amp;8&amp;A</oddHeader>
    <oddFooter>&amp;L&amp;8mfgcalcs.com - free manufacturing templates&amp;R&amp;8Page &amp;P of &amp;N</oddFooter>
  </headerFooter>
  <rowBreaks count="2" manualBreakCount="2">
    <brk id="27" max="16383" man="1"/>
    <brk id="41"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H36:H40</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194</v>
      </c>
      <c r="C4" s="8"/>
      <c r="D4" s="8"/>
    </row>
    <row r="5" spans="1:4" ht="5" customHeight="1"/>
    <row r="6" spans="1:4" ht="55.8" customHeight="1">
      <c r="B6" s="10" t="s">
        <v>195</v>
      </c>
      <c r="C6" s="10"/>
      <c r="D6" s="10"/>
    </row>
    <row r="8" spans="1:4" ht="21" customHeight="1">
      <c r="B8" s="8" t="s">
        <v>196</v>
      </c>
      <c r="C8" s="8"/>
      <c r="D8" s="8"/>
    </row>
    <row r="9" spans="1:4" ht="5" customHeight="1"/>
    <row r="10" spans="1:4" ht="20" customHeight="1">
      <c r="B10" s="50" t="s">
        <v>197</v>
      </c>
      <c r="C10" s="50" t="s">
        <v>198</v>
      </c>
      <c r="D10" s="33" t="s">
        <v>199</v>
      </c>
    </row>
    <row r="11" spans="1:4" ht="30.4" customHeight="1">
      <c r="B11" s="58" t="s">
        <v>200</v>
      </c>
      <c r="C11" s="59" t="s">
        <v>201</v>
      </c>
      <c r="D11" s="60" t="s">
        <v>73</v>
      </c>
    </row>
    <row r="12" spans="1:4" ht="17.2" customHeight="1">
      <c r="B12" s="58" t="s">
        <v>202</v>
      </c>
      <c r="C12" s="59" t="s">
        <v>203</v>
      </c>
      <c r="D12" s="60" t="s">
        <v>73</v>
      </c>
    </row>
    <row r="13" spans="1:4" ht="17.2" customHeight="1">
      <c r="B13" s="58" t="s">
        <v>204</v>
      </c>
      <c r="C13" s="59" t="s">
        <v>205</v>
      </c>
      <c r="D13" s="60" t="s">
        <v>73</v>
      </c>
    </row>
    <row r="14" spans="1:4" ht="17.2" customHeight="1">
      <c r="B14" s="58" t="s">
        <v>206</v>
      </c>
      <c r="C14" s="59" t="s">
        <v>207</v>
      </c>
      <c r="D14" s="60" t="s">
        <v>208</v>
      </c>
    </row>
    <row r="15" spans="1:4" ht="17.2" customHeight="1">
      <c r="B15" s="58" t="s">
        <v>209</v>
      </c>
      <c r="C15" s="59" t="s">
        <v>210</v>
      </c>
      <c r="D15" s="60" t="s">
        <v>211</v>
      </c>
    </row>
    <row r="16" spans="1:4" ht="17.2" customHeight="1">
      <c r="B16" s="58" t="s">
        <v>212</v>
      </c>
      <c r="C16" s="59" t="s">
        <v>213</v>
      </c>
      <c r="D16" s="60" t="s">
        <v>214</v>
      </c>
    </row>
    <row r="17" spans="2:4" ht="30.4" customHeight="1">
      <c r="B17" s="58" t="s">
        <v>215</v>
      </c>
      <c r="C17" s="59" t="s">
        <v>216</v>
      </c>
      <c r="D17" s="60" t="s">
        <v>73</v>
      </c>
    </row>
    <row r="18" spans="2:4" ht="30.4" customHeight="1">
      <c r="B18" s="58" t="s">
        <v>217</v>
      </c>
      <c r="C18" s="59" t="s">
        <v>218</v>
      </c>
      <c r="D18" s="60" t="s">
        <v>219</v>
      </c>
    </row>
    <row r="19" spans="2:4" ht="30.4" customHeight="1">
      <c r="B19" s="58" t="s">
        <v>220</v>
      </c>
      <c r="C19" s="59" t="s">
        <v>221</v>
      </c>
      <c r="D19" s="60" t="s">
        <v>222</v>
      </c>
    </row>
    <row r="20" spans="2:4" ht="30.4" customHeight="1">
      <c r="B20" s="58" t="s">
        <v>223</v>
      </c>
      <c r="C20" s="59" t="s">
        <v>224</v>
      </c>
      <c r="D20" s="60" t="s">
        <v>219</v>
      </c>
    </row>
    <row r="22" spans="2:4" ht="21" customHeight="1">
      <c r="B22" s="8" t="s">
        <v>225</v>
      </c>
      <c r="C22" s="8"/>
      <c r="D22" s="8"/>
    </row>
    <row r="23" spans="2:4" ht="5" customHeight="1"/>
    <row r="24" spans="2:4" ht="29.4" customHeight="1">
      <c r="B24" s="26" t="s">
        <v>57</v>
      </c>
      <c r="C24" s="10" t="s">
        <v>226</v>
      </c>
      <c r="D24" s="10"/>
    </row>
    <row r="25" spans="2:4" ht="29.4" customHeight="1">
      <c r="B25" s="26" t="s">
        <v>57</v>
      </c>
      <c r="C25" s="10" t="s">
        <v>227</v>
      </c>
      <c r="D25" s="10"/>
    </row>
    <row r="26" spans="2:4" ht="29.4" customHeight="1">
      <c r="B26" s="26" t="s">
        <v>57</v>
      </c>
      <c r="C26" s="10" t="s">
        <v>228</v>
      </c>
      <c r="D26" s="10"/>
    </row>
    <row r="28" spans="2:4" ht="21" customHeight="1">
      <c r="B28" s="8" t="s">
        <v>229</v>
      </c>
      <c r="C28" s="8"/>
      <c r="D28" s="8"/>
    </row>
    <row r="29" spans="2:4" ht="5" customHeight="1"/>
    <row r="30" spans="2:4" ht="29.4" customHeight="1">
      <c r="B30" s="26" t="s">
        <v>57</v>
      </c>
      <c r="C30" s="10" t="s">
        <v>230</v>
      </c>
      <c r="D30" s="10"/>
    </row>
    <row r="31" spans="2:4" ht="16.2" customHeight="1">
      <c r="B31" s="26" t="s">
        <v>57</v>
      </c>
      <c r="C31" s="10" t="s">
        <v>231</v>
      </c>
      <c r="D31" s="10"/>
    </row>
    <row r="32" spans="2:4" ht="29.4" customHeight="1">
      <c r="B32" s="26" t="s">
        <v>57</v>
      </c>
      <c r="C32" s="10" t="s">
        <v>232</v>
      </c>
      <c r="D32" s="10"/>
    </row>
    <row r="33" spans="2:4" ht="16.2" customHeight="1">
      <c r="B33" s="26" t="s">
        <v>57</v>
      </c>
      <c r="C33" s="10" t="s">
        <v>233</v>
      </c>
      <c r="D33" s="10"/>
    </row>
    <row r="35" spans="2:4" ht="21" customHeight="1">
      <c r="B35" s="8" t="s">
        <v>234</v>
      </c>
      <c r="C35" s="8"/>
      <c r="D35" s="8"/>
    </row>
    <row r="36" spans="2:4" ht="5" customHeight="1"/>
    <row r="37" spans="2:4" ht="55.8" customHeight="1">
      <c r="B37" s="10" t="s">
        <v>235</v>
      </c>
      <c r="C37" s="10"/>
      <c r="D37" s="10"/>
    </row>
    <row r="38" spans="2:4">
      <c r="B38" s="24" t="s">
        <v>236</v>
      </c>
      <c r="C38" s="24"/>
      <c r="D38" s="24"/>
    </row>
    <row r="40" spans="2:4" ht="21" customHeight="1">
      <c r="B40" s="8" t="s">
        <v>44</v>
      </c>
      <c r="C40" s="8"/>
      <c r="D40" s="8"/>
    </row>
    <row r="41" spans="2:4" ht="5" customHeight="1"/>
    <row r="42" spans="2:4" ht="42.6" customHeight="1">
      <c r="B42" s="10" t="s">
        <v>237</v>
      </c>
      <c r="C42" s="10"/>
      <c r="D42" s="10"/>
    </row>
    <row r="44" spans="2:4" ht="21" customHeight="1">
      <c r="B44" s="8" t="s">
        <v>238</v>
      </c>
      <c r="C44" s="8"/>
      <c r="D44" s="8"/>
    </row>
    <row r="45" spans="2:4" ht="5" customHeight="1"/>
    <row r="46" spans="2:4" ht="29.4" customHeight="1">
      <c r="B46" s="26" t="s">
        <v>57</v>
      </c>
      <c r="C46" s="10" t="s">
        <v>239</v>
      </c>
      <c r="D46" s="10"/>
    </row>
    <row r="47" spans="2:4" ht="16.2" customHeight="1">
      <c r="B47" s="26" t="s">
        <v>57</v>
      </c>
      <c r="C47" s="10" t="s">
        <v>240</v>
      </c>
      <c r="D47" s="10"/>
    </row>
    <row r="48" spans="2:4">
      <c r="B48" s="21" t="s">
        <v>241</v>
      </c>
      <c r="C48" s="21"/>
      <c r="D48" s="21"/>
    </row>
    <row r="50" spans="2:4" ht="21" customHeight="1">
      <c r="B50" s="8" t="s">
        <v>242</v>
      </c>
      <c r="C50" s="8"/>
      <c r="D50" s="8"/>
    </row>
    <row r="51" spans="2:4" ht="5" customHeight="1"/>
    <row r="52" spans="2:4">
      <c r="B52" s="50" t="s">
        <v>52</v>
      </c>
      <c r="C52" s="50" t="s">
        <v>243</v>
      </c>
      <c r="D52" s="33" t="s">
        <v>152</v>
      </c>
    </row>
    <row r="53" spans="2:4" ht="16.2" customHeight="1">
      <c r="B53" s="61" t="s">
        <v>244</v>
      </c>
      <c r="C53" s="62" t="s">
        <v>245</v>
      </c>
      <c r="D53" s="63" t="s">
        <v>246</v>
      </c>
    </row>
    <row r="55" spans="2:4">
      <c r="B55" s="21" t="s">
        <v>63</v>
      </c>
      <c r="C55" s="21"/>
      <c r="D55" s="21"/>
    </row>
  </sheetData>
  <sheetProtection sheet="1" formatColumns="0" formatRows="0"/>
  <mergeCells count="25">
    <mergeCell ref="A1:D1"/>
    <mergeCell ref="B2:C2"/>
    <mergeCell ref="B4:D4"/>
    <mergeCell ref="B6:D6"/>
    <mergeCell ref="B8:D8"/>
    <mergeCell ref="B22:D22"/>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B48:D48"/>
    <mergeCell ref="B50:D50"/>
    <mergeCell ref="B55:D55"/>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SMED Changeover Analysis&amp;R&amp;8&amp;A</oddHeader>
    <oddFooter>&amp;L&amp;8mfgcalcs.com - free manufacturing templates&amp;R&amp;8Page &amp;P of &amp;N</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Q50"/>
  <sheetViews>
    <sheetView showGridLines="0" workbookViewId="0"/>
  </sheetViews>
  <sheetFormatPr defaultRowHeight="15"/>
  <cols>
    <col min="1" max="1" width="2.7109375" customWidth="1"/>
    <col min="2" max="19" width="12.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30</v>
      </c>
      <c r="C2" s="2"/>
      <c r="D2" s="2"/>
      <c r="E2" s="2"/>
      <c r="F2" s="2"/>
      <c r="G2" s="2"/>
      <c r="H2" s="2"/>
      <c r="I2" s="2"/>
      <c r="J2" s="2"/>
      <c r="K2" s="2"/>
      <c r="L2" s="2"/>
      <c r="M2" s="2"/>
      <c r="N2" s="2"/>
      <c r="O2" s="2"/>
      <c r="P2" s="2"/>
      <c r="Q2" s="3" t="s">
        <v>2</v>
      </c>
    </row>
    <row r="3" spans="1:17" ht="6" customHeight="1"/>
    <row r="4" spans="1:17" ht="30" customHeight="1">
      <c r="B4" s="64" t="s">
        <v>247</v>
      </c>
      <c r="C4" s="64"/>
      <c r="D4" s="22" t="str">
        <f>IF(COUNTIF($K$11:$K$25,"PASS")=15,"PASS","FAIL")</f>
        <v>PASS</v>
      </c>
      <c r="E4" s="22"/>
      <c r="F4" s="23" t="str">
        <f>COUNTIF($K$11:$K$25,"PASS")&amp;" of 15 checks pass"</f>
        <v>15 of 15 checks pass</v>
      </c>
      <c r="G4" s="23"/>
      <c r="H4" s="23"/>
      <c r="I4" s="23"/>
      <c r="J4" s="23"/>
    </row>
    <row r="6" spans="1:17" ht="29.4" customHeight="1">
      <c r="B6" s="10" t="s">
        <v>248</v>
      </c>
      <c r="C6" s="10"/>
      <c r="D6" s="10"/>
      <c r="E6" s="10"/>
      <c r="F6" s="10"/>
      <c r="G6" s="10"/>
      <c r="H6" s="10"/>
      <c r="I6" s="10"/>
      <c r="J6" s="10"/>
      <c r="K6" s="10"/>
      <c r="L6" s="10"/>
    </row>
    <row r="8" spans="1:17" ht="21" customHeight="1">
      <c r="B8" s="8" t="s">
        <v>249</v>
      </c>
      <c r="C8" s="8"/>
      <c r="D8" s="8"/>
      <c r="E8" s="8"/>
      <c r="F8" s="8"/>
      <c r="G8" s="8"/>
      <c r="H8" s="8"/>
      <c r="I8" s="8"/>
      <c r="J8" s="8"/>
      <c r="K8" s="8"/>
      <c r="L8" s="8"/>
    </row>
    <row r="9" spans="1:17" ht="5" customHeight="1"/>
    <row r="10" spans="1:17" ht="30" customHeight="1">
      <c r="B10" s="33" t="s">
        <v>105</v>
      </c>
      <c r="C10" s="50" t="s">
        <v>117</v>
      </c>
      <c r="D10" s="50"/>
      <c r="E10" s="50"/>
      <c r="F10" s="50"/>
      <c r="G10" s="33" t="s">
        <v>250</v>
      </c>
      <c r="H10" s="33" t="s">
        <v>251</v>
      </c>
      <c r="I10" s="33" t="s">
        <v>252</v>
      </c>
      <c r="J10" s="33" t="s">
        <v>253</v>
      </c>
      <c r="K10" s="33" t="s">
        <v>254</v>
      </c>
    </row>
    <row r="11" spans="1:17" ht="16.2" customHeight="1">
      <c r="B11" s="65">
        <v>1</v>
      </c>
      <c r="C11" s="62" t="s">
        <v>255</v>
      </c>
      <c r="D11" s="62"/>
      <c r="E11" s="62"/>
      <c r="F11" s="62"/>
      <c r="G11" s="66">
        <v>20</v>
      </c>
      <c r="H11" s="36">
        <f>$O$39</f>
        <v>20</v>
      </c>
      <c r="I11" s="67">
        <f>IF(AND(ISNUMBER($G$11),ISNUMBER($H$11)),ABS($H$11-$G$11),"")</f>
        <v>0</v>
      </c>
      <c r="J11" s="68">
        <v>1E-09</v>
      </c>
      <c r="K11" s="39" t="str">
        <f>IF(AND(ISNUMBER($G$11),ISNUMBER($H$11)),IF(ABS($H$11-$G$11)&lt;=$J$11,"PASS","FAIL"),"FAIL")</f>
        <v>PASS</v>
      </c>
    </row>
    <row r="12" spans="1:17" ht="16.2" customHeight="1">
      <c r="B12" s="65">
        <v>2</v>
      </c>
      <c r="C12" s="62" t="s">
        <v>256</v>
      </c>
      <c r="D12" s="62"/>
      <c r="E12" s="62"/>
      <c r="F12" s="62"/>
      <c r="G12" s="66">
        <v>10</v>
      </c>
      <c r="H12" s="36">
        <f>$L$42</f>
        <v>10</v>
      </c>
      <c r="I12" s="67">
        <f>IF(AND(ISNUMBER($G$12),ISNUMBER($H$12)),ABS($H$12-$G$12),"")</f>
        <v>0</v>
      </c>
      <c r="J12" s="68">
        <v>1E-09</v>
      </c>
      <c r="K12" s="39" t="str">
        <f>IF(AND(ISNUMBER($G$12),ISNUMBER($H$12)),IF(ABS($H$12-$G$12)&lt;=$J$12,"PASS","FAIL"),"FAIL")</f>
        <v>PASS</v>
      </c>
    </row>
    <row r="13" spans="1:17" ht="29.4" customHeight="1">
      <c r="B13" s="65">
        <v>3</v>
      </c>
      <c r="C13" s="62" t="s">
        <v>257</v>
      </c>
      <c r="D13" s="62"/>
      <c r="E13" s="62"/>
      <c r="F13" s="62"/>
      <c r="G13" s="61" t="s">
        <v>258</v>
      </c>
      <c r="H13" s="55" t="str">
        <f>$P$43</f>
        <v>Converted step is still internal</v>
      </c>
      <c r="I13" s="55"/>
      <c r="J13" s="63" t="s">
        <v>259</v>
      </c>
      <c r="K13" s="39" t="str">
        <f>IF($H$13&amp;""=$G$13&amp;"","PASS","FAIL")</f>
        <v>PASS</v>
      </c>
    </row>
    <row r="14" spans="1:17" ht="16.2" customHeight="1">
      <c r="B14" s="65">
        <v>4</v>
      </c>
      <c r="C14" s="62" t="s">
        <v>260</v>
      </c>
      <c r="D14" s="62"/>
      <c r="E14" s="62"/>
      <c r="F14" s="62"/>
      <c r="G14" s="61" t="s">
        <v>261</v>
      </c>
      <c r="H14" s="55" t="str">
        <f>$P$40</f>
        <v>OK</v>
      </c>
      <c r="I14" s="55"/>
      <c r="J14" s="63" t="s">
        <v>259</v>
      </c>
      <c r="K14" s="39" t="str">
        <f>IF($H$14&amp;""=$G$14&amp;"","PASS","FAIL")</f>
        <v>PASS</v>
      </c>
    </row>
    <row r="15" spans="1:17" ht="16.2" customHeight="1">
      <c r="B15" s="65">
        <v>5</v>
      </c>
      <c r="C15" s="62" t="s">
        <v>262</v>
      </c>
      <c r="D15" s="62"/>
      <c r="E15" s="62"/>
      <c r="F15" s="62"/>
      <c r="G15" s="66">
        <v>75</v>
      </c>
      <c r="H15" s="36">
        <f>IF(COUNT(tblVerifySteps[Current (min)])=0,"",SUM(tblVerifySteps[Current internal (min)]))</f>
        <v>75</v>
      </c>
      <c r="I15" s="67">
        <f>IF(AND(ISNUMBER($G$15),ISNUMBER($H$15)),ABS($H$15-$G$15),"")</f>
        <v>0</v>
      </c>
      <c r="J15" s="68">
        <v>1E-09</v>
      </c>
      <c r="K15" s="39" t="str">
        <f>IF(AND(ISNUMBER($G$15),ISNUMBER($H$15)),IF(ABS($H$15-$G$15)&lt;=$J$15,"PASS","FAIL"),"FAIL")</f>
        <v>PASS</v>
      </c>
    </row>
    <row r="16" spans="1:17" ht="16.2" customHeight="1">
      <c r="B16" s="65">
        <v>6</v>
      </c>
      <c r="C16" s="62" t="s">
        <v>263</v>
      </c>
      <c r="D16" s="62"/>
      <c r="E16" s="62"/>
      <c r="F16" s="62"/>
      <c r="G16" s="66">
        <v>35</v>
      </c>
      <c r="H16" s="36">
        <f>IF(COUNT(tblVerifySteps[Future (min)])=0,"",SUM(tblVerifySteps[Future internal (min)]))</f>
        <v>35</v>
      </c>
      <c r="I16" s="67">
        <f>IF(AND(ISNUMBER($G$16),ISNUMBER($H$16)),ABS($H$16-$G$16),"")</f>
        <v>0</v>
      </c>
      <c r="J16" s="68">
        <v>1E-09</v>
      </c>
      <c r="K16" s="39" t="str">
        <f>IF(AND(ISNUMBER($G$16),ISNUMBER($H$16)),IF(ABS($H$16-$G$16)&lt;=$J$16,"PASS","FAIL"),"FAIL")</f>
        <v>PASS</v>
      </c>
    </row>
    <row r="17" spans="2:12" ht="16.2" customHeight="1">
      <c r="B17" s="65">
        <v>7</v>
      </c>
      <c r="C17" s="62" t="s">
        <v>206</v>
      </c>
      <c r="D17" s="62"/>
      <c r="E17" s="62"/>
      <c r="F17" s="62"/>
      <c r="G17" s="69">
        <v>0.5333333333333333</v>
      </c>
      <c r="H17" s="70">
        <f>IF((SUM(tblVerifySteps[Current internal (min)]))=0,"",(SUM(tblVerifySteps[Current internal (min)])-SUM(tblVerifySteps[Future internal (min)]))/(SUM(tblVerifySteps[Current internal (min)])))</f>
        <v>0.533333333333333</v>
      </c>
      <c r="I17" s="67">
        <f>IF(AND(ISNUMBER($G$17),ISNUMBER($H$17)),ABS($H$17-$G$17),"")</f>
        <v>0</v>
      </c>
      <c r="J17" s="68">
        <v>1E-09</v>
      </c>
      <c r="K17" s="39" t="str">
        <f>IF(AND(ISNUMBER($G$17),ISNUMBER($H$17)),IF(ABS($H$17-$G$17)&lt;=$J$17,"PASS","FAIL"),"FAIL")</f>
        <v>PASS</v>
      </c>
    </row>
    <row r="18" spans="2:12" ht="16.2" customHeight="1">
      <c r="B18" s="65">
        <v>8</v>
      </c>
      <c r="C18" s="62" t="s">
        <v>264</v>
      </c>
      <c r="D18" s="62"/>
      <c r="E18" s="62"/>
      <c r="F18" s="62"/>
      <c r="G18" s="71">
        <v>266.6666666666666</v>
      </c>
      <c r="H18" s="72">
        <f>IF(COUNT(tblVerifySteps[Current (min)])=0,"",(SUM(tblVerifySteps[Current internal (min)])-SUM(tblVerifySteps[Future internal (min)]))/60*$E$33*$E$34)</f>
        <v>266.666666666667</v>
      </c>
      <c r="I18" s="67">
        <f>IF(AND(ISNUMBER($G$18),ISNUMBER($H$18)),ABS($H$18-$G$18),"")</f>
        <v>0</v>
      </c>
      <c r="J18" s="68">
        <v>1E-09</v>
      </c>
      <c r="K18" s="39" t="str">
        <f>IF(AND(ISNUMBER($G$18),ISNUMBER($H$18)),IF(ABS($H$18-$G$18)&lt;=$J$18,"PASS","FAIL"),"FAIL")</f>
        <v>PASS</v>
      </c>
    </row>
    <row r="19" spans="2:12" ht="16.2" customHeight="1">
      <c r="B19" s="65">
        <v>9</v>
      </c>
      <c r="C19" s="62" t="s">
        <v>265</v>
      </c>
      <c r="D19" s="62"/>
      <c r="E19" s="62"/>
      <c r="F19" s="62"/>
      <c r="G19" s="73">
        <v>27200</v>
      </c>
      <c r="H19" s="74">
        <f>IF(COUNT(tblVerifySteps[Current (min)])=0,"",(SUM(tblVerifySteps[Current internal (min)])-SUM(tblVerifySteps[Future internal (min)]))/60*$E$33*$E$34*($E$31+$E$32))</f>
        <v>27200</v>
      </c>
      <c r="I19" s="67">
        <f>IF(AND(ISNUMBER($G$19),ISNUMBER($H$19)),ABS($H$19-$G$19),"")</f>
        <v>0</v>
      </c>
      <c r="J19" s="68">
        <v>1E-06</v>
      </c>
      <c r="K19" s="39" t="str">
        <f>IF(AND(ISNUMBER($G$19),ISNUMBER($H$19)),IF(ABS($H$19-$G$19)&lt;=$J$19,"PASS","FAIL"),"FAIL")</f>
        <v>PASS</v>
      </c>
    </row>
    <row r="20" spans="2:12" ht="16.2" customHeight="1">
      <c r="B20" s="65">
        <v>10</v>
      </c>
      <c r="C20" s="62" t="s">
        <v>266</v>
      </c>
      <c r="D20" s="62"/>
      <c r="E20" s="62"/>
      <c r="F20" s="62"/>
      <c r="G20" s="61" t="s">
        <v>267</v>
      </c>
      <c r="H20" s="55" t="str">
        <f>$G$47</f>
        <v>On target</v>
      </c>
      <c r="I20" s="55"/>
      <c r="J20" s="63" t="s">
        <v>259</v>
      </c>
      <c r="K20" s="39" t="str">
        <f>IF($H$20&amp;""=$G$20&amp;"","PASS","FAIL")</f>
        <v>PASS</v>
      </c>
    </row>
    <row r="21" spans="2:12" ht="16.2" customHeight="1">
      <c r="B21" s="65">
        <v>11</v>
      </c>
      <c r="C21" s="62" t="s">
        <v>268</v>
      </c>
      <c r="D21" s="62"/>
      <c r="E21" s="62"/>
      <c r="F21" s="62"/>
      <c r="G21" s="61" t="s">
        <v>269</v>
      </c>
      <c r="H21" s="55" t="str">
        <f>$G$48</f>
        <v>Near target</v>
      </c>
      <c r="I21" s="55"/>
      <c r="J21" s="63" t="s">
        <v>259</v>
      </c>
      <c r="K21" s="39" t="str">
        <f>IF($H$21&amp;""=$G$21&amp;"","PASS","FAIL")</f>
        <v>PASS</v>
      </c>
    </row>
    <row r="22" spans="2:12" ht="16.2" customHeight="1">
      <c r="B22" s="65">
        <v>12</v>
      </c>
      <c r="C22" s="62" t="s">
        <v>270</v>
      </c>
      <c r="D22" s="62"/>
      <c r="E22" s="62"/>
      <c r="F22" s="62"/>
      <c r="G22" s="61" t="s">
        <v>271</v>
      </c>
      <c r="H22" s="55" t="str">
        <f>$G$49</f>
        <v>Above target</v>
      </c>
      <c r="I22" s="55"/>
      <c r="J22" s="63" t="s">
        <v>259</v>
      </c>
      <c r="K22" s="39" t="str">
        <f>IF($H$22&amp;""=$G$22&amp;"","PASS","FAIL")</f>
        <v>PASS</v>
      </c>
    </row>
    <row r="23" spans="2:12" ht="16.2" customHeight="1">
      <c r="B23" s="65">
        <v>13</v>
      </c>
      <c r="C23" s="62" t="s">
        <v>272</v>
      </c>
      <c r="D23" s="62"/>
      <c r="E23" s="62"/>
      <c r="F23" s="62"/>
      <c r="G23" s="56">
        <v>15</v>
      </c>
      <c r="H23" s="40">
        <f>$H$49</f>
        <v>15</v>
      </c>
      <c r="I23" s="67">
        <f>IF(AND(ISNUMBER($G$23),ISNUMBER($H$23)),ABS($H$23-$G$23),"")</f>
        <v>0</v>
      </c>
      <c r="J23" s="68">
        <v>1E-09</v>
      </c>
      <c r="K23" s="39" t="str">
        <f>IF(AND(ISNUMBER($G$23),ISNUMBER($H$23)),IF(ABS($H$23-$G$23)&lt;=$J$23,"PASS","FAIL"),"FAIL")</f>
        <v>PASS</v>
      </c>
    </row>
    <row r="24" spans="2:12" ht="16.2" customHeight="1">
      <c r="B24" s="65">
        <v>14</v>
      </c>
      <c r="C24" s="62" t="s">
        <v>273</v>
      </c>
      <c r="D24" s="62"/>
      <c r="E24" s="62"/>
      <c r="F24" s="62"/>
      <c r="G24" s="61" t="s">
        <v>274</v>
      </c>
      <c r="H24" s="55" t="str">
        <f>$I$50</f>
        <v>From and To are the same</v>
      </c>
      <c r="I24" s="55"/>
      <c r="J24" s="63" t="s">
        <v>259</v>
      </c>
      <c r="K24" s="39" t="str">
        <f>IF($H$24&amp;""=$G$24&amp;"","PASS","FAIL")</f>
        <v>PASS</v>
      </c>
    </row>
    <row r="25" spans="2:12" ht="16.2" customHeight="1">
      <c r="B25" s="65">
        <v>15</v>
      </c>
      <c r="C25" s="62" t="s">
        <v>275</v>
      </c>
      <c r="D25" s="62"/>
      <c r="E25" s="62"/>
      <c r="F25" s="62"/>
      <c r="G25" s="73">
        <v>33.75</v>
      </c>
      <c r="H25" s="74">
        <f>IF(COUNT(tblVerifyChanges[Duration (min)])=0,"",AVERAGE(tblVerifyChanges[Duration (min)]))</f>
        <v>33.75</v>
      </c>
      <c r="I25" s="67">
        <f>IF(AND(ISNUMBER($G$25),ISNUMBER($H$25)),ABS($H$25-$G$25),"")</f>
        <v>0</v>
      </c>
      <c r="J25" s="68">
        <v>1E-09</v>
      </c>
      <c r="K25" s="39" t="str">
        <f>IF(AND(ISNUMBER($G$25),ISNUMBER($H$25)),IF(ABS($H$25-$G$25)&lt;=$J$25,"PASS","FAIL"),"FAIL")</f>
        <v>PASS</v>
      </c>
    </row>
    <row r="27" spans="2:12" ht="21" customHeight="1">
      <c r="B27" s="8" t="s">
        <v>276</v>
      </c>
      <c r="C27" s="8"/>
      <c r="D27" s="8"/>
      <c r="E27" s="8"/>
      <c r="F27" s="8"/>
      <c r="G27" s="8"/>
      <c r="H27" s="8"/>
      <c r="I27" s="8"/>
      <c r="J27" s="8"/>
      <c r="K27" s="8"/>
      <c r="L27" s="8"/>
    </row>
    <row r="28" spans="2:12" ht="5" customHeight="1"/>
    <row r="29" spans="2:12">
      <c r="B29" s="21" t="s">
        <v>277</v>
      </c>
      <c r="C29" s="21"/>
      <c r="D29" s="21"/>
      <c r="E29" s="21"/>
      <c r="F29" s="21"/>
      <c r="G29" s="21"/>
      <c r="H29" s="21"/>
      <c r="I29" s="21"/>
      <c r="J29" s="21"/>
      <c r="K29" s="21"/>
      <c r="L29" s="21"/>
    </row>
    <row r="30" spans="2:12">
      <c r="B30" s="32" t="s">
        <v>278</v>
      </c>
      <c r="C30" s="32"/>
      <c r="D30" s="32"/>
      <c r="E30" s="32"/>
      <c r="F30" s="32"/>
    </row>
    <row r="31" spans="2:12">
      <c r="B31" s="27" t="s">
        <v>279</v>
      </c>
      <c r="C31" s="27"/>
      <c r="D31" s="27"/>
      <c r="E31" s="73">
        <v>42</v>
      </c>
      <c r="F31" s="7"/>
    </row>
    <row r="32" spans="2:12">
      <c r="B32" s="27" t="s">
        <v>280</v>
      </c>
      <c r="C32" s="27"/>
      <c r="D32" s="27"/>
      <c r="E32" s="73">
        <v>60</v>
      </c>
      <c r="F32" s="7"/>
    </row>
    <row r="33" spans="2:17">
      <c r="B33" s="27" t="s">
        <v>77</v>
      </c>
      <c r="C33" s="27"/>
      <c r="D33" s="27"/>
      <c r="E33" s="66">
        <v>8</v>
      </c>
      <c r="F33" s="7"/>
    </row>
    <row r="34" spans="2:17">
      <c r="B34" s="27" t="s">
        <v>79</v>
      </c>
      <c r="C34" s="27"/>
      <c r="D34" s="27"/>
      <c r="E34" s="56">
        <v>50</v>
      </c>
      <c r="F34" s="7"/>
    </row>
    <row r="35" spans="2:17">
      <c r="B35" s="27" t="s">
        <v>281</v>
      </c>
      <c r="C35" s="27"/>
      <c r="D35" s="27"/>
      <c r="E35" s="56">
        <v>30</v>
      </c>
      <c r="F35" s="7"/>
    </row>
    <row r="37" spans="2:17">
      <c r="B37" s="32" t="s">
        <v>282</v>
      </c>
      <c r="C37" s="32"/>
      <c r="D37" s="32"/>
      <c r="E37" s="32"/>
      <c r="F37" s="32"/>
      <c r="G37" s="32"/>
      <c r="H37" s="32"/>
      <c r="I37" s="32"/>
      <c r="J37" s="32"/>
      <c r="K37" s="32"/>
      <c r="L37" s="32"/>
    </row>
    <row r="38" spans="2:17" ht="45.5" customHeight="1">
      <c r="B38" s="33" t="s">
        <v>105</v>
      </c>
      <c r="C38" s="33" t="s">
        <v>106</v>
      </c>
      <c r="D38" s="33" t="s">
        <v>64</v>
      </c>
      <c r="E38" s="33" t="s">
        <v>107</v>
      </c>
      <c r="F38" s="33" t="s">
        <v>108</v>
      </c>
      <c r="G38" s="33" t="s">
        <v>109</v>
      </c>
      <c r="H38" s="33" t="s">
        <v>66</v>
      </c>
      <c r="I38" s="33" t="s">
        <v>110</v>
      </c>
      <c r="J38" s="33" t="s">
        <v>111</v>
      </c>
      <c r="K38" s="33" t="s">
        <v>112</v>
      </c>
      <c r="L38" s="33" t="s">
        <v>113</v>
      </c>
      <c r="M38" s="33" t="s">
        <v>114</v>
      </c>
      <c r="N38" s="33" t="s">
        <v>115</v>
      </c>
      <c r="O38" s="33" t="s">
        <v>116</v>
      </c>
      <c r="P38" s="33" t="s">
        <v>117</v>
      </c>
      <c r="Q38" s="33" t="s">
        <v>118</v>
      </c>
    </row>
    <row r="39" spans="2:17">
      <c r="B39" s="56">
        <v>1</v>
      </c>
      <c r="C39" s="61" t="s">
        <v>283</v>
      </c>
      <c r="D39" s="61" t="s">
        <v>84</v>
      </c>
      <c r="E39" s="61" t="s">
        <v>121</v>
      </c>
      <c r="F39" s="61" t="s">
        <v>122</v>
      </c>
      <c r="G39" s="66">
        <v>20</v>
      </c>
      <c r="H39" s="61" t="s">
        <v>95</v>
      </c>
      <c r="I39" s="61" t="s">
        <v>123</v>
      </c>
      <c r="J39" s="66">
        <v>15</v>
      </c>
      <c r="K39" s="36">
        <f>IF(tblVerifySteps[[#This Row],[No.]]="","",IF(tblVerifySteps[[#This Row],[Current type]]="Internal",tblVerifySteps[[#This Row],[Current (min)]],0))</f>
        <v>20</v>
      </c>
      <c r="L39" s="36">
        <f>IF(tblVerifySteps[[#This Row],[No.]]="","",IF(tblVerifySteps[[#This Row],[Current type]]="External",tblVerifySteps[[#This Row],[Current (min)]],0))</f>
        <v>0</v>
      </c>
      <c r="M39" s="36">
        <f>IF(tblVerifySteps[[#This Row],[No.]]="","",IF(tblVerifySteps[[#This Row],[Future type]]="Internal",N(tblVerifySteps[[#This Row],[Future (min)]]),0))</f>
        <v>0</v>
      </c>
      <c r="N39" s="36">
        <f>IF(tblVerifySteps[[#This Row],[No.]]="","",IF(tblVerifySteps[[#This Row],[Future type]]="External",N(tblVerifySteps[[#This Row],[Future (min)]]),0))</f>
        <v>15</v>
      </c>
      <c r="O39" s="36">
        <f>IF(tblVerifySteps[[#This Row],[No.]]="","",tblVerifySteps[[#This Row],[Current internal (min)]]-tblVerifySteps[[#This Row],[Future internal (min)]])</f>
        <v>20</v>
      </c>
      <c r="P39" s="37" t="str">
        <f>IF(tblVerifySteps[[#This Row],[No.]]="","",IF(tblVerifySteps[[#This Row],[Step]]="","Missing step",IF(tblVerifySteps[[#This Row],[Current type]]="","Missing current type",IF(tblVerifySteps[[#This Row],[Current (min)]]="","Missing current",IF(tblVerifySteps[[#This Row],[Action]]="","Missing action",IF(tblVerifySteps[[#This Row],[Future type]]="","Missing future type",IF(COUNTIF(tblVerifySteps[No.],tblVerifySteps[[#This Row],[No.]])&gt;1,"Duplicate step number",IF(AND(tblVerifySteps[[#This Row],[Action]]="Convert to external",tblVerifySteps[[#This Row],[Future type]]="Internal"),"Converted step is still internal",IF(AND(tblVerifySteps[[#This Row],[Action]]="Eliminate",tblVerifySteps[[#This Row],[Future (min)]]&gt;0),"Eliminated step still has time",IF(AND(tblVerifySteps[[#This Row],[Action]]="Keep as is",tblVerifySteps[[#This Row],[Future (min)]]&lt;&gt;tblVerifySteps[[#This Row],[Current (min)]]),"Kept step changed its time",IF(tblVerifySteps[[#This Row],[Future (min)]]&gt;tblVerifySteps[[#This Row],[Current (min)]],"Future step is longer","OK")))))))))))</f>
        <v>OK</v>
      </c>
      <c r="Q39" s="61"/>
    </row>
    <row r="40" spans="2:17">
      <c r="B40" s="56">
        <v>2</v>
      </c>
      <c r="C40" s="61" t="s">
        <v>284</v>
      </c>
      <c r="D40" s="61" t="s">
        <v>86</v>
      </c>
      <c r="E40" s="61" t="s">
        <v>121</v>
      </c>
      <c r="F40" s="61" t="s">
        <v>122</v>
      </c>
      <c r="G40" s="66">
        <v>30</v>
      </c>
      <c r="H40" s="61" t="s">
        <v>97</v>
      </c>
      <c r="I40" s="61" t="s">
        <v>122</v>
      </c>
      <c r="J40" s="66">
        <v>20</v>
      </c>
      <c r="K40" s="36">
        <f>IF(tblVerifySteps[[#This Row],[No.]]="","",IF(tblVerifySteps[[#This Row],[Current type]]="Internal",tblVerifySteps[[#This Row],[Current (min)]],0))</f>
        <v>30</v>
      </c>
      <c r="L40" s="36">
        <f>IF(tblVerifySteps[[#This Row],[No.]]="","",IF(tblVerifySteps[[#This Row],[Current type]]="External",tblVerifySteps[[#This Row],[Current (min)]],0))</f>
        <v>0</v>
      </c>
      <c r="M40" s="36">
        <f>IF(tblVerifySteps[[#This Row],[No.]]="","",IF(tblVerifySteps[[#This Row],[Future type]]="Internal",N(tblVerifySteps[[#This Row],[Future (min)]]),0))</f>
        <v>20</v>
      </c>
      <c r="N40" s="36">
        <f>IF(tblVerifySteps[[#This Row],[No.]]="","",IF(tblVerifySteps[[#This Row],[Future type]]="External",N(tblVerifySteps[[#This Row],[Future (min)]]),0))</f>
        <v>0</v>
      </c>
      <c r="O40" s="36">
        <f>IF(tblVerifySteps[[#This Row],[No.]]="","",tblVerifySteps[[#This Row],[Current internal (min)]]-tblVerifySteps[[#This Row],[Future internal (min)]])</f>
        <v>10</v>
      </c>
      <c r="P40" s="37" t="str">
        <f>IF(tblVerifySteps[[#This Row],[No.]]="","",IF(tblVerifySteps[[#This Row],[Step]]="","Missing step",IF(tblVerifySteps[[#This Row],[Current type]]="","Missing current type",IF(tblVerifySteps[[#This Row],[Current (min)]]="","Missing current",IF(tblVerifySteps[[#This Row],[Action]]="","Missing action",IF(tblVerifySteps[[#This Row],[Future type]]="","Missing future type",IF(COUNTIF(tblVerifySteps[No.],tblVerifySteps[[#This Row],[No.]])&gt;1,"Duplicate step number",IF(AND(tblVerifySteps[[#This Row],[Action]]="Convert to external",tblVerifySteps[[#This Row],[Future type]]="Internal"),"Converted step is still internal",IF(AND(tblVerifySteps[[#This Row],[Action]]="Eliminate",tblVerifySteps[[#This Row],[Future (min)]]&gt;0),"Eliminated step still has time",IF(AND(tblVerifySteps[[#This Row],[Action]]="Keep as is",tblVerifySteps[[#This Row],[Future (min)]]&lt;&gt;tblVerifySteps[[#This Row],[Current (min)]]),"Kept step changed its time",IF(tblVerifySteps[[#This Row],[Future (min)]]&gt;tblVerifySteps[[#This Row],[Current (min)]],"Future step is longer","OK")))))))))))</f>
        <v>OK</v>
      </c>
      <c r="Q40" s="61"/>
    </row>
    <row r="41" spans="2:17">
      <c r="B41" s="56">
        <v>3</v>
      </c>
      <c r="C41" s="61" t="s">
        <v>285</v>
      </c>
      <c r="D41" s="61" t="s">
        <v>90</v>
      </c>
      <c r="E41" s="61" t="s">
        <v>121</v>
      </c>
      <c r="F41" s="61" t="s">
        <v>122</v>
      </c>
      <c r="G41" s="66">
        <v>25</v>
      </c>
      <c r="H41" s="61" t="s">
        <v>97</v>
      </c>
      <c r="I41" s="61" t="s">
        <v>122</v>
      </c>
      <c r="J41" s="66">
        <v>15</v>
      </c>
      <c r="K41" s="36">
        <f>IF(tblVerifySteps[[#This Row],[No.]]="","",IF(tblVerifySteps[[#This Row],[Current type]]="Internal",tblVerifySteps[[#This Row],[Current (min)]],0))</f>
        <v>25</v>
      </c>
      <c r="L41" s="36">
        <f>IF(tblVerifySteps[[#This Row],[No.]]="","",IF(tblVerifySteps[[#This Row],[Current type]]="External",tblVerifySteps[[#This Row],[Current (min)]],0))</f>
        <v>0</v>
      </c>
      <c r="M41" s="36">
        <f>IF(tblVerifySteps[[#This Row],[No.]]="","",IF(tblVerifySteps[[#This Row],[Future type]]="Internal",N(tblVerifySteps[[#This Row],[Future (min)]]),0))</f>
        <v>15</v>
      </c>
      <c r="N41" s="36">
        <f>IF(tblVerifySteps[[#This Row],[No.]]="","",IF(tblVerifySteps[[#This Row],[Future type]]="External",N(tblVerifySteps[[#This Row],[Future (min)]]),0))</f>
        <v>0</v>
      </c>
      <c r="O41" s="36">
        <f>IF(tblVerifySteps[[#This Row],[No.]]="","",tblVerifySteps[[#This Row],[Current internal (min)]]-tblVerifySteps[[#This Row],[Future internal (min)]])</f>
        <v>10</v>
      </c>
      <c r="P41" s="37" t="str">
        <f>IF(tblVerifySteps[[#This Row],[No.]]="","",IF(tblVerifySteps[[#This Row],[Step]]="","Missing step",IF(tblVerifySteps[[#This Row],[Current type]]="","Missing current type",IF(tblVerifySteps[[#This Row],[Current (min)]]="","Missing current",IF(tblVerifySteps[[#This Row],[Action]]="","Missing action",IF(tblVerifySteps[[#This Row],[Future type]]="","Missing future type",IF(COUNTIF(tblVerifySteps[No.],tblVerifySteps[[#This Row],[No.]])&gt;1,"Duplicate step number",IF(AND(tblVerifySteps[[#This Row],[Action]]="Convert to external",tblVerifySteps[[#This Row],[Future type]]="Internal"),"Converted step is still internal",IF(AND(tblVerifySteps[[#This Row],[Action]]="Eliminate",tblVerifySteps[[#This Row],[Future (min)]]&gt;0),"Eliminated step still has time",IF(AND(tblVerifySteps[[#This Row],[Action]]="Keep as is",tblVerifySteps[[#This Row],[Future (min)]]&lt;&gt;tblVerifySteps[[#This Row],[Current (min)]]),"Kept step changed its time",IF(tblVerifySteps[[#This Row],[Future (min)]]&gt;tblVerifySteps[[#This Row],[Current (min)]],"Future step is longer","OK")))))))))))</f>
        <v>OK</v>
      </c>
      <c r="Q41" s="61"/>
    </row>
    <row r="42" spans="2:17">
      <c r="B42" s="56">
        <v>4</v>
      </c>
      <c r="C42" s="61" t="s">
        <v>286</v>
      </c>
      <c r="D42" s="61" t="s">
        <v>84</v>
      </c>
      <c r="E42" s="61" t="s">
        <v>149</v>
      </c>
      <c r="F42" s="61" t="s">
        <v>123</v>
      </c>
      <c r="G42" s="66">
        <v>10</v>
      </c>
      <c r="H42" s="61" t="s">
        <v>103</v>
      </c>
      <c r="I42" s="61" t="s">
        <v>123</v>
      </c>
      <c r="J42" s="66">
        <v>10</v>
      </c>
      <c r="K42" s="36">
        <f>IF(tblVerifySteps[[#This Row],[No.]]="","",IF(tblVerifySteps[[#This Row],[Current type]]="Internal",tblVerifySteps[[#This Row],[Current (min)]],0))</f>
        <v>0</v>
      </c>
      <c r="L42" s="36">
        <f>IF(tblVerifySteps[[#This Row],[No.]]="","",IF(tblVerifySteps[[#This Row],[Current type]]="External",tblVerifySteps[[#This Row],[Current (min)]],0))</f>
        <v>10</v>
      </c>
      <c r="M42" s="36">
        <f>IF(tblVerifySteps[[#This Row],[No.]]="","",IF(tblVerifySteps[[#This Row],[Future type]]="Internal",N(tblVerifySteps[[#This Row],[Future (min)]]),0))</f>
        <v>0</v>
      </c>
      <c r="N42" s="36">
        <f>IF(tblVerifySteps[[#This Row],[No.]]="","",IF(tblVerifySteps[[#This Row],[Future type]]="External",N(tblVerifySteps[[#This Row],[Future (min)]]),0))</f>
        <v>10</v>
      </c>
      <c r="O42" s="36">
        <f>IF(tblVerifySteps[[#This Row],[No.]]="","",tblVerifySteps[[#This Row],[Current internal (min)]]-tblVerifySteps[[#This Row],[Future internal (min)]])</f>
        <v>0</v>
      </c>
      <c r="P42" s="37" t="str">
        <f>IF(tblVerifySteps[[#This Row],[No.]]="","",IF(tblVerifySteps[[#This Row],[Step]]="","Missing step",IF(tblVerifySteps[[#This Row],[Current type]]="","Missing current type",IF(tblVerifySteps[[#This Row],[Current (min)]]="","Missing current",IF(tblVerifySteps[[#This Row],[Action]]="","Missing action",IF(tblVerifySteps[[#This Row],[Future type]]="","Missing future type",IF(COUNTIF(tblVerifySteps[No.],tblVerifySteps[[#This Row],[No.]])&gt;1,"Duplicate step number",IF(AND(tblVerifySteps[[#This Row],[Action]]="Convert to external",tblVerifySteps[[#This Row],[Future type]]="Internal"),"Converted step is still internal",IF(AND(tblVerifySteps[[#This Row],[Action]]="Eliminate",tblVerifySteps[[#This Row],[Future (min)]]&gt;0),"Eliminated step still has time",IF(AND(tblVerifySteps[[#This Row],[Action]]="Keep as is",tblVerifySteps[[#This Row],[Future (min)]]&lt;&gt;tblVerifySteps[[#This Row],[Current (min)]]),"Kept step changed its time",IF(tblVerifySteps[[#This Row],[Future (min)]]&gt;tblVerifySteps[[#This Row],[Current (min)]],"Future step is longer","OK")))))))))))</f>
        <v>OK</v>
      </c>
      <c r="Q42" s="61"/>
    </row>
    <row r="43" spans="2:17">
      <c r="B43" s="56">
        <v>5</v>
      </c>
      <c r="C43" s="61" t="s">
        <v>287</v>
      </c>
      <c r="D43" s="61" t="s">
        <v>84</v>
      </c>
      <c r="E43" s="61" t="s">
        <v>149</v>
      </c>
      <c r="F43" s="61" t="s">
        <v>122</v>
      </c>
      <c r="G43" s="66">
        <v>0</v>
      </c>
      <c r="H43" s="61" t="s">
        <v>95</v>
      </c>
      <c r="I43" s="61" t="s">
        <v>122</v>
      </c>
      <c r="J43" s="66">
        <v>0</v>
      </c>
      <c r="K43" s="36">
        <f>IF(tblVerifySteps[[#This Row],[No.]]="","",IF(tblVerifySteps[[#This Row],[Current type]]="Internal",tblVerifySteps[[#This Row],[Current (min)]],0))</f>
        <v>0</v>
      </c>
      <c r="L43" s="36">
        <f>IF(tblVerifySteps[[#This Row],[No.]]="","",IF(tblVerifySteps[[#This Row],[Current type]]="External",tblVerifySteps[[#This Row],[Current (min)]],0))</f>
        <v>0</v>
      </c>
      <c r="M43" s="36">
        <f>IF(tblVerifySteps[[#This Row],[No.]]="","",IF(tblVerifySteps[[#This Row],[Future type]]="Internal",N(tblVerifySteps[[#This Row],[Future (min)]]),0))</f>
        <v>0</v>
      </c>
      <c r="N43" s="36">
        <f>IF(tblVerifySteps[[#This Row],[No.]]="","",IF(tblVerifySteps[[#This Row],[Future type]]="External",N(tblVerifySteps[[#This Row],[Future (min)]]),0))</f>
        <v>0</v>
      </c>
      <c r="O43" s="36">
        <f>IF(tblVerifySteps[[#This Row],[No.]]="","",tblVerifySteps[[#This Row],[Current internal (min)]]-tblVerifySteps[[#This Row],[Future internal (min)]])</f>
        <v>0</v>
      </c>
      <c r="P43" s="37" t="str">
        <f>IF(tblVerifySteps[[#This Row],[No.]]="","",IF(tblVerifySteps[[#This Row],[Step]]="","Missing step",IF(tblVerifySteps[[#This Row],[Current type]]="","Missing current type",IF(tblVerifySteps[[#This Row],[Current (min)]]="","Missing current",IF(tblVerifySteps[[#This Row],[Action]]="","Missing action",IF(tblVerifySteps[[#This Row],[Future type]]="","Missing future type",IF(COUNTIF(tblVerifySteps[No.],tblVerifySteps[[#This Row],[No.]])&gt;1,"Duplicate step number",IF(AND(tblVerifySteps[[#This Row],[Action]]="Convert to external",tblVerifySteps[[#This Row],[Future type]]="Internal"),"Converted step is still internal",IF(AND(tblVerifySteps[[#This Row],[Action]]="Eliminate",tblVerifySteps[[#This Row],[Future (min)]]&gt;0),"Eliminated step still has time",IF(AND(tblVerifySteps[[#This Row],[Action]]="Keep as is",tblVerifySteps[[#This Row],[Future (min)]]&lt;&gt;tblVerifySteps[[#This Row],[Current (min)]]),"Kept step changed its time",IF(tblVerifySteps[[#This Row],[Future (min)]]&gt;tblVerifySteps[[#This Row],[Current (min)]],"Future step is longer","OK")))))))))))</f>
        <v>Converted step is still internal</v>
      </c>
      <c r="Q43" s="61"/>
    </row>
    <row r="45" spans="2:17">
      <c r="B45" s="32" t="s">
        <v>288</v>
      </c>
      <c r="C45" s="32"/>
      <c r="D45" s="32"/>
      <c r="E45" s="32"/>
      <c r="F45" s="32"/>
      <c r="G45" s="32"/>
      <c r="H45" s="32"/>
      <c r="I45" s="32"/>
      <c r="J45" s="32"/>
      <c r="K45" s="32"/>
      <c r="L45" s="32"/>
    </row>
    <row r="46" spans="2:17" ht="32" customHeight="1">
      <c r="B46" s="33" t="s">
        <v>152</v>
      </c>
      <c r="C46" s="33" t="s">
        <v>153</v>
      </c>
      <c r="D46" s="33" t="s">
        <v>154</v>
      </c>
      <c r="E46" s="33" t="s">
        <v>121</v>
      </c>
      <c r="F46" s="33" t="s">
        <v>155</v>
      </c>
      <c r="G46" s="33" t="s">
        <v>156</v>
      </c>
      <c r="H46" s="33" t="s">
        <v>157</v>
      </c>
      <c r="I46" s="33" t="s">
        <v>117</v>
      </c>
      <c r="J46" s="33" t="s">
        <v>118</v>
      </c>
    </row>
    <row r="47" spans="2:17">
      <c r="B47" s="75">
        <v>46027</v>
      </c>
      <c r="C47" s="61" t="s">
        <v>289</v>
      </c>
      <c r="D47" s="61" t="s">
        <v>290</v>
      </c>
      <c r="E47" s="61" t="s">
        <v>291</v>
      </c>
      <c r="F47" s="56">
        <v>28</v>
      </c>
      <c r="G47" s="39" t="str">
        <f>IF(NOT(ISNUMBER(tblVerifyChanges[[#This Row],[Duration (min)]])),"",IF(tblVerifyChanges[[#This Row],[Duration (min)]]&lt;=$E$35,"On target",IF(tblVerifyChanges[[#This Row],[Duration (min)]]&lt;=$E$35*(1+0.1),"Near target","Above target")))</f>
        <v>On target</v>
      </c>
      <c r="H47" s="40">
        <f>IF(tblVerifyChanges[[#This Row],[Date]]="","",MAX(0,tblVerifyChanges[[#This Row],[Duration (min)]]-$E$35))</f>
        <v>0</v>
      </c>
      <c r="I47" s="37" t="str">
        <f>IF(tblVerifyChanges[[#This Row],[Date]]="","",IF(tblVerifyChanges[[#This Row],[Duration (min)]]="","Missing duration",IF(tblVerifyChanges[[#This Row],[From]]=tblVerifyChanges[[#This Row],[To]],"From and To are the same","OK")))</f>
        <v>OK</v>
      </c>
      <c r="J47" s="61"/>
    </row>
    <row r="48" spans="2:17">
      <c r="B48" s="75">
        <v>46028</v>
      </c>
      <c r="C48" s="61" t="s">
        <v>290</v>
      </c>
      <c r="D48" s="61" t="s">
        <v>292</v>
      </c>
      <c r="E48" s="61" t="s">
        <v>291</v>
      </c>
      <c r="F48" s="56">
        <v>32</v>
      </c>
      <c r="G48" s="39" t="str">
        <f>IF(NOT(ISNUMBER(tblVerifyChanges[[#This Row],[Duration (min)]])),"",IF(tblVerifyChanges[[#This Row],[Duration (min)]]&lt;=$E$35,"On target",IF(tblVerifyChanges[[#This Row],[Duration (min)]]&lt;=$E$35*(1+0.1),"Near target","Above target")))</f>
        <v>Near target</v>
      </c>
      <c r="H48" s="40">
        <f>IF(tblVerifyChanges[[#This Row],[Date]]="","",MAX(0,tblVerifyChanges[[#This Row],[Duration (min)]]-$E$35))</f>
        <v>2</v>
      </c>
      <c r="I48" s="37" t="str">
        <f>IF(tblVerifyChanges[[#This Row],[Date]]="","",IF(tblVerifyChanges[[#This Row],[Duration (min)]]="","Missing duration",IF(tblVerifyChanges[[#This Row],[From]]=tblVerifyChanges[[#This Row],[To]],"From and To are the same","OK")))</f>
        <v>OK</v>
      </c>
      <c r="J48" s="61"/>
    </row>
    <row r="49" spans="2:10">
      <c r="B49" s="75">
        <v>46029</v>
      </c>
      <c r="C49" s="61" t="s">
        <v>292</v>
      </c>
      <c r="D49" s="61" t="s">
        <v>289</v>
      </c>
      <c r="E49" s="61" t="s">
        <v>291</v>
      </c>
      <c r="F49" s="56">
        <v>45</v>
      </c>
      <c r="G49" s="39" t="str">
        <f>IF(NOT(ISNUMBER(tblVerifyChanges[[#This Row],[Duration (min)]])),"",IF(tblVerifyChanges[[#This Row],[Duration (min)]]&lt;=$E$35,"On target",IF(tblVerifyChanges[[#This Row],[Duration (min)]]&lt;=$E$35*(1+0.1),"Near target","Above target")))</f>
        <v>Above target</v>
      </c>
      <c r="H49" s="40">
        <f>IF(tblVerifyChanges[[#This Row],[Date]]="","",MAX(0,tblVerifyChanges[[#This Row],[Duration (min)]]-$E$35))</f>
        <v>15</v>
      </c>
      <c r="I49" s="37" t="str">
        <f>IF(tblVerifyChanges[[#This Row],[Date]]="","",IF(tblVerifyChanges[[#This Row],[Duration (min)]]="","Missing duration",IF(tblVerifyChanges[[#This Row],[From]]=tblVerifyChanges[[#This Row],[To]],"From and To are the same","OK")))</f>
        <v>OK</v>
      </c>
      <c r="J49" s="61"/>
    </row>
    <row r="50" spans="2:10">
      <c r="B50" s="75">
        <v>46030</v>
      </c>
      <c r="C50" s="61" t="s">
        <v>289</v>
      </c>
      <c r="D50" s="61" t="s">
        <v>289</v>
      </c>
      <c r="E50" s="61" t="s">
        <v>291</v>
      </c>
      <c r="F50" s="56">
        <v>30</v>
      </c>
      <c r="G50" s="39" t="str">
        <f>IF(NOT(ISNUMBER(tblVerifyChanges[[#This Row],[Duration (min)]])),"",IF(tblVerifyChanges[[#This Row],[Duration (min)]]&lt;=$E$35,"On target",IF(tblVerifyChanges[[#This Row],[Duration (min)]]&lt;=$E$35*(1+0.1),"Near target","Above target")))</f>
        <v>On target</v>
      </c>
      <c r="H50" s="40">
        <f>IF(tblVerifyChanges[[#This Row],[Date]]="","",MAX(0,tblVerifyChanges[[#This Row],[Duration (min)]]-$E$35))</f>
        <v>0</v>
      </c>
      <c r="I50" s="37" t="str">
        <f>IF(tblVerifyChanges[[#This Row],[Date]]="","",IF(tblVerifyChanges[[#This Row],[Duration (min)]]="","Missing duration",IF(tblVerifyChanges[[#This Row],[From]]=tblVerifyChanges[[#This Row],[To]],"From and To are the same","OK")))</f>
        <v>From and To are the same</v>
      </c>
      <c r="J50" s="61"/>
    </row>
  </sheetData>
  <sheetProtection sheet="1" formatColumns="0" formatRows="0"/>
  <mergeCells count="33">
    <mergeCell ref="A1:Q1"/>
    <mergeCell ref="B2:P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B27:L27"/>
    <mergeCell ref="B29:L29"/>
    <mergeCell ref="B30:F30"/>
    <mergeCell ref="B31:D31"/>
    <mergeCell ref="B32:D32"/>
    <mergeCell ref="B33:D33"/>
    <mergeCell ref="B34:D34"/>
    <mergeCell ref="B35:D35"/>
    <mergeCell ref="B37:L37"/>
    <mergeCell ref="B45:L4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47:I50">
    <cfRule type="expression" dxfId="3" priority="43">
      <formula>$I47="OK"</formula>
    </cfRule>
    <cfRule type="expression" dxfId="1" priority="44">
      <formula>AND($I47&lt;&gt;"",$I47&lt;&gt;"OK")</formula>
    </cfRule>
  </conditionalFormatting>
  <conditionalFormatting sqref="K11:K2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P39:P43">
    <cfRule type="expression" dxfId="3" priority="41">
      <formula>$P39="OK"</formula>
    </cfRule>
    <cfRule type="expression" dxfId="1" priority="42">
      <formula>AND($P39&lt;&gt;"",$P39&lt;&gt;"OK")</formula>
    </cfRule>
  </conditionalFormatting>
  <hyperlinks>
    <hyperlink ref="Q2" r:id="rId1" tooltip="Free manufacturing calculators and templates"/>
  </hyperlinks>
  <printOptions horizontalCentered="1"/>
  <pageMargins left="0.4" right="0.4" top="0.7" bottom="0.65" header="0.3" footer="0.3"/>
  <pageSetup fitToHeight="0" orientation="landscape"/>
  <headerFooter>
    <oddHeader>&amp;L&amp;8MFG Calcs - SMED Changeover Analysis&amp;R&amp;8&amp;A</oddHeader>
    <oddFooter>&amp;L&amp;8mfgcalcs.com - free manufacturing templates&amp;R&amp;8Page &amp;P of &amp;N</oddFooter>
  </headerFooter>
  <rowBreaks count="1" manualBreakCount="1">
    <brk id="36"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Start Here</vt:lpstr>
      <vt:lpstr>Setup</vt:lpstr>
      <vt:lpstr>Step Study</vt:lpstr>
      <vt:lpstr>Changeover Log</vt:lpstr>
      <vt:lpstr>Dashboard</vt:lpstr>
      <vt:lpstr>Method</vt:lpstr>
      <vt:lpstr>Verify</vt:lpstr>
      <vt:lpstr>CoPerWeek</vt:lpstr>
      <vt:lpstr>Currency</vt:lpstr>
      <vt:lpstr>KpiCur</vt:lpstr>
      <vt:lpstr>KpiExt</vt:lpstr>
      <vt:lpstr>KpiFut</vt:lpstr>
      <vt:lpstr>KpiHours</vt:lpstr>
      <vt:lpstr>KpiLogAvg</vt:lpstr>
      <vt:lpstr>KpiOnTarget</vt:lpstr>
      <vt:lpstr>KpiRed</vt:lpstr>
      <vt:lpstr>KpiSave</vt:lpstr>
      <vt:lpstr>LabourRate</vt:lpstr>
      <vt:lpstr>MachineName</vt:lpstr>
      <vt:lpstr>MachineRate</vt:lpstr>
      <vt:lpstr>'Changeover Log'!Print_Area</vt:lpstr>
      <vt:lpstr>Dashboard!Print_Area</vt:lpstr>
      <vt:lpstr>Method!Print_Area</vt:lpstr>
      <vt:lpstr>Setup!Print_Area</vt:lpstr>
      <vt:lpstr>'Start Here'!Print_Area</vt:lpstr>
      <vt:lpstr>'Step Study'!Print_Area</vt:lpstr>
      <vt:lpstr>Verify!Print_Area</vt:lpstr>
      <vt:lpstr>'Changeover Log'!Print_Titles</vt:lpstr>
      <vt:lpstr>Method!Print_Titles</vt:lpstr>
      <vt:lpstr>'Step Study'!Print_Titles</vt:lpstr>
      <vt:lpstr>SelfCheck</vt:lpstr>
      <vt:lpstr>SelfCheckSummary</vt:lpstr>
      <vt:lpstr>TargetMin</vt:lpstr>
      <vt:lpstr>WeeksPerYear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SMED Changeover Analysis - free Excel template from MFG Calcs</dc:title>
  <dc:subject>Break a changeover into steps, separate internal from external work, plan the future method, see minutes and money saved, and log real changeovers against the target.</dc:subject>
  <dc:creator>MFG Calcs</dc:creator>
  <cp:keywords>SMED, single minute exchange of die, quick changeover, setup reduction, internal external, mould change, die change, changeover time</cp:keywords>
  <dc:description>https://www.mfgcalcs.com/templates/smed-changeover-analysis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smed-changeover-analysis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study</vt:lpwstr>
  </property>
  <property fmtid="{D5CDD505-2E9C-101B-9397-08002B2CF9AE}" pid="6" name="Template URL">
    <vt:lpwstr>https://www.mfgcalcs.com/templates/smed-changeover-analysis</vt:lpwstr>
  </property>
  <property fmtid="{D5CDD505-2E9C-101B-9397-08002B2CF9AE}" pid="7" name="Template sheet roles">
    <vt:lpwstr>Start Here=start;Setup=setup;Step Study=work;Changeover Log=work;Dashboard=dashboard;Method=method;Verify=verify</vt:lpwstr>
  </property>
</Properties>
</file>