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Plan" sheetId="3" r:id="rId3"/>
    <sheet name="Dashboard" sheetId="4" r:id="rId4"/>
    <sheet name="Method" sheetId="5" r:id="rId5"/>
    <sheet name="Verify" sheetId="6" r:id="rId6"/>
  </sheets>
  <definedNames>
    <definedName name="Currency">Setup!$D$7</definedName>
    <definedName name="Families">tblFamilies[Family]</definedName>
    <definedName name="KpiCover">Dashboard!$E$5</definedName>
    <definedName name="KpiPeak">Dashboard!$H$5</definedName>
    <definedName name="KpiRev">Dashboard!$B$5</definedName>
    <definedName name="KpiShort">Dashboard!$L$5</definedName>
    <definedName name="Lines">tblLines[Line]</definedName>
    <definedName name="MaxDOS">Setup!$D$10</definedName>
    <definedName name="MinDOS">Setup!$D$9</definedName>
    <definedName name="NearAt">Setup!$D$11</definedName>
    <definedName name="OverAt">Setup!$D$12</definedName>
    <definedName name="PlanStart">Setup!$D$8</definedName>
    <definedName name="PlantName">Setup!$D$6</definedName>
    <definedName name="_xlnm.Print_Area" localSheetId="3">Dashboard!$A$1:$O$60</definedName>
    <definedName name="_xlnm.Print_Area" localSheetId="4">Method!$A$1:$D$59</definedName>
    <definedName name="_xlnm.Print_Area" localSheetId="2">Plan!$A$1:$S$58</definedName>
    <definedName name="_xlnm.Print_Area" localSheetId="1">Setup!$A$1:$H$31</definedName>
    <definedName name="_xlnm.Print_Area" localSheetId="0">'Start Here'!$A$1:$F$55</definedName>
    <definedName name="_xlnm.Print_Area" localSheetId="5">Verify!$A$1:$S$75</definedName>
    <definedName name="_xlnm.Print_Titles" localSheetId="4">Method!$1:$2</definedName>
    <definedName name="_xlnm.Print_Titles" localSheetId="2">Plan!$1:$10</definedName>
    <definedName name="SelfCheck">Verify!$D$4</definedName>
    <definedName name="SelfCheckSummary">Verify!$F$4</definedName>
  </definedNames>
  <calcPr calcId="124519" fullCalcOnLoad="1"/>
</workbook>
</file>

<file path=xl/sharedStrings.xml><?xml version="1.0" encoding="utf-8"?>
<sst xmlns="http://schemas.openxmlformats.org/spreadsheetml/2006/main" count="533" uniqueCount="246">
  <si>
    <t>S&amp;OP Monthly Plan</t>
  </si>
  <si>
    <t>Read this first: what the workbook does and how to use it.</t>
  </si>
  <si>
    <t>mfgcalcs.com</t>
  </si>
  <si>
    <t>Balance 12 months of demand, production, inventory and line capacity by product family, and see where the plan runs short, builds stock or overloads a line.</t>
  </si>
  <si>
    <t>For: S&amp;OP leads, supply and demand planners, operations and plant managers, and the finance partner in the S&amp;OP meeting.</t>
  </si>
  <si>
    <t>Version 1.0.0  ·  updated 15 October 2026</t>
  </si>
  <si>
    <t>Quick start</t>
  </si>
  <si>
    <t>1.</t>
  </si>
  <si>
    <t>On Setup, set the currency, the first plan month and your days-of-supply policy, then list your lines (hours, uptime, yield) and product families (line, rate, price, opening inventory).</t>
  </si>
  <si>
    <t>2.</t>
  </si>
  <si>
    <t>On Plan, set each month's working days, then give every family one row per month with the demand forecast and the production plan.</t>
  </si>
  <si>
    <t>3.</t>
  </si>
  <si>
    <t>Read each row's closing inventory, days of supply and status, and the Check column.</t>
  </si>
  <si>
    <t>4.</t>
  </si>
  <si>
    <t>Open the Dashboard: line utilisation by month, the demand-production-inventory balance and the family summary. Change the production plan until both are acceptable.</t>
  </si>
  <si>
    <t>What is in this workbook</t>
  </si>
  <si>
    <t>Start Here</t>
  </si>
  <si>
    <t>Setup</t>
  </si>
  <si>
    <t>Currency, plan start, inventory policy, utilisation thresholds, the production lines and the product families.</t>
  </si>
  <si>
    <t>Plan</t>
  </si>
  <si>
    <t>Working days per month, then one row per family per month: demand forecast and production plan in; inventory, days of supply, line load and revenue out.</t>
  </si>
  <si>
    <t>Dashboard</t>
  </si>
  <si>
    <t>Line utilisation by month, the balance of demand, production and inventory, and each family's plan.</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</si>
  <si>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</si>
  <si>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</si>
  <si>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</si>
  <si>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</si>
  <si>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</si>
  <si>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</si>
  <si>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</si>
  <si>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</si>
  <si>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</si>
  <si>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</si>
  <si>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</si>
  <si>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</si>
  <si>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</si>
  <si>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</si>
  <si>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</si>
  <si>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</si>
  <si>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</si>
  <si>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</si>
  <si>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</si>
  <si>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</si>
  <si>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Effective Capacity Calculator on mfgcalcs.com</t>
  </si>
  <si>
    <t>Latest version</t>
  </si>
  <si>
    <t>mfgcalcs.com/templates/sop-plan</t>
  </si>
  <si>
    <t>More free templates</t>
  </si>
  <si>
    <t>mfgcalcs.com/templates</t>
  </si>
  <si>
    <t>Version</t>
  </si>
  <si>
    <t>1.0.0 (updated 15 October 2026)</t>
  </si>
  <si>
    <t>About the example data</t>
  </si>
  <si>
    <t>Every number already in this workbook is example data for Ridgeway Garden Equipment, a fictional business invented for this template, so the dashboard and charts show something meaningful on day one. It plans four product families on two lines from November 2026 to October 2027.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</si>
  <si>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</si>
  <si>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</si>
  <si>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</si>
  <si>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</si>
  <si>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</si>
  <si>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</si>
  <si>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</si>
  <si>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</si>
  <si>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Line</t>
  </si>
  <si>
    <t>Hours per day</t>
  </si>
  <si>
    <t>Uptime</t>
  </si>
  <si>
    <t>Yield</t>
  </si>
  <si>
    <t>Notes</t>
  </si>
  <si>
    <t>Family</t>
  </si>
  <si>
    <t>Rate (units/h)</t>
  </si>
  <si>
    <t>Price (per unit)</t>
  </si>
  <si>
    <t>Opening inventory (units)</t>
  </si>
  <si>
    <t>Good rate (units/h)</t>
  </si>
  <si>
    <t>Plan and policy</t>
  </si>
  <si>
    <t>Company or plant</t>
  </si>
  <si>
    <t>Ridgeway Garden Equipment (example)</t>
  </si>
  <si>
    <t>Currency label</t>
  </si>
  <si>
    <t>USD</t>
  </si>
  <si>
    <t>First plan month (the 1st)</t>
  </si>
  <si>
    <t>Minimum days of supply</t>
  </si>
  <si>
    <t>days</t>
  </si>
  <si>
    <t>Maximum days of supply</t>
  </si>
  <si>
    <t>Line near capacity from</t>
  </si>
  <si>
    <t>%</t>
  </si>
  <si>
    <t>Line over capacity above</t>
  </si>
  <si>
    <t>The policy and thresholds are yours to set; nothing here is an industry benchmark. Prices are example figures.</t>
  </si>
  <si>
    <t>Production lines</t>
  </si>
  <si>
    <t>Lines (example)</t>
  </si>
  <si>
    <t>Line A</t>
  </si>
  <si>
    <t>Two shifts, mowers and snow blowers</t>
  </si>
  <si>
    <t>Line B</t>
  </si>
  <si>
    <t>One shift, handheld products</t>
  </si>
  <si>
    <t>Product families</t>
  </si>
  <si>
    <t>Families (example)</t>
  </si>
  <si>
    <t>Mowers</t>
  </si>
  <si>
    <t>Walk-behind and ride-on</t>
  </si>
  <si>
    <t>Snow blowers</t>
  </si>
  <si>
    <t>Single and two-stage</t>
  </si>
  <si>
    <t>Trimmers</t>
  </si>
  <si>
    <t>Line trimmers, battery and petrol</t>
  </si>
  <si>
    <t>Leaf blowers</t>
  </si>
  <si>
    <t>Handheld and backpack</t>
  </si>
  <si>
    <t>Month</t>
  </si>
  <si>
    <t>Demand forecast (units)</t>
  </si>
  <si>
    <t>Production plan (units)</t>
  </si>
  <si>
    <t>Working days</t>
  </si>
  <si>
    <t>Start inv. (units)</t>
  </si>
  <si>
    <t>Opening inv. (units)</t>
  </si>
  <si>
    <t>Closing inv. (units)</t>
  </si>
  <si>
    <t>Days of supply</t>
  </si>
  <si>
    <t>Inventory status</t>
  </si>
  <si>
    <t>Load (h)</t>
  </si>
  <si>
    <t>Capacity (units)</t>
  </si>
  <si>
    <t>Revenue</t>
  </si>
  <si>
    <t>Check</t>
  </si>
  <si>
    <t>Plan calendar</t>
  </si>
  <si>
    <t/>
  </si>
  <si>
    <t>Example data for Ridgeway Garden Equipment (fictional). Negative closing inventory means demand is not covered. To clear: select the example rows, right-click, Delete &gt; Table Rows.</t>
  </si>
  <si>
    <t>Pre-build for spring</t>
  </si>
  <si>
    <t>Overtime not yet agreed</t>
  </si>
  <si>
    <t>Plan below autumn demand</t>
  </si>
  <si>
    <t>PRODUCTION / DEMAND</t>
  </si>
  <si>
    <t>PEAK LINE UTILISATION</t>
  </si>
  <si>
    <t>FAMILY-MONTHS SHORT</t>
  </si>
  <si>
    <t>Demand forecast x price, 12 months</t>
  </si>
  <si>
    <t>Over the plan, all families</t>
  </si>
  <si>
    <t>Line utilisation = load / available hours (amber from Near capacity, red above Over capacity)</t>
  </si>
  <si>
    <t>Utilisation</t>
  </si>
  <si>
    <t>Monthly balance, all families (revenue in thousands of the Setup currency)</t>
  </si>
  <si>
    <t>All families, units</t>
  </si>
  <si>
    <t>Demand</t>
  </si>
  <si>
    <t>Production</t>
  </si>
  <si>
    <t>Closing inventory</t>
  </si>
  <si>
    <t>Revenue (k)</t>
  </si>
  <si>
    <t>Family shortages</t>
  </si>
  <si>
    <t>Near capacity</t>
  </si>
  <si>
    <t>Over capacity</t>
  </si>
  <si>
    <t>Families over the plan (Inventory plan: Below target = a month runs short; Check = outside the days-of-supply policy)</t>
  </si>
  <si>
    <t>Demand (units)</t>
  </si>
  <si>
    <t>Production (units)</t>
  </si>
  <si>
    <t>Production / demand</t>
  </si>
  <si>
    <t>End inventory (units)</t>
  </si>
  <si>
    <t>Months below min</t>
  </si>
  <si>
    <t>Months above max</t>
  </si>
  <si>
    <t>Months short</t>
  </si>
  <si>
    <t>Inventory plan</t>
  </si>
  <si>
    <t>Line hours the production plan needs</t>
  </si>
  <si>
    <t>Total</t>
  </si>
  <si>
    <t>Available line hours (working days x hours per day x uptime)</t>
  </si>
  <si>
    <t>Available (h)</t>
  </si>
  <si>
    <t>The Dashboard covers 2 lines, 4 families and 12 months. If you add lines or families on Setup, extend the blocks (see Method); a warning appears here when a Setup list is longer than the Dashboard.</t>
  </si>
  <si>
    <t>What this workbook calculates</t>
  </si>
  <si>
    <t>Sales and operations planning balances demand and supply by product family, month by month, at a level of detail a monthly meeting can decide on. Each family's inventory is projected from its opening stock: plus production, minus demand. Days of supply compare the closing stock with the month's demand rate, against your minimum and maximum. Production is converted into line hours with each family's run rate and the line's yield, and compared with the hours each line can deliver. Revenue is the demand forecast at each family's price.</t>
  </si>
  <si>
    <t>Calculations</t>
  </si>
  <si>
    <t>Quantity</t>
  </si>
  <si>
    <t>How it is calculated</t>
  </si>
  <si>
    <t>Units</t>
  </si>
  <si>
    <t>Good rate</t>
  </si>
  <si>
    <t>Family run rate x its line's yield (Setup).</t>
  </si>
  <si>
    <t>units/h</t>
  </si>
  <si>
    <t>Opening inventory</t>
  </si>
  <si>
    <t>Opening stock on Setup + production - demand of the family's earlier plan months (SUMIFS).</t>
  </si>
  <si>
    <t>units</t>
  </si>
  <si>
    <t>Opening inventory + production plan - demand forecast. Negative = demand not covered that month.</t>
  </si>
  <si>
    <t>Closing inventory / (demand / working days of the month).</t>
  </si>
  <si>
    <t>Below target under the minimum days of supply, Above target over the maximum, On target between.</t>
  </si>
  <si>
    <t>-</t>
  </si>
  <si>
    <t>Load</t>
  </si>
  <si>
    <t>Production plan / good rate: line hours the plan needs, scrap included.</t>
  </si>
  <si>
    <t>h</t>
  </si>
  <si>
    <t>Available hours</t>
  </si>
  <si>
    <t>Working days x hours per day x uptime, per line and month.</t>
  </si>
  <si>
    <t>Sum of the load of the line's families / available hours; heat map from the Near and Over thresholds.</t>
  </si>
  <si>
    <t>Capacity</t>
  </si>
  <si>
    <t>Rate x yield x working days x hours per day x uptime: the most good units of one family a line could make in the month alone (the live calculator's good capacity).</t>
  </si>
  <si>
    <t>Demand forecast x price per unit, in the Setup currency. Shortages are not deducted.</t>
  </si>
  <si>
    <t>currency</t>
  </si>
  <si>
    <t>Family summary</t>
  </si>
  <si>
    <t>Per family over the plan: demand, production, production / demand, last month's closing inventory, months below or above policy, months short, revenue.</t>
  </si>
  <si>
    <t>Assumptions</t>
  </si>
  <si>
    <t>Demand and production are monthly totals; production in a month is available to that month's demand.</t>
  </si>
  <si>
    <t>Unmet demand carries forward as negative inventory (backorder), not as a lost sale.</t>
  </si>
  <si>
    <t>Run rates, uptime and yield hold at their Setup values every month; families on one line share its hours.</t>
  </si>
  <si>
    <t>Prices are average selling prices for the family, before discounts and returns.</t>
  </si>
  <si>
    <t>Limitations</t>
  </si>
  <si>
    <t>Aggregate plan: it does not check components, labour skills or sequence within a month (use MRP and capacity planning for that).</t>
  </si>
  <si>
    <t>Days of supply use the same month's demand rate; a month before a seasonal peak can look high while the next month's cover is low.</t>
  </si>
  <si>
    <t>Revenue is at forecast demand; it is not a financial plan (no costs, margins or cash timing).</t>
  </si>
  <si>
    <t>The Dashboard has fixed blocks for 2 lines, 4 families and 12 months; longer lists need the blocks extended (a warning appears).</t>
  </si>
  <si>
    <t>Agreement with the live calculator</t>
  </si>
  <si>
    <t>The live Effective Capacity calculator in the S&amp;OP category turns output per cycle, available cycles, uptime and first-pass yield into good capacity (and the downtime and yield losses). This workbook's Capacity column is the same product for one family on its line in one month: run rate (units per hour, the cycle) x scheduled hours (working days x hours per day) x uptime x yield. The build checks the reference against the calculator's engine for Mowers in November 2026 and for the calculator's own default example.</t>
  </si>
  <si>
    <t>Open the Effective Capacity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</si>
  <si>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</si>
  <si>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</si>
  <si>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ASCM/APICS Dictionary: sales and operations planning, production plan, days of supply, by definition.</t>
  </si>
  <si>
    <t>Wallace, T. and Stahl, R., Sales and Operations Planning: The How-To Handbook, 3rd ed., T.F. Wallace &amp; Co., 2008.</t>
  </si>
  <si>
    <t>Vollmann, Berry, Whybark and Jacobs, Manufacturing Planning and Control for Supply Chain Management (S&amp;OP and aggregate planning).</t>
  </si>
  <si>
    <t>MFG Calcs Effective Capacity calculator (capacity-demand-gap): good capacity = output per cycle x cycles x uptime x yield.</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</si>
  <si>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</si>
  <si>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</si>
  <si>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</si>
  <si>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</si>
  <si>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</si>
  <si>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</si>
  <si>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</si>
  <si>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</si>
  <si>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</si>
  <si>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</si>
  <si>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</si>
  <si>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</si>
  <si>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</si>
  <si>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</si>
  <si>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</si>
  <si>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</si>
  <si>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F1 Feb: opening inventory (100 + 380 - 400)</t>
  </si>
  <si>
    <t>F1 Feb: closing inventory (short)</t>
  </si>
  <si>
    <t>F1 Feb: days of supply</t>
  </si>
  <si>
    <t>F1 Feb: inventory status</t>
  </si>
  <si>
    <t>Below target</t>
  </si>
  <si>
    <t>exact</t>
  </si>
  <si>
    <t>F1 Mar: inventory status (pre-build)</t>
  </si>
  <si>
    <t>On target</t>
  </si>
  <si>
    <t>F2 Feb: no demand, days of supply blank</t>
  </si>
  <si>
    <t>F1 Jan: load (h)</t>
  </si>
  <si>
    <t>F1 Jan: capacity (calculator good capacity)</t>
  </si>
  <si>
    <t>F1 Jan: revenue</t>
  </si>
  <si>
    <t>F1 Mar: Check reports production above line capacity</t>
  </si>
  <si>
    <t>Above line capacity</t>
  </si>
  <si>
    <t>F3: Check reports family not on list</t>
  </si>
  <si>
    <t>Family not on Setup list</t>
  </si>
  <si>
    <t>L1 Jan utilisation</t>
  </si>
  <si>
    <t>L1 Feb utilisation (18 working days)</t>
  </si>
  <si>
    <t>Fixed test inputs</t>
  </si>
  <si>
    <t>White cells are fixed test inputs; blue cells are the workbook's formulas evaluated on them.</t>
  </si>
  <si>
    <t>Parameters</t>
  </si>
  <si>
    <t>First plan month</t>
  </si>
  <si>
    <t>Near capacity from</t>
  </si>
  <si>
    <t>Over capacity above</t>
  </si>
  <si>
    <t>Test line</t>
  </si>
  <si>
    <t>L1</t>
  </si>
  <si>
    <t>Test families</t>
  </si>
  <si>
    <t>F1</t>
  </si>
  <si>
    <t>F2</t>
  </si>
  <si>
    <t>Test calendar (from January 2027)</t>
  </si>
  <si>
    <t>Test plan rows (F3 is not a family on the list)</t>
  </si>
  <si>
    <t>F3</t>
  </si>
  <si>
    <t>Test line load</t>
  </si>
  <si>
    <t>Test available hours</t>
  </si>
  <si>
    <t>Test utilisation</t>
  </si>
</sst>
</file>

<file path=xl/styles.xml><?xml version="1.0" encoding="utf-8"?>
<styleSheet xmlns="http://schemas.openxmlformats.org/spreadsheetml/2006/main">
  <numFmts count="11">
    <numFmt numFmtId="164" formatCode="d mmm yyyy"/>
    <numFmt numFmtId="165" formatCode="#,##0.0"/>
    <numFmt numFmtId="166" formatCode="0.0%"/>
    <numFmt numFmtId="167" formatCode="#,##0.00"/>
    <numFmt numFmtId="168" formatCode="#,##0"/>
    <numFmt numFmtId="169" formatCode="mmm yyyy"/>
    <numFmt numFmtId="170" formatCode="0%"/>
    <numFmt numFmtId="171" formatCode="&quot;Limit &quot;0%"/>
    <numFmt numFmtId="172" formatCode="&quot;Limit &quot;#,##0"/>
    <numFmt numFmtId="173" formatCode="0.0E+00"/>
    <numFmt numFmtId="174" formatCode="0.00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i/>
      <sz val="9"/>
      <color rgb="FF6B7280"/>
      <name val="Calibri"/>
      <family val="2"/>
      <scheme val="minor"/>
    </font>
    <font>
      <sz val="9"/>
      <color rgb="FF8A4A06"/>
      <name val="Calibri"/>
      <family val="2"/>
      <scheme val="minor"/>
    </font>
    <font>
      <sz val="9"/>
      <color rgb="FF1B243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thin">
        <color rgb="FFD6DBE3"/>
      </top>
      <bottom style="thin">
        <color rgb="FFD6DBE3"/>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s>
  <cellStyleXfs count="1">
    <xf numFmtId="0" fontId="0" fillId="0" borderId="0"/>
  </cellStyleXfs>
  <cellXfs count="79">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9" fillId="0" borderId="0" xfId="0" applyFont="1" applyAlignment="1">
      <alignment horizontal="center" vertical="center"/>
    </xf>
    <xf numFmtId="167" fontId="10" fillId="3" borderId="2" xfId="0" applyNumberFormat="1" applyFont="1" applyFill="1" applyBorder="1" applyAlignment="1" applyProtection="1">
      <alignment vertical="center"/>
      <protection locked="0"/>
    </xf>
    <xf numFmtId="168" fontId="10" fillId="3" borderId="2" xfId="0" applyNumberFormat="1" applyFont="1" applyFill="1" applyBorder="1" applyAlignment="1" applyProtection="1">
      <alignment vertical="center"/>
      <protection locked="0"/>
    </xf>
    <xf numFmtId="167" fontId="10" fillId="4" borderId="3" xfId="0" applyNumberFormat="1" applyFont="1" applyFill="1" applyBorder="1" applyAlignment="1">
      <alignment vertical="center"/>
    </xf>
    <xf numFmtId="0" fontId="18" fillId="2" borderId="5" xfId="0" applyFont="1" applyFill="1" applyBorder="1" applyAlignment="1">
      <alignment horizontal="left" vertical="center" wrapText="1"/>
    </xf>
    <xf numFmtId="169" fontId="9" fillId="0" borderId="6" xfId="0" applyNumberFormat="1" applyFont="1" applyBorder="1" applyAlignment="1">
      <alignment horizontal="center" vertical="center"/>
    </xf>
    <xf numFmtId="0" fontId="20" fillId="7" borderId="2" xfId="0" applyFont="1" applyFill="1" applyBorder="1" applyAlignment="1">
      <alignment vertical="center" wrapText="1"/>
    </xf>
    <xf numFmtId="0" fontId="10" fillId="4" borderId="3" xfId="0" applyFont="1" applyFill="1" applyBorder="1" applyAlignment="1">
      <alignment vertical="center"/>
    </xf>
    <xf numFmtId="165" fontId="10" fillId="4" borderId="3" xfId="0" applyNumberFormat="1" applyFont="1" applyFill="1" applyBorder="1" applyAlignment="1">
      <alignment vertical="center"/>
    </xf>
    <xf numFmtId="168"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0" fontId="21" fillId="4" borderId="3" xfId="0" applyFont="1" applyFill="1" applyBorder="1" applyAlignment="1">
      <alignment vertical="center"/>
    </xf>
    <xf numFmtId="0" fontId="22" fillId="9" borderId="7" xfId="0" applyFont="1" applyFill="1" applyBorder="1" applyAlignment="1">
      <alignment vertical="center" wrapText="1"/>
    </xf>
    <xf numFmtId="168" fontId="4" fillId="9" borderId="8" xfId="0" applyNumberFormat="1" applyFont="1" applyFill="1" applyBorder="1" applyAlignment="1">
      <alignment horizontal="left" vertical="center"/>
    </xf>
    <xf numFmtId="166" fontId="4" fillId="9" borderId="8" xfId="0" applyNumberFormat="1" applyFont="1" applyFill="1" applyBorder="1" applyAlignment="1">
      <alignment horizontal="left" vertical="center"/>
    </xf>
    <xf numFmtId="170" fontId="4" fillId="9" borderId="8" xfId="0" applyNumberFormat="1" applyFont="1" applyFill="1" applyBorder="1" applyAlignment="1">
      <alignment horizontal="left" vertical="center"/>
    </xf>
    <xf numFmtId="0" fontId="23" fillId="9" borderId="8" xfId="0" applyFont="1" applyFill="1" applyBorder="1" applyAlignment="1">
      <alignment vertical="center"/>
    </xf>
    <xf numFmtId="171" fontId="23" fillId="9" borderId="8" xfId="0" applyNumberFormat="1" applyFont="1" applyFill="1" applyBorder="1" applyAlignment="1">
      <alignment horizontal="left" vertical="center"/>
    </xf>
    <xf numFmtId="172" fontId="23" fillId="9" borderId="8" xfId="0" applyNumberFormat="1" applyFont="1" applyFill="1" applyBorder="1" applyAlignment="1">
      <alignment horizontal="left" vertical="center"/>
    </xf>
    <xf numFmtId="0" fontId="22" fillId="9" borderId="9" xfId="0" applyFont="1" applyFill="1" applyBorder="1" applyAlignment="1">
      <alignment vertical="center"/>
    </xf>
    <xf numFmtId="169" fontId="18" fillId="2" borderId="5" xfId="0" applyNumberFormat="1" applyFont="1" applyFill="1" applyBorder="1" applyAlignment="1">
      <alignment horizontal="center" vertical="center" wrapText="1"/>
    </xf>
    <xf numFmtId="0" fontId="9" fillId="0" borderId="6" xfId="0" applyFont="1" applyBorder="1" applyAlignment="1">
      <alignment vertical="center"/>
    </xf>
    <xf numFmtId="170" fontId="10" fillId="4" borderId="3" xfId="0" applyNumberFormat="1" applyFont="1" applyFill="1" applyBorder="1" applyAlignment="1">
      <alignment horizontal="center" vertical="center"/>
    </xf>
    <xf numFmtId="168" fontId="9" fillId="4" borderId="3" xfId="0" applyNumberFormat="1" applyFont="1" applyFill="1" applyBorder="1" applyAlignment="1">
      <alignment vertical="center"/>
    </xf>
    <xf numFmtId="170" fontId="10" fillId="0" borderId="6" xfId="0" applyNumberFormat="1" applyFont="1" applyBorder="1" applyAlignment="1">
      <alignment vertical="center"/>
    </xf>
    <xf numFmtId="170" fontId="10" fillId="4" borderId="3" xfId="0" applyNumberFormat="1" applyFont="1" applyFill="1" applyBorder="1" applyAlignment="1">
      <alignment vertical="center"/>
    </xf>
    <xf numFmtId="168" fontId="10" fillId="4" borderId="3" xfId="0" applyNumberFormat="1" applyFont="1" applyFill="1" applyBorder="1" applyAlignment="1">
      <alignment horizontal="center" vertical="center"/>
    </xf>
    <xf numFmtId="0" fontId="13" fillId="0" borderId="0" xfId="0" applyFont="1" applyAlignment="1">
      <alignment vertical="center"/>
    </xf>
    <xf numFmtId="0" fontId="9" fillId="0" borderId="6" xfId="0" applyFont="1" applyBorder="1" applyAlignment="1">
      <alignment vertical="top" wrapText="1"/>
    </xf>
    <xf numFmtId="0" fontId="10" fillId="0" borderId="6" xfId="0" applyFont="1" applyBorder="1" applyAlignment="1">
      <alignment vertical="top" wrapText="1"/>
    </xf>
    <xf numFmtId="0" fontId="10" fillId="0" borderId="6" xfId="0" applyFont="1" applyBorder="1" applyAlignment="1">
      <alignment horizontal="center" vertical="top"/>
    </xf>
    <xf numFmtId="0" fontId="10" fillId="0" borderId="6" xfId="0" applyFont="1" applyBorder="1" applyAlignment="1">
      <alignment vertical="center"/>
    </xf>
    <xf numFmtId="0" fontId="10" fillId="0" borderId="6" xfId="0" applyFont="1" applyBorder="1" applyAlignment="1">
      <alignment vertical="center" wrapText="1"/>
    </xf>
    <xf numFmtId="0" fontId="10" fillId="0" borderId="6" xfId="0" applyFont="1" applyBorder="1" applyAlignment="1">
      <alignment horizontal="center" vertical="center"/>
    </xf>
    <xf numFmtId="0" fontId="8" fillId="0" borderId="0" xfId="0" applyFont="1" applyAlignment="1">
      <alignment vertical="center"/>
    </xf>
    <xf numFmtId="168" fontId="9" fillId="0" borderId="6" xfId="0" applyNumberFormat="1" applyFont="1" applyBorder="1" applyAlignment="1">
      <alignment horizontal="center" vertical="center"/>
    </xf>
    <xf numFmtId="168" fontId="10" fillId="0" borderId="6" xfId="0" applyNumberFormat="1" applyFont="1" applyBorder="1" applyAlignment="1">
      <alignment vertical="center"/>
    </xf>
    <xf numFmtId="173" fontId="10" fillId="4" borderId="3" xfId="0" applyNumberFormat="1" applyFont="1" applyFill="1" applyBorder="1" applyAlignment="1">
      <alignment vertical="center"/>
    </xf>
    <xf numFmtId="173" fontId="10" fillId="0" borderId="6" xfId="0" applyNumberFormat="1" applyFont="1" applyBorder="1" applyAlignment="1">
      <alignment vertical="center"/>
    </xf>
    <xf numFmtId="167" fontId="10" fillId="0" borderId="6" xfId="0" applyNumberFormat="1" applyFont="1" applyBorder="1" applyAlignment="1">
      <alignment vertical="center"/>
    </xf>
    <xf numFmtId="174" fontId="10" fillId="0" borderId="6" xfId="0" applyNumberFormat="1" applyFont="1" applyBorder="1" applyAlignment="1">
      <alignment vertical="center"/>
    </xf>
    <xf numFmtId="174" fontId="10" fillId="4" borderId="3" xfId="0" applyNumberFormat="1" applyFont="1" applyFill="1" applyBorder="1" applyAlignment="1">
      <alignment vertical="center"/>
    </xf>
    <xf numFmtId="164" fontId="10" fillId="0" borderId="6" xfId="0" applyNumberFormat="1" applyFont="1" applyBorder="1" applyAlignment="1">
      <alignment vertical="center"/>
    </xf>
    <xf numFmtId="165" fontId="10" fillId="0" borderId="6" xfId="0" applyNumberFormat="1" applyFont="1" applyBorder="1" applyAlignment="1">
      <alignment vertical="center"/>
    </xf>
    <xf numFmtId="166" fontId="10" fillId="0" borderId="6"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Demand, production and inventory by month</a:t>
            </a:r>
          </a:p>
        </c:rich>
      </c:tx>
      <c:layout/>
    </c:title>
    <c:plotArea>
      <c:layout/>
      <c:barChart>
        <c:barDir val="col"/>
        <c:grouping val="clustered"/>
        <c:ser>
          <c:idx val="0"/>
          <c:order val="0"/>
          <c:tx>
            <c:v>Demand</c:v>
          </c:tx>
          <c:spPr>
            <a:solidFill>
              <a:srgbClr val="3B64D8"/>
            </a:solidFill>
            <a:ln w="9525">
              <a:solidFill>
                <a:srgbClr val="FFFFFF"/>
              </a:solidFill>
            </a:ln>
          </c:spPr>
          <c:cat>
            <c:numRef>
              <c:f>Dashboard!$C$32:$N$32</c:f>
              <c:numCache>
                <c:formatCode>General</c:formatCode>
                <c:ptCount val="12"/>
                <c:pt idx="0">
                  <c:v>46327</c:v>
                </c:pt>
                <c:pt idx="1">
                  <c:v>46357</c:v>
                </c:pt>
                <c:pt idx="2">
                  <c:v>46388</c:v>
                </c:pt>
                <c:pt idx="3">
                  <c:v>46419</c:v>
                </c:pt>
                <c:pt idx="4">
                  <c:v>46447</c:v>
                </c:pt>
                <c:pt idx="5">
                  <c:v>46478</c:v>
                </c:pt>
                <c:pt idx="6">
                  <c:v>46508</c:v>
                </c:pt>
                <c:pt idx="7">
                  <c:v>46539</c:v>
                </c:pt>
                <c:pt idx="8">
                  <c:v>46569</c:v>
                </c:pt>
                <c:pt idx="9">
                  <c:v>46600</c:v>
                </c:pt>
                <c:pt idx="10">
                  <c:v>46631</c:v>
                </c:pt>
                <c:pt idx="11">
                  <c:v>46661</c:v>
                </c:pt>
              </c:numCache>
            </c:numRef>
          </c:cat>
          <c:val>
            <c:numRef>
              <c:f>Dashboard!$C$33:$N$33</c:f>
              <c:numCache>
                <c:formatCode>General</c:formatCode>
                <c:ptCount val="12"/>
                <c:pt idx="0">
                  <c:v>5500</c:v>
                </c:pt>
                <c:pt idx="1">
                  <c:v>4700</c:v>
                </c:pt>
                <c:pt idx="2">
                  <c:v>4000</c:v>
                </c:pt>
                <c:pt idx="3">
                  <c:v>4000</c:v>
                </c:pt>
                <c:pt idx="4">
                  <c:v>5800</c:v>
                </c:pt>
                <c:pt idx="5">
                  <c:v>7100</c:v>
                </c:pt>
                <c:pt idx="6">
                  <c:v>7550</c:v>
                </c:pt>
                <c:pt idx="7">
                  <c:v>6450</c:v>
                </c:pt>
                <c:pt idx="8">
                  <c:v>5000</c:v>
                </c:pt>
                <c:pt idx="9">
                  <c:v>4200</c:v>
                </c:pt>
                <c:pt idx="10">
                  <c:v>4400</c:v>
                </c:pt>
                <c:pt idx="11">
                  <c:v>5200</c:v>
                </c:pt>
              </c:numCache>
            </c:numRef>
          </c:val>
        </c:ser>
        <c:ser>
          <c:idx val="1"/>
          <c:order val="1"/>
          <c:tx>
            <c:v>Production</c:v>
          </c:tx>
          <c:spPr>
            <a:solidFill>
              <a:srgbClr val="E8702A"/>
            </a:solidFill>
            <a:ln w="9525">
              <a:solidFill>
                <a:srgbClr val="FFFFFF"/>
              </a:solidFill>
            </a:ln>
          </c:spPr>
          <c:cat>
            <c:numRef>
              <c:f>Dashboard!$C$32:$N$32</c:f>
              <c:numCache>
                <c:formatCode>General</c:formatCode>
                <c:ptCount val="12"/>
                <c:pt idx="0">
                  <c:v>46327</c:v>
                </c:pt>
                <c:pt idx="1">
                  <c:v>46357</c:v>
                </c:pt>
                <c:pt idx="2">
                  <c:v>46388</c:v>
                </c:pt>
                <c:pt idx="3">
                  <c:v>46419</c:v>
                </c:pt>
                <c:pt idx="4">
                  <c:v>46447</c:v>
                </c:pt>
                <c:pt idx="5">
                  <c:v>46478</c:v>
                </c:pt>
                <c:pt idx="6">
                  <c:v>46508</c:v>
                </c:pt>
                <c:pt idx="7">
                  <c:v>46539</c:v>
                </c:pt>
                <c:pt idx="8">
                  <c:v>46569</c:v>
                </c:pt>
                <c:pt idx="9">
                  <c:v>46600</c:v>
                </c:pt>
                <c:pt idx="10">
                  <c:v>46631</c:v>
                </c:pt>
                <c:pt idx="11">
                  <c:v>46661</c:v>
                </c:pt>
              </c:numCache>
            </c:numRef>
          </c:cat>
          <c:val>
            <c:numRef>
              <c:f>Dashboard!$C$34:$N$34</c:f>
              <c:numCache>
                <c:formatCode>General</c:formatCode>
                <c:ptCount val="12"/>
                <c:pt idx="0">
                  <c:v>5100</c:v>
                </c:pt>
                <c:pt idx="1">
                  <c:v>4500</c:v>
                </c:pt>
                <c:pt idx="2">
                  <c:v>4400</c:v>
                </c:pt>
                <c:pt idx="3">
                  <c:v>4700</c:v>
                </c:pt>
                <c:pt idx="4">
                  <c:v>6150</c:v>
                </c:pt>
                <c:pt idx="5">
                  <c:v>7100</c:v>
                </c:pt>
                <c:pt idx="6">
                  <c:v>6600</c:v>
                </c:pt>
                <c:pt idx="7">
                  <c:v>5800</c:v>
                </c:pt>
                <c:pt idx="8">
                  <c:v>4600</c:v>
                </c:pt>
                <c:pt idx="9">
                  <c:v>4100</c:v>
                </c:pt>
                <c:pt idx="10">
                  <c:v>4300</c:v>
                </c:pt>
                <c:pt idx="11">
                  <c:v>4500</c:v>
                </c:pt>
              </c:numCache>
            </c:numRef>
          </c:val>
        </c:ser>
        <c:gapWidth val="60"/>
        <c:overlap val="-10"/>
        <c:axId val="50010001"/>
        <c:axId val="50010002"/>
      </c:barChart>
      <c:lineChart>
        <c:grouping val="standard"/>
        <c:ser>
          <c:idx val="2"/>
          <c:order val="2"/>
          <c:tx>
            <c:v>Closing inventory</c:v>
          </c:tx>
          <c:spPr>
            <a:ln w="28575">
              <a:solidFill>
                <a:srgbClr val="1BA37A"/>
              </a:solidFill>
            </a:ln>
          </c:spPr>
          <c:marker>
            <c:symbol val="circle"/>
            <c:size val="5"/>
            <c:spPr>
              <a:solidFill>
                <a:srgbClr val="1BA37A"/>
              </a:solidFill>
              <a:ln>
                <a:solidFill>
                  <a:srgbClr val="1BA37A"/>
                </a:solidFill>
              </a:ln>
            </c:spPr>
          </c:marker>
          <c:cat>
            <c:numRef>
              <c:f>Dashboard!$C$32:$N$32</c:f>
              <c:numCache>
                <c:formatCode>General</c:formatCode>
                <c:ptCount val="12"/>
                <c:pt idx="0">
                  <c:v>46327</c:v>
                </c:pt>
                <c:pt idx="1">
                  <c:v>46357</c:v>
                </c:pt>
                <c:pt idx="2">
                  <c:v>46388</c:v>
                </c:pt>
                <c:pt idx="3">
                  <c:v>46419</c:v>
                </c:pt>
                <c:pt idx="4">
                  <c:v>46447</c:v>
                </c:pt>
                <c:pt idx="5">
                  <c:v>46478</c:v>
                </c:pt>
                <c:pt idx="6">
                  <c:v>46508</c:v>
                </c:pt>
                <c:pt idx="7">
                  <c:v>46539</c:v>
                </c:pt>
                <c:pt idx="8">
                  <c:v>46569</c:v>
                </c:pt>
                <c:pt idx="9">
                  <c:v>46600</c:v>
                </c:pt>
                <c:pt idx="10">
                  <c:v>46631</c:v>
                </c:pt>
                <c:pt idx="11">
                  <c:v>46661</c:v>
                </c:pt>
              </c:numCache>
            </c:numRef>
          </c:cat>
          <c:val>
            <c:numRef>
              <c:f>Dashboard!$C$35:$N$35</c:f>
              <c:numCache>
                <c:formatCode>General</c:formatCode>
                <c:ptCount val="12"/>
                <c:pt idx="0">
                  <c:v>5000</c:v>
                </c:pt>
                <c:pt idx="1">
                  <c:v>4800</c:v>
                </c:pt>
                <c:pt idx="2">
                  <c:v>5200</c:v>
                </c:pt>
                <c:pt idx="3">
                  <c:v>5900</c:v>
                </c:pt>
                <c:pt idx="4">
                  <c:v>6250</c:v>
                </c:pt>
                <c:pt idx="5">
                  <c:v>6250</c:v>
                </c:pt>
                <c:pt idx="6">
                  <c:v>5300</c:v>
                </c:pt>
                <c:pt idx="7">
                  <c:v>4650</c:v>
                </c:pt>
                <c:pt idx="8">
                  <c:v>4250</c:v>
                </c:pt>
                <c:pt idx="9">
                  <c:v>4150</c:v>
                </c:pt>
                <c:pt idx="10">
                  <c:v>4050</c:v>
                </c:pt>
                <c:pt idx="11">
                  <c:v>3350</c:v>
                </c:pt>
              </c:numCache>
            </c:numRef>
          </c:val>
        </c:ser>
        <c:marker val="1"/>
        <c:axId val="50010001"/>
        <c:axId val="50010002"/>
      </c:lineChart>
      <c:catAx>
        <c:axId val="50010001"/>
        <c:scaling>
          <c:orientation val="minMax"/>
        </c:scaling>
        <c:axPos val="b"/>
        <c:numFmt formatCode="mmm yy"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Line utilisation by month</a:t>
            </a:r>
          </a:p>
        </c:rich>
      </c:tx>
      <c:layout/>
    </c:title>
    <c:plotArea>
      <c:layout/>
      <c:barChart>
        <c:barDir val="col"/>
        <c:grouping val="clustered"/>
        <c:ser>
          <c:idx val="0"/>
          <c:order val="0"/>
          <c:tx>
            <c:strRef>
              <c:f>Dashboard!$B$28</c:f>
              <c:strCache>
                <c:ptCount val="1"/>
                <c:pt idx="0">
                  <c:v>Line A</c:v>
                </c:pt>
              </c:strCache>
            </c:strRef>
          </c:tx>
          <c:spPr>
            <a:solidFill>
              <a:srgbClr val="3B64D8"/>
            </a:solidFill>
            <a:ln w="9525">
              <a:solidFill>
                <a:srgbClr val="FFFFFF"/>
              </a:solidFill>
            </a:ln>
          </c:spPr>
          <c:cat>
            <c:numRef>
              <c:f>Dashboard!$C$27:$N$27</c:f>
              <c:numCache>
                <c:formatCode>General</c:formatCode>
                <c:ptCount val="12"/>
                <c:pt idx="0">
                  <c:v>46327</c:v>
                </c:pt>
                <c:pt idx="1">
                  <c:v>46357</c:v>
                </c:pt>
                <c:pt idx="2">
                  <c:v>46388</c:v>
                </c:pt>
                <c:pt idx="3">
                  <c:v>46419</c:v>
                </c:pt>
                <c:pt idx="4">
                  <c:v>46447</c:v>
                </c:pt>
                <c:pt idx="5">
                  <c:v>46478</c:v>
                </c:pt>
                <c:pt idx="6">
                  <c:v>46508</c:v>
                </c:pt>
                <c:pt idx="7">
                  <c:v>46539</c:v>
                </c:pt>
                <c:pt idx="8">
                  <c:v>46569</c:v>
                </c:pt>
                <c:pt idx="9">
                  <c:v>46600</c:v>
                </c:pt>
                <c:pt idx="10">
                  <c:v>46631</c:v>
                </c:pt>
                <c:pt idx="11">
                  <c:v>46661</c:v>
                </c:pt>
              </c:numCache>
            </c:numRef>
          </c:cat>
          <c:val>
            <c:numRef>
              <c:f>Dashboard!$C$28:$N$28</c:f>
              <c:numCache>
                <c:formatCode>General</c:formatCode>
                <c:ptCount val="12"/>
                <c:pt idx="0">
                  <c:v>0.943234436631796</c:v>
                </c:pt>
                <c:pt idx="1">
                  <c:v>0.942106165774581</c:v>
                </c:pt>
                <c:pt idx="2">
                  <c:v>0.83247584748185</c:v>
                </c:pt>
                <c:pt idx="3">
                  <c:v>0.764591550906077</c:v>
                </c:pt>
                <c:pt idx="4">
                  <c:v>0.866029641670333</c:v>
                </c:pt>
                <c:pt idx="5">
                  <c:v>1.04587289461239</c:v>
                </c:pt>
                <c:pt idx="6">
                  <c:v>1.00040016006403</c:v>
                </c:pt>
                <c:pt idx="7">
                  <c:v>0.727563752773837</c:v>
                </c:pt>
                <c:pt idx="8">
                  <c:v>0.505304162481319</c:v>
                </c:pt>
                <c:pt idx="9">
                  <c:v>0.37352603379014</c:v>
                </c:pt>
                <c:pt idx="10">
                  <c:v>0.496797358399142</c:v>
                </c:pt>
                <c:pt idx="11">
                  <c:v>0.64991983187833</c:v>
                </c:pt>
              </c:numCache>
            </c:numRef>
          </c:val>
        </c:ser>
        <c:ser>
          <c:idx val="1"/>
          <c:order val="1"/>
          <c:tx>
            <c:strRef>
              <c:f>Dashboard!$B$29</c:f>
              <c:strCache>
                <c:ptCount val="1"/>
                <c:pt idx="0">
                  <c:v>Line B</c:v>
                </c:pt>
              </c:strCache>
            </c:strRef>
          </c:tx>
          <c:spPr>
            <a:solidFill>
              <a:srgbClr val="E8702A"/>
            </a:solidFill>
            <a:ln w="9525">
              <a:solidFill>
                <a:srgbClr val="FFFFFF"/>
              </a:solidFill>
            </a:ln>
          </c:spPr>
          <c:cat>
            <c:numRef>
              <c:f>Dashboard!$C$27:$N$27</c:f>
              <c:numCache>
                <c:formatCode>General</c:formatCode>
                <c:ptCount val="12"/>
                <c:pt idx="0">
                  <c:v>46327</c:v>
                </c:pt>
                <c:pt idx="1">
                  <c:v>46357</c:v>
                </c:pt>
                <c:pt idx="2">
                  <c:v>46388</c:v>
                </c:pt>
                <c:pt idx="3">
                  <c:v>46419</c:v>
                </c:pt>
                <c:pt idx="4">
                  <c:v>46447</c:v>
                </c:pt>
                <c:pt idx="5">
                  <c:v>46478</c:v>
                </c:pt>
                <c:pt idx="6">
                  <c:v>46508</c:v>
                </c:pt>
                <c:pt idx="7">
                  <c:v>46539</c:v>
                </c:pt>
                <c:pt idx="8">
                  <c:v>46569</c:v>
                </c:pt>
                <c:pt idx="9">
                  <c:v>46600</c:v>
                </c:pt>
                <c:pt idx="10">
                  <c:v>46631</c:v>
                </c:pt>
                <c:pt idx="11">
                  <c:v>46661</c:v>
                </c:pt>
              </c:numCache>
            </c:numRef>
          </c:cat>
          <c:val>
            <c:numRef>
              <c:f>Dashboard!$C$29:$N$29</c:f>
              <c:numCache>
                <c:formatCode>General</c:formatCode>
                <c:ptCount val="12"/>
                <c:pt idx="0">
                  <c:v>0.515224559646047</c:v>
                </c:pt>
                <c:pt idx="1">
                  <c:v>0.391309792136238</c:v>
                </c:pt>
                <c:pt idx="2">
                  <c:v>0.401092536939644</c:v>
                </c:pt>
                <c:pt idx="3">
                  <c:v>0.567399198597546</c:v>
                </c:pt>
                <c:pt idx="4">
                  <c:v>0.638005095874302</c:v>
                </c:pt>
                <c:pt idx="5">
                  <c:v>0.758903839294523</c:v>
                </c:pt>
                <c:pt idx="6">
                  <c:v>0.867403372568662</c:v>
                </c:pt>
                <c:pt idx="7">
                  <c:v>0.79151298863921</c:v>
                </c:pt>
                <c:pt idx="8">
                  <c:v>0.807464650439857</c:v>
                </c:pt>
                <c:pt idx="9">
                  <c:v>0.782619584272477</c:v>
                </c:pt>
                <c:pt idx="10">
                  <c:v>0.760880151376019</c:v>
                </c:pt>
                <c:pt idx="11">
                  <c:v>0.62733792072635</c:v>
                </c:pt>
              </c:numCache>
            </c:numRef>
          </c:val>
        </c:ser>
        <c:gapWidth val="60"/>
        <c:overlap val="-10"/>
        <c:axId val="50020001"/>
        <c:axId val="50020002"/>
      </c:barChart>
      <c:lineChart>
        <c:grouping val="standard"/>
        <c:ser>
          <c:idx val="2"/>
          <c:order val="2"/>
          <c:tx>
            <c:v>Near capacity</c:v>
          </c:tx>
          <c:spPr>
            <a:ln w="19050">
              <a:solidFill>
                <a:srgbClr val="4A5361"/>
              </a:solidFill>
              <a:prstDash val="dash"/>
            </a:ln>
          </c:spPr>
          <c:marker>
            <c:symbol val="none"/>
          </c:marker>
          <c:cat>
            <c:numRef>
              <c:f>Dashboard!$C$27:$N$27</c:f>
              <c:numCache>
                <c:formatCode>General</c:formatCode>
                <c:ptCount val="12"/>
                <c:pt idx="0">
                  <c:v>46327</c:v>
                </c:pt>
                <c:pt idx="1">
                  <c:v>46357</c:v>
                </c:pt>
                <c:pt idx="2">
                  <c:v>46388</c:v>
                </c:pt>
                <c:pt idx="3">
                  <c:v>46419</c:v>
                </c:pt>
                <c:pt idx="4">
                  <c:v>46447</c:v>
                </c:pt>
                <c:pt idx="5">
                  <c:v>46478</c:v>
                </c:pt>
                <c:pt idx="6">
                  <c:v>46508</c:v>
                </c:pt>
                <c:pt idx="7">
                  <c:v>46539</c:v>
                </c:pt>
                <c:pt idx="8">
                  <c:v>46569</c:v>
                </c:pt>
                <c:pt idx="9">
                  <c:v>46600</c:v>
                </c:pt>
                <c:pt idx="10">
                  <c:v>46631</c:v>
                </c:pt>
                <c:pt idx="11">
                  <c:v>46661</c:v>
                </c:pt>
              </c:numCache>
            </c:numRef>
          </c:cat>
          <c:val>
            <c:numRef>
              <c:f>Dashboard!$C$38:$N$38</c:f>
              <c:numCache>
                <c:formatCode>General</c:formatCode>
                <c:ptCount val="12"/>
                <c:pt idx="0">
                  <c:v>0.85</c:v>
                </c:pt>
                <c:pt idx="1">
                  <c:v>0.85</c:v>
                </c:pt>
                <c:pt idx="2">
                  <c:v>0.85</c:v>
                </c:pt>
                <c:pt idx="3">
                  <c:v>0.85</c:v>
                </c:pt>
                <c:pt idx="4">
                  <c:v>0.85</c:v>
                </c:pt>
                <c:pt idx="5">
                  <c:v>0.85</c:v>
                </c:pt>
                <c:pt idx="6">
                  <c:v>0.85</c:v>
                </c:pt>
                <c:pt idx="7">
                  <c:v>0.85</c:v>
                </c:pt>
                <c:pt idx="8">
                  <c:v>0.85</c:v>
                </c:pt>
                <c:pt idx="9">
                  <c:v>0.85</c:v>
                </c:pt>
                <c:pt idx="10">
                  <c:v>0.85</c:v>
                </c:pt>
                <c:pt idx="11">
                  <c:v>0.85</c:v>
                </c:pt>
              </c:numCache>
            </c:numRef>
          </c:val>
        </c:ser>
        <c:ser>
          <c:idx val="3"/>
          <c:order val="3"/>
          <c:tx>
            <c:v>Over capacity</c:v>
          </c:tx>
          <c:spPr>
            <a:ln w="19050">
              <a:solidFill>
                <a:srgbClr val="B3000C"/>
              </a:solidFill>
              <a:prstDash val="dash"/>
            </a:ln>
          </c:spPr>
          <c:marker>
            <c:symbol val="none"/>
          </c:marker>
          <c:cat>
            <c:numRef>
              <c:f>Dashboard!$C$27:$N$27</c:f>
              <c:numCache>
                <c:formatCode>General</c:formatCode>
                <c:ptCount val="12"/>
                <c:pt idx="0">
                  <c:v>46327</c:v>
                </c:pt>
                <c:pt idx="1">
                  <c:v>46357</c:v>
                </c:pt>
                <c:pt idx="2">
                  <c:v>46388</c:v>
                </c:pt>
                <c:pt idx="3">
                  <c:v>46419</c:v>
                </c:pt>
                <c:pt idx="4">
                  <c:v>46447</c:v>
                </c:pt>
                <c:pt idx="5">
                  <c:v>46478</c:v>
                </c:pt>
                <c:pt idx="6">
                  <c:v>46508</c:v>
                </c:pt>
                <c:pt idx="7">
                  <c:v>46539</c:v>
                </c:pt>
                <c:pt idx="8">
                  <c:v>46569</c:v>
                </c:pt>
                <c:pt idx="9">
                  <c:v>46600</c:v>
                </c:pt>
                <c:pt idx="10">
                  <c:v>46631</c:v>
                </c:pt>
                <c:pt idx="11">
                  <c:v>46661</c:v>
                </c:pt>
              </c:numCache>
            </c:numRef>
          </c:cat>
          <c:val>
            <c:numRef>
              <c:f>Dashboard!$C$39:$N$39</c:f>
              <c:numCache>
                <c:formatCode>General</c:formatCode>
                <c:ptCount val="12"/>
                <c:pt idx="0">
                  <c:v>1</c:v>
                </c:pt>
                <c:pt idx="1">
                  <c:v>1</c:v>
                </c:pt>
                <c:pt idx="2">
                  <c:v>1</c:v>
                </c:pt>
                <c:pt idx="3">
                  <c:v>1</c:v>
                </c:pt>
                <c:pt idx="4">
                  <c:v>1</c:v>
                </c:pt>
                <c:pt idx="5">
                  <c:v>1</c:v>
                </c:pt>
                <c:pt idx="6">
                  <c:v>1</c:v>
                </c:pt>
                <c:pt idx="7">
                  <c:v>1</c:v>
                </c:pt>
                <c:pt idx="8">
                  <c:v>1</c:v>
                </c:pt>
                <c:pt idx="9">
                  <c:v>1</c:v>
                </c:pt>
                <c:pt idx="10">
                  <c:v>1</c:v>
                </c:pt>
                <c:pt idx="11">
                  <c:v>1</c:v>
                </c:pt>
              </c:numCache>
            </c:numRef>
          </c:val>
        </c:ser>
        <c:marker val="1"/>
        <c:axId val="50020001"/>
        <c:axId val="50020002"/>
      </c:lineChart>
      <c:catAx>
        <c:axId val="50020001"/>
        <c:scaling>
          <c:orientation val="minMax"/>
        </c:scaling>
        <c:axPos val="b"/>
        <c:numFmt formatCode="mmm yy"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9</xdr:row>
      <xdr:rowOff>38100</xdr:rowOff>
    </xdr:from>
    <xdr:to>
      <xdr:col>7</xdr:col>
      <xdr:colOff>581025</xdr:colOff>
      <xdr:row>23</xdr:row>
      <xdr:rowOff>152400</xdr:rowOff>
    </xdr:to>
    <xdr:graphicFrame macro="">
      <xdr:nvGraphicFramePr>
        <xdr:cNvPr id="2" name="Chart 1" descr="Column chart of total monthly demand and production for all families, with total closing inventory as a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38100</xdr:colOff>
      <xdr:row>9</xdr:row>
      <xdr:rowOff>38100</xdr:rowOff>
    </xdr:from>
    <xdr:to>
      <xdr:col>14</xdr:col>
      <xdr:colOff>581025</xdr:colOff>
      <xdr:row>23</xdr:row>
      <xdr:rowOff>152400</xdr:rowOff>
    </xdr:to>
    <xdr:graphicFrame macro="">
      <xdr:nvGraphicFramePr>
        <xdr:cNvPr id="3" name="Chart 2" descr="Column chart of each line's monthly utilisation with dashed lines at the near-capacity and over-capacity threshold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Lines" displayName="tblLines" ref="B19:F21" totalsRowShown="0">
  <autoFilter ref="B19:F21"/>
  <tableColumns count="5">
    <tableColumn id="1" name="Line"/>
    <tableColumn id="2" name="Hours per day"/>
    <tableColumn id="3" name="Uptime"/>
    <tableColumn id="4" name="Yield"/>
    <tableColumn id="5" name="Notes"/>
  </tableColumns>
  <tableStyleInfo name="TableStyleLight1" showFirstColumn="0" showLastColumn="0" showRowStripes="0" showColumnStripes="0"/>
</table>
</file>

<file path=xl/tables/table2.xml><?xml version="1.0" encoding="utf-8"?>
<table xmlns="http://schemas.openxmlformats.org/spreadsheetml/2006/main" id="2" name="tblFamilies" displayName="tblFamilies" ref="B27:H31" totalsRowShown="0">
  <autoFilter ref="B27:H31"/>
  <tableColumns count="7">
    <tableColumn id="1" name="Family"/>
    <tableColumn id="2" name="Line"/>
    <tableColumn id="3" name="Rate (units/h)"/>
    <tableColumn id="4" name="Price (per unit)"/>
    <tableColumn id="5" name="Opening inventory (units)"/>
    <tableColumn id="6" name="Good rate (units/h)">
      <calculatedColumnFormula>tblFamilies[[#This Row],[Rate (units/h)]]*IFERROR(INDEX(tblLines[Yield],MATCH(tblFamilies[[#This Row],[Line]],tblLines[Line],0)),0)</calculatedColumnFormula>
    </tableColumn>
    <tableColumn id="7" name="Notes"/>
  </tableColumns>
  <tableStyleInfo name="TableStyleLight1" showFirstColumn="0" showLastColumn="0" showRowStripes="0" showColumnStripes="0"/>
</table>
</file>

<file path=xl/tables/table3.xml><?xml version="1.0" encoding="utf-8"?>
<table xmlns="http://schemas.openxmlformats.org/spreadsheetml/2006/main" id="3" name="tblPlan" displayName="tblPlan" ref="B10:S58" totalsRowShown="0">
  <autoFilter ref="B10:S58"/>
  <tableColumns count="18">
    <tableColumn id="1" name="Month"/>
    <tableColumn id="2" name="Family"/>
    <tableColumn id="3" name="Demand forecast (units)"/>
    <tableColumn id="4" name="Production plan (units)"/>
    <tableColumn id="5" name="Line">
      <calculatedColumnFormula>IF(tblPlan[[#This Row],[Month]]="","",IFERROR(INDEX(tblFamilies[Line],MATCH(tblPlan[[#This Row],[Family]],tblFamilies[Family],0)),""))</calculatedColumnFormula>
    </tableColumn>
    <tableColumn id="6" name="Working days">
      <calculatedColumnFormula>IF(tblPlan[[#This Row],[Month]]="","",IFERROR(INDEX($D$6:$O$6,MATCH(tblPlan[[#This Row],[Month]],$D$5:$O$5,0)),""))</calculatedColumnFormula>
    </tableColumn>
    <tableColumn id="7" name="Start inv. (units)">
      <calculatedColumnFormula>IF(tblPlan[[#This Row],[Month]]="","",IFERROR(INDEX(tblFamilies[Opening inventory (units)],MATCH(tblPlan[[#This Row],[Family]],tblFamilies[Family],0)),""))</calculatedColumnFormula>
    </tableColumn>
    <tableColumn id="8" name="Opening inv. (units)">
      <calculatedColumnFormula>IF(tblPlan[[#This Row],[Month]]="","",tblPlan[[#This Row],[Start inv. (units)]]+SUMIFS(tblPlan[Production plan (units)],tblPlan[Family],tblPlan[[#This Row],[Family]],tblPlan[Month],"&lt;"&amp;tblPlan[[#This Row],[Month]])-SUMIFS(tblPlan[Demand forecast (units)],tblPlan[Family],tblPlan[[#This Row],[Family]],tblPlan[Month],"&lt;"&amp;tblPlan[[#This Row],[Month]]))</calculatedColumnFormula>
    </tableColumn>
    <tableColumn id="9" name="Closing inv. (units)">
      <calculatedColumnFormula>IF(tblPlan[[#This Row],[Month]]="","",tblPlan[[#This Row],[Opening inv. (units)]]+tblPlan[[#This Row],[Production plan (units)]]-tblPlan[[#This Row],[Demand forecast (units)]])</calculatedColumnFormula>
    </tableColumn>
    <tableColumn id="10" name="Days of supply">
      <calculatedColumnFormula>IF(tblPlan[[#This Row],[Month]]="","",IF(AND(tblPlan[[#This Row],[Demand forecast (units)]]&gt;0,N(tblPlan[[#This Row],[Working days]])&gt;0),tblPlan[[#This Row],[Closing inv. (units)]]/(tblPlan[[#This Row],[Demand forecast (units)]]/tblPlan[[#This Row],[Working days]]),""))</calculatedColumnFormula>
    </tableColumn>
    <tableColumn id="11" name="Inventory status">
      <calculatedColumnFormula>IF(tblPlan[[#This Row],[Month]]="","",IF(NOT(ISNUMBER(tblPlan[[#This Row],[Days of supply]])),"",IF(tblPlan[[#This Row],[Days of supply]]&lt;MinDOS,"Below target",IF(tblPlan[[#This Row],[Days of supply]]&gt;MaxDOS,"Above target","On target"))))</calculatedColumnFormula>
    </tableColumn>
    <tableColumn id="12" name="Good rate (units/h)">
      <calculatedColumnFormula>IF(tblPlan[[#This Row],[Month]]="","",IFERROR(INDEX(tblFamilies[Good rate (units/h)],MATCH(tblPlan[[#This Row],[Family]],tblFamilies[Family],0)),""))</calculatedColumnFormula>
    </tableColumn>
    <tableColumn id="13" name="Load (h)">
      <calculatedColumnFormula>IF(tblPlan[[#This Row],[Month]]="","",IF(N(tblPlan[[#This Row],[Good rate (units/h)]])&gt;0,tblPlan[[#This Row],[Production plan (units)]]/tblPlan[[#This Row],[Good rate (units/h)]],""))</calculatedColumnFormula>
    </tableColumn>
    <tableColumn id="14" name="Capacity (units)">
      <calculatedColumnFormula>IF(tblPlan[[#This Row],[Month]]="","",IFERROR(tblPlan[[#This Row],[Good rate (units/h)]]*tblPlan[[#This Row],[Working days]]*INDEX(tblLines[Hours per day],MATCH(tblPlan[[#This Row],[Line]],tblLines[Line],0))*INDEX(tblLines[Uptime],MATCH(tblPlan[[#This Row],[Line]],tblLines[Line],0)),""))</calculatedColumnFormula>
    </tableColumn>
    <tableColumn id="15" name="Price (per unit)">
      <calculatedColumnFormula>IF(tblPlan[[#This Row],[Month]]="","",IFERROR(INDEX(tblFamilies[Price (per unit)],MATCH(tblPlan[[#This Row],[Family]],tblFamilies[Family],0)),""))</calculatedColumnFormula>
    </tableColumn>
    <tableColumn id="16" name="Revenue">
      <calculatedColumnFormula>IF(tblPlan[[#This Row],[Month]]="","",IF(N(tblPlan[[#This Row],[Price (per unit)]])&gt;0,tblPlan[[#This Row],[Demand forecast (units)]]*tblPlan[[#This Row],[Price (per unit)]],""))</calculatedColumnFormula>
    </tableColumn>
    <tableColumn id="17" name="Check">
      <calculatedColumnFormula>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calculatedColumnFormula>
    </tableColumn>
    <tableColumn id="18" name="Notes"/>
  </tableColumns>
  <tableStyleInfo name="TableStyleLight1" showFirstColumn="0" showLastColumn="0" showRowStripes="0" showColumnStripes="0"/>
</table>
</file>

<file path=xl/tables/table4.xml><?xml version="1.0" encoding="utf-8"?>
<table xmlns="http://schemas.openxmlformats.org/spreadsheetml/2006/main" id="4" name="tblVerifyLines" displayName="tblVerifyLines" ref="B36:F37" totalsRowShown="0">
  <tableColumns count="5">
    <tableColumn id="1" name="Line"/>
    <tableColumn id="2" name="Hours per day"/>
    <tableColumn id="3" name="Uptime"/>
    <tableColumn id="4" name="Yield"/>
    <tableColumn id="5" name="Notes"/>
  </tableColumns>
  <tableStyleInfo name="TableStyleLight1" showFirstColumn="0" showLastColumn="0" showRowStripes="0" showColumnStripes="0"/>
</table>
</file>

<file path=xl/tables/table5.xml><?xml version="1.0" encoding="utf-8"?>
<table xmlns="http://schemas.openxmlformats.org/spreadsheetml/2006/main" id="5" name="tblVerifyFamilies" displayName="tblVerifyFamilies" ref="B41:H43" totalsRowShown="0">
  <tableColumns count="7">
    <tableColumn id="1" name="Family"/>
    <tableColumn id="2" name="Line"/>
    <tableColumn id="3" name="Rate (units/h)"/>
    <tableColumn id="4" name="Price (per unit)"/>
    <tableColumn id="5" name="Opening inventory (units)"/>
    <tableColumn id="6" name="Good rate (units/h)">
      <calculatedColumnFormula>tblVerifyFamilies[[#This Row],[Rate (units/h)]]*IFERROR(INDEX(tblVerifyLines[Yield],MATCH(tblVerifyFamilies[[#This Row],[Line]],tblVerifyLines[Line],0)),0)</calculatedColumnFormula>
    </tableColumn>
    <tableColumn id="7" name="Notes"/>
  </tableColumns>
  <tableStyleInfo name="TableStyleLight1" showFirstColumn="0" showLastColumn="0" showRowStripes="0" showColumnStripes="0"/>
</table>
</file>

<file path=xl/tables/table6.xml><?xml version="1.0" encoding="utf-8"?>
<table xmlns="http://schemas.openxmlformats.org/spreadsheetml/2006/main" id="6" name="tblVerifyPlan" displayName="tblVerifyPlan" ref="B51:S57" totalsRowShown="0">
  <tableColumns count="18">
    <tableColumn id="1" name="Month"/>
    <tableColumn id="2" name="Family"/>
    <tableColumn id="3" name="Demand forecast (units)"/>
    <tableColumn id="4" name="Production plan (units)"/>
    <tableColumn id="5" name="Line"/>
    <tableColumn id="6" name="Working days">
      <calculatedColumnFormula>IF(tblVerifyPlan[[#This Row],[Month]]="","",IFERROR(INDEX($F$47:$Q$47,MATCH(tblVerifyPlan[[#This Row],[Month]],$F$46:$Q$46,0)),""))</calculatedColumnFormula>
    </tableColumn>
    <tableColumn id="7" name="Start inv. (units)"/>
    <tableColumn id="8" name="Opening inv. (units)">
      <calculatedColumnFormula>IF(tblVerifyPlan[[#This Row],[Month]]="","",tblVerifyPlan[[#This Row],[Start inv. (units)]]+SUMIFS(tblVerifyPlan[Production plan (units)],tblVerifyPlan[Family],tblVerifyPlan[[#This Row],[Family]],tblVerifyPlan[Month],"&lt;"&amp;tblVerifyPlan[[#This Row],[Month]])-SUMIFS(tblVerifyPlan[Demand forecast (units)],tblVerifyPlan[Family],tblVerifyPlan[[#This Row],[Family]],tblVerifyPlan[Month],"&lt;"&amp;tblVerifyPlan[[#This Row],[Month]]))</calculatedColumnFormula>
    </tableColumn>
    <tableColumn id="9" name="Closing inv. (units)">
      <calculatedColumnFormula>IF(tblVerifyPlan[[#This Row],[Month]]="","",tblVerifyPlan[[#This Row],[Opening inv. (units)]]+tblVerifyPlan[[#This Row],[Production plan (units)]]-tblVerifyPlan[[#This Row],[Demand forecast (units)]])</calculatedColumnFormula>
    </tableColumn>
    <tableColumn id="10" name="Days of supply">
      <calculatedColumnFormula>IF(tblVerifyPlan[[#This Row],[Month]]="","",IF(AND(tblVerifyPlan[[#This Row],[Demand forecast (units)]]&gt;0,N(tblVerifyPlan[[#This Row],[Working days]])&gt;0),tblVerifyPlan[[#This Row],[Closing inv. (units)]]/(tblVerifyPlan[[#This Row],[Demand forecast (units)]]/tblVerifyPlan[[#This Row],[Working days]]),""))</calculatedColumnFormula>
    </tableColumn>
    <tableColumn id="11" name="Inventory status">
      <calculatedColumnFormula>IF(tblVerifyPlan[[#This Row],[Month]]="","",IF(NOT(ISNUMBER(tblVerifyPlan[[#This Row],[Days of supply]])),"",IF(tblVerifyPlan[[#This Row],[Days of supply]]&lt;$E$30,"Below target",IF(tblVerifyPlan[[#This Row],[Days of supply]]&gt;$E$31,"Above target","On target"))))</calculatedColumnFormula>
    </tableColumn>
    <tableColumn id="12" name="Good rate (units/h)"/>
    <tableColumn id="13" name="Load (h)">
      <calculatedColumnFormula>IF(tblVerifyPlan[[#This Row],[Month]]="","",IF(N(tblVerifyPlan[[#This Row],[Good rate (units/h)]])&gt;0,tblVerifyPlan[[#This Row],[Production plan (units)]]/tblVerifyPlan[[#This Row],[Good rate (units/h)]],""))</calculatedColumnFormula>
    </tableColumn>
    <tableColumn id="14" name="Capacity (units)">
      <calculatedColumnFormula>IF(tblVerifyPlan[[#This Row],[Month]]="","",IFERROR(tblVerifyPlan[[#This Row],[Good rate (units/h)]]*tblVerifyPlan[[#This Row],[Working days]]*INDEX(tblVerifyLines[Hours per day],MATCH(tblVerifyPlan[[#This Row],[Line]],tblVerifyLines[Line],0))*INDEX(tblVerifyLines[Uptime],MATCH(tblVerifyPlan[[#This Row],[Line]],tblVerifyLines[Line],0)),""))</calculatedColumnFormula>
    </tableColumn>
    <tableColumn id="15" name="Price (per unit)"/>
    <tableColumn id="16" name="Revenue">
      <calculatedColumnFormula>IF(tblVerifyPlan[[#This Row],[Month]]="","",IF(N(tblVerifyPlan[[#This Row],[Price (per unit)]])&gt;0,tblVerifyPlan[[#This Row],[Demand forecast (units)]]*tblVerifyPlan[[#This Row],[Price (per unit)]],""))</calculatedColumnFormula>
    </tableColumn>
    <tableColumn id="17" name="Check">
      <calculatedColumnFormula>IF(tblVerifyPlan[[#This Row],[Month]]="","",IF(tblVerifyPlan[[#This Row],[Family]]="","Missing family",IF(tblVerifyPlan[[#This Row],[Demand forecast (units)]]="","Missing demand forecast",IF(tblVerifyPlan[[#This Row],[Production plan (units)]]="","Missing production plan",IF(tblVerifyPlan[[#This Row],[Line]]="","Family not on Setup list",IF(tblVerifyPlan[[#This Row],[Working days]]="","Month not in the calendar",IF(COUNTIFS(tblVerifyPlan[Month],tblVerifyPlan[[#This Row],[Month]],tblVerifyPlan[Family],tblVerifyPlan[[#This Row],[Family]])&gt;1,"Duplicate family month",IF(tblVerifyPlan[[#This Row],[Production plan (units)]]&gt;N(tblVerifyPlan[[#This Row],[Capacity (units)]]),"Above line capacity","OK"))))))))</calculatedColumnFormula>
    </tableColumn>
    <tableColumn id="18"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op-plan" TargetMode="External"/><Relationship Id="rId2" Type="http://schemas.openxmlformats.org/officeDocument/2006/relationships/hyperlink" Target="https://www.mfgcalcs.com/calculators/sop-demand-planning-forecasting/capacity-demand-gap?utm_source=mfgcalcs-template&amp;utm_medium=xlsx&amp;utm_campaign=sop-plan" TargetMode="External"/><Relationship Id="rId3" Type="http://schemas.openxmlformats.org/officeDocument/2006/relationships/hyperlink" Target="https://www.mfgcalcs.com/templates/sop-plan?utm_source=mfgcalcs-template&amp;utm_medium=xlsx&amp;utm_campaign=sop-plan" TargetMode="External"/><Relationship Id="rId4" Type="http://schemas.openxmlformats.org/officeDocument/2006/relationships/hyperlink" Target="https://www.mfgcalcs.com/templates?utm_source=mfgcalcs-template&amp;utm_medium=xlsx&amp;utm_campaign=sop-plan"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op-plan" TargetMode="External"/><Relationship Id="rId2" Type="http://schemas.openxmlformats.org/officeDocument/2006/relationships/table" Target="../tables/table1.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op-plan" TargetMode="External"/><Relationship Id="rId2"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op-plan" TargetMode="External"/><Relationship Id="rId2"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op-plan" TargetMode="External"/><Relationship Id="rId2" Type="http://schemas.openxmlformats.org/officeDocument/2006/relationships/hyperlink" Target="https://www.mfgcalcs.com/calculators/sop-demand-planning-forecasting/capacity-demand-gap?utm_source=mfgcalcs-template&amp;utm_medium=xlsx&amp;utm_campaign=sop-plan"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op-plan" TargetMode="External"/><Relationship Id="rId2" Type="http://schemas.openxmlformats.org/officeDocument/2006/relationships/table" Target="../tables/table4.xml"/><Relationship Id="rId3" Type="http://schemas.openxmlformats.org/officeDocument/2006/relationships/table" Target="../tables/table5.xml"/><Relationship Id="rId4"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5"/>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29.4" customHeight="1">
      <c r="B15" s="9" t="s">
        <v>13</v>
      </c>
      <c r="C15" s="10" t="s">
        <v>14</v>
      </c>
      <c r="D15" s="10"/>
      <c r="E15" s="10"/>
      <c r="F15" s="10"/>
    </row>
    <row r="17" spans="2:6" ht="21" customHeight="1">
      <c r="B17" s="8" t="s">
        <v>15</v>
      </c>
      <c r="C17" s="8"/>
      <c r="D17" s="8"/>
      <c r="E17" s="8"/>
      <c r="F17" s="8"/>
    </row>
    <row r="18" spans="2:6" ht="5" customHeight="1"/>
    <row r="19" spans="2:6" ht="16.2" customHeight="1">
      <c r="B19" s="11"/>
      <c r="C19" s="12" t="s">
        <v>16</v>
      </c>
      <c r="D19" s="10" t="s">
        <v>1</v>
      </c>
      <c r="E19" s="10"/>
      <c r="F19" s="10"/>
    </row>
    <row r="20" spans="2:6" ht="29.4" customHeight="1">
      <c r="B20" s="11"/>
      <c r="C20" s="12" t="s">
        <v>17</v>
      </c>
      <c r="D20" s="10" t="s">
        <v>18</v>
      </c>
      <c r="E20" s="10"/>
      <c r="F20" s="10"/>
    </row>
    <row r="21" spans="2:6" ht="29.4" customHeight="1">
      <c r="B21" s="11"/>
      <c r="C21" s="12" t="s">
        <v>19</v>
      </c>
      <c r="D21" s="10" t="s">
        <v>20</v>
      </c>
      <c r="E21" s="10"/>
      <c r="F21" s="10"/>
    </row>
    <row r="22" spans="2:6" ht="29.4" customHeight="1">
      <c r="B22" s="11"/>
      <c r="C22" s="12" t="s">
        <v>21</v>
      </c>
      <c r="D22" s="10" t="s">
        <v>22</v>
      </c>
      <c r="E22" s="10"/>
      <c r="F22" s="10"/>
    </row>
    <row r="23" spans="2:6" ht="16.2" customHeight="1">
      <c r="B23" s="11"/>
      <c r="C23" s="12" t="s">
        <v>23</v>
      </c>
      <c r="D23" s="10" t="s">
        <v>24</v>
      </c>
      <c r="E23" s="10"/>
      <c r="F23" s="10"/>
    </row>
    <row r="24" spans="2:6" ht="29.4" customHeight="1">
      <c r="B24" s="11"/>
      <c r="C24" s="12" t="s">
        <v>25</v>
      </c>
      <c r="D24" s="10" t="s">
        <v>26</v>
      </c>
      <c r="E24" s="10"/>
      <c r="F24" s="10"/>
    </row>
    <row r="26" spans="2:6" ht="21" customHeight="1">
      <c r="B26" s="8" t="s">
        <v>27</v>
      </c>
      <c r="C26" s="8"/>
      <c r="D26" s="8"/>
      <c r="E26" s="8"/>
      <c r="F26" s="8"/>
    </row>
    <row r="27" spans="2:6" ht="5" customHeight="1"/>
    <row r="28" spans="2:6" ht="29.4" customHeight="1">
      <c r="C28" s="13" t="s">
        <v>28</v>
      </c>
      <c r="D28" s="14" t="s">
        <v>29</v>
      </c>
      <c r="E28" s="14"/>
      <c r="F28" s="14"/>
    </row>
    <row r="29" spans="2:6" ht="29.4" customHeight="1">
      <c r="C29" s="15" t="s">
        <v>30</v>
      </c>
      <c r="D29" s="14" t="s">
        <v>31</v>
      </c>
      <c r="E29" s="14"/>
      <c r="F29" s="14"/>
    </row>
    <row r="30" spans="2:6" ht="16.2" customHeight="1">
      <c r="C30" s="16" t="s">
        <v>32</v>
      </c>
      <c r="D30" s="14" t="s">
        <v>33</v>
      </c>
      <c r="E30" s="14"/>
      <c r="F30" s="14"/>
    </row>
    <row r="31" spans="2:6" ht="18" customHeight="1">
      <c r="C31" s="17" t="s">
        <v>34</v>
      </c>
      <c r="D31" s="18" t="s">
        <v>35</v>
      </c>
      <c r="E31" s="19" t="s">
        <v>36</v>
      </c>
      <c r="F31" s="20" t="s">
        <v>37</v>
      </c>
    </row>
    <row r="32" spans="2:6" ht="26.76" customHeight="1">
      <c r="C32" s="21" t="s">
        <v>38</v>
      </c>
      <c r="D32" s="21"/>
      <c r="E32" s="21"/>
      <c r="F32" s="21"/>
    </row>
    <row r="34" spans="2:6" ht="21" customHeight="1">
      <c r="B34" s="8" t="s">
        <v>39</v>
      </c>
      <c r="C34" s="8"/>
      <c r="D34" s="8"/>
      <c r="E34" s="8"/>
      <c r="F34" s="8"/>
    </row>
    <row r="35" spans="2:6" ht="5" customHeight="1"/>
    <row r="36" spans="2:6" ht="26" customHeight="1">
      <c r="C36" s="17" t="s">
        <v>40</v>
      </c>
      <c r="D36" s="22" t="str">
        <f>SelfCheck</f>
        <v>PASS</v>
      </c>
      <c r="E36" s="23" t="str">
        <f>SelfCheckSummary</f>
        <v>13 of 13 checks pass</v>
      </c>
      <c r="F36" s="23"/>
    </row>
    <row r="37" spans="2:6" ht="26.76" customHeight="1">
      <c r="C37" s="21" t="s">
        <v>41</v>
      </c>
      <c r="D37" s="21"/>
      <c r="E37" s="21"/>
      <c r="F37" s="21"/>
    </row>
    <row r="38" spans="2:6">
      <c r="C38" s="17" t="s">
        <v>42</v>
      </c>
      <c r="D38" s="24" t="s">
        <v>43</v>
      </c>
      <c r="E38" s="24"/>
      <c r="F38" s="24"/>
    </row>
    <row r="39" spans="2:6">
      <c r="C39" s="17" t="s">
        <v>44</v>
      </c>
      <c r="D39" s="24" t="s">
        <v>45</v>
      </c>
      <c r="E39" s="24"/>
      <c r="F39" s="24"/>
    </row>
    <row r="40" spans="2:6">
      <c r="C40" s="17" t="s">
        <v>46</v>
      </c>
      <c r="D40" s="24" t="s">
        <v>47</v>
      </c>
      <c r="E40" s="24"/>
      <c r="F40" s="24"/>
    </row>
    <row r="41" spans="2:6">
      <c r="C41" s="17" t="s">
        <v>48</v>
      </c>
      <c r="D41" s="11" t="s">
        <v>49</v>
      </c>
      <c r="E41" s="11"/>
      <c r="F41" s="11"/>
    </row>
    <row r="43" spans="2:6" ht="21" customHeight="1">
      <c r="B43" s="8" t="s">
        <v>50</v>
      </c>
      <c r="C43" s="8"/>
      <c r="D43" s="8"/>
      <c r="E43" s="8"/>
      <c r="F43" s="8"/>
    </row>
    <row r="44" spans="2:6" ht="5" customHeight="1"/>
    <row r="45" spans="2:6" ht="61.8" customHeight="1">
      <c r="B45" s="25" t="s">
        <v>51</v>
      </c>
      <c r="C45" s="25"/>
      <c r="D45" s="25"/>
      <c r="E45" s="25"/>
      <c r="F45" s="25"/>
    </row>
    <row r="47" spans="2:6" ht="21" customHeight="1">
      <c r="B47" s="8" t="s">
        <v>52</v>
      </c>
      <c r="C47" s="8"/>
      <c r="D47" s="8"/>
      <c r="E47" s="8"/>
      <c r="F47" s="8"/>
    </row>
    <row r="48" spans="2:6" ht="5" customHeight="1"/>
    <row r="49" spans="2:6" ht="29.4" customHeight="1">
      <c r="B49" s="26" t="s">
        <v>53</v>
      </c>
      <c r="C49" s="10" t="s">
        <v>54</v>
      </c>
      <c r="D49" s="10"/>
      <c r="E49" s="10"/>
      <c r="F49" s="10"/>
    </row>
    <row r="50" spans="2:6" ht="16.2" customHeight="1">
      <c r="B50" s="26" t="s">
        <v>53</v>
      </c>
      <c r="C50" s="10" t="s">
        <v>55</v>
      </c>
      <c r="D50" s="10"/>
      <c r="E50" s="10"/>
      <c r="F50" s="10"/>
    </row>
    <row r="51" spans="2:6" ht="29.4" customHeight="1">
      <c r="B51" s="26" t="s">
        <v>53</v>
      </c>
      <c r="C51" s="10" t="s">
        <v>56</v>
      </c>
      <c r="D51" s="10"/>
      <c r="E51" s="10"/>
      <c r="F51" s="10"/>
    </row>
    <row r="52" spans="2:6" ht="16.2" customHeight="1">
      <c r="B52" s="26" t="s">
        <v>53</v>
      </c>
      <c r="C52" s="10" t="s">
        <v>57</v>
      </c>
      <c r="D52" s="10"/>
      <c r="E52" s="10"/>
      <c r="F52" s="10"/>
    </row>
    <row r="54" spans="2:6" ht="16.2" customHeight="1">
      <c r="B54" s="17" t="s">
        <v>58</v>
      </c>
      <c r="C54" s="17"/>
      <c r="D54" s="17"/>
      <c r="E54" s="17"/>
      <c r="F54" s="17"/>
    </row>
    <row r="55" spans="2:6" ht="26.76" customHeight="1">
      <c r="B55" s="21" t="s">
        <v>59</v>
      </c>
      <c r="C55" s="21"/>
      <c r="D55" s="21"/>
      <c r="E55" s="21"/>
      <c r="F55" s="21"/>
    </row>
  </sheetData>
  <sheetProtection sheet="1" formatColumns="0" formatRows="0"/>
  <mergeCells count="39">
    <mergeCell ref="A1:F1"/>
    <mergeCell ref="B2:E2"/>
    <mergeCell ref="D4:F4"/>
    <mergeCell ref="D5:F6"/>
    <mergeCell ref="D7:F7"/>
    <mergeCell ref="D8:F8"/>
    <mergeCell ref="B10:F10"/>
    <mergeCell ref="C12:F12"/>
    <mergeCell ref="C13:F13"/>
    <mergeCell ref="C14:F14"/>
    <mergeCell ref="C15:F15"/>
    <mergeCell ref="B17:F17"/>
    <mergeCell ref="D19:F19"/>
    <mergeCell ref="D20:F20"/>
    <mergeCell ref="D21:F21"/>
    <mergeCell ref="D22:F22"/>
    <mergeCell ref="D23:F23"/>
    <mergeCell ref="D24:F24"/>
    <mergeCell ref="B26:F26"/>
    <mergeCell ref="D28:F28"/>
    <mergeCell ref="D29:F29"/>
    <mergeCell ref="D30:F30"/>
    <mergeCell ref="C32:F32"/>
    <mergeCell ref="B34:F34"/>
    <mergeCell ref="E36:F36"/>
    <mergeCell ref="C37:F37"/>
    <mergeCell ref="D38:F38"/>
    <mergeCell ref="D39:F39"/>
    <mergeCell ref="D40:F40"/>
    <mergeCell ref="D41:F41"/>
    <mergeCell ref="B43:F43"/>
    <mergeCell ref="B45:F45"/>
    <mergeCell ref="B47:F47"/>
    <mergeCell ref="C49:F49"/>
    <mergeCell ref="C50:F50"/>
    <mergeCell ref="C51:F51"/>
    <mergeCell ref="C52:F52"/>
    <mergeCell ref="B54:F54"/>
    <mergeCell ref="B55:F55"/>
  </mergeCells>
  <conditionalFormatting sqref="D36">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19" location="'Start Here'!A1" tooltip="Go to Start Here" display="Start Here"/>
    <hyperlink ref="C20" location="Setup!A1" tooltip="Go to Setup" display="Setup"/>
    <hyperlink ref="C21" location="Plan!A1" tooltip="Go to Plan" display="Plan"/>
    <hyperlink ref="C22" location="Dashboard!A1" tooltip="Go to Dashboard" display="Dashboard"/>
    <hyperlink ref="C23" location="Method!A1" tooltip="Go to Method" display="Method"/>
    <hyperlink ref="C24" location="Verify!A1" tooltip="Go to Verify" display="Verify"/>
    <hyperlink ref="D38" r:id="rId2"/>
    <hyperlink ref="D39" r:id="rId3"/>
    <hyperlink ref="D40" r:id="rId4"/>
  </hyperlinks>
  <printOptions horizontalCentered="1"/>
  <pageMargins left="0.4" right="0.4" top="0.7" bottom="0.65" header="0.3" footer="0.3"/>
  <pageSetup fitToHeight="0" orientation="portrait"/>
  <headerFooter>
    <oddHeader>&amp;L&amp;8MFG Calcs - S&amp;&amp;OP Monthly Plan&amp;R&amp;8&amp;A</oddHeader>
    <oddFooter>&amp;L&amp;8mfgcalcs.com - free manufacturing templates&amp;R&amp;8Page &amp;P of &amp;N</oddFooter>
  </headerFooter>
  <rowBreaks count="1" manualBreakCount="1">
    <brk id="32"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H31"/>
  <sheetViews>
    <sheetView showGridLines="0" workbookViewId="0"/>
  </sheetViews>
  <sheetFormatPr defaultRowHeight="15"/>
  <cols>
    <col min="1" max="1" width="2.7109375" customWidth="1"/>
    <col min="2" max="2" width="20.7109375" customWidth="1"/>
    <col min="3" max="5" width="12.7109375" customWidth="1"/>
    <col min="6" max="6" width="13.7109375" customWidth="1"/>
    <col min="7" max="7" width="14.7109375" customWidth="1"/>
    <col min="8" max="8" width="30.7109375" customWidth="1"/>
  </cols>
  <sheetData>
    <row r="1" spans="1:8" ht="30" customHeight="1">
      <c r="A1" s="1" t="s">
        <v>0</v>
      </c>
      <c r="B1" s="1"/>
      <c r="C1" s="1"/>
      <c r="D1" s="1"/>
      <c r="E1" s="1"/>
      <c r="F1" s="1"/>
      <c r="G1" s="1"/>
      <c r="H1" s="1"/>
    </row>
    <row r="2" spans="1:8" ht="32.4" customHeight="1">
      <c r="B2" s="2" t="s">
        <v>18</v>
      </c>
      <c r="C2" s="2"/>
      <c r="D2" s="2"/>
      <c r="E2" s="2"/>
      <c r="F2" s="2"/>
      <c r="G2" s="2"/>
      <c r="H2" s="3" t="s">
        <v>2</v>
      </c>
    </row>
    <row r="3" spans="1:8" ht="6" customHeight="1"/>
    <row r="4" spans="1:8" ht="21" customHeight="1">
      <c r="B4" s="8" t="s">
        <v>70</v>
      </c>
      <c r="C4" s="8"/>
      <c r="D4" s="8"/>
      <c r="E4" s="8"/>
      <c r="F4" s="8"/>
      <c r="G4" s="8"/>
      <c r="H4" s="8"/>
    </row>
    <row r="5" spans="1:8" ht="5" customHeight="1"/>
    <row r="6" spans="1:8">
      <c r="B6" s="27" t="s">
        <v>71</v>
      </c>
      <c r="C6" s="27"/>
      <c r="D6" s="28" t="s">
        <v>72</v>
      </c>
      <c r="E6" s="28"/>
    </row>
    <row r="7" spans="1:8">
      <c r="B7" s="27" t="s">
        <v>73</v>
      </c>
      <c r="C7" s="27"/>
      <c r="D7" s="28" t="s">
        <v>74</v>
      </c>
      <c r="E7" s="28"/>
    </row>
    <row r="8" spans="1:8">
      <c r="B8" s="27" t="s">
        <v>75</v>
      </c>
      <c r="C8" s="27"/>
      <c r="D8" s="29">
        <v>46327</v>
      </c>
      <c r="E8" s="7"/>
    </row>
    <row r="9" spans="1:8">
      <c r="B9" s="27" t="s">
        <v>76</v>
      </c>
      <c r="C9" s="27"/>
      <c r="D9" s="30">
        <v>10</v>
      </c>
      <c r="E9" s="7" t="s">
        <v>77</v>
      </c>
    </row>
    <row r="10" spans="1:8">
      <c r="B10" s="27" t="s">
        <v>78</v>
      </c>
      <c r="C10" s="27"/>
      <c r="D10" s="30">
        <v>40</v>
      </c>
      <c r="E10" s="7" t="s">
        <v>77</v>
      </c>
    </row>
    <row r="11" spans="1:8">
      <c r="B11" s="27" t="s">
        <v>79</v>
      </c>
      <c r="C11" s="27"/>
      <c r="D11" s="31">
        <v>0.85</v>
      </c>
      <c r="E11" s="7" t="s">
        <v>80</v>
      </c>
    </row>
    <row r="12" spans="1:8">
      <c r="B12" s="27" t="s">
        <v>81</v>
      </c>
      <c r="C12" s="27"/>
      <c r="D12" s="31">
        <v>1</v>
      </c>
      <c r="E12" s="7" t="s">
        <v>80</v>
      </c>
    </row>
    <row r="14" spans="1:8" ht="22.2" customHeight="1">
      <c r="B14" s="25" t="s">
        <v>82</v>
      </c>
      <c r="C14" s="25"/>
      <c r="D14" s="25"/>
      <c r="E14" s="25"/>
      <c r="F14" s="25"/>
      <c r="G14" s="25"/>
      <c r="H14" s="25"/>
    </row>
    <row r="16" spans="1:8" ht="21" customHeight="1">
      <c r="B16" s="8" t="s">
        <v>83</v>
      </c>
      <c r="C16" s="8"/>
      <c r="D16" s="8"/>
      <c r="E16" s="8"/>
      <c r="F16" s="8"/>
      <c r="G16" s="8"/>
      <c r="H16" s="8"/>
    </row>
    <row r="17" spans="2:8" ht="5" customHeight="1"/>
    <row r="18" spans="2:8">
      <c r="B18" s="32" t="s">
        <v>84</v>
      </c>
      <c r="C18" s="32"/>
      <c r="D18" s="32"/>
      <c r="E18" s="32"/>
      <c r="F18" s="32"/>
    </row>
    <row r="19" spans="2:8" ht="32" customHeight="1">
      <c r="B19" s="33" t="s">
        <v>60</v>
      </c>
      <c r="C19" s="33" t="s">
        <v>61</v>
      </c>
      <c r="D19" s="33" t="s">
        <v>62</v>
      </c>
      <c r="E19" s="33" t="s">
        <v>63</v>
      </c>
      <c r="F19" s="33" t="s">
        <v>64</v>
      </c>
    </row>
    <row r="20" spans="2:8">
      <c r="B20" s="28" t="s">
        <v>85</v>
      </c>
      <c r="C20" s="30">
        <v>16</v>
      </c>
      <c r="D20" s="31">
        <v>0.85</v>
      </c>
      <c r="E20" s="31">
        <v>0.98</v>
      </c>
      <c r="F20" s="28" t="s">
        <v>86</v>
      </c>
    </row>
    <row r="21" spans="2:8">
      <c r="B21" s="28" t="s">
        <v>87</v>
      </c>
      <c r="C21" s="30">
        <v>8</v>
      </c>
      <c r="D21" s="31">
        <v>0.88</v>
      </c>
      <c r="E21" s="31">
        <v>0.99</v>
      </c>
      <c r="F21" s="28" t="s">
        <v>88</v>
      </c>
    </row>
    <row r="23" spans="2:8" ht="21" customHeight="1">
      <c r="B23" s="8" t="s">
        <v>89</v>
      </c>
      <c r="C23" s="8"/>
      <c r="D23" s="8"/>
      <c r="E23" s="8"/>
      <c r="F23" s="8"/>
      <c r="G23" s="8"/>
      <c r="H23" s="8"/>
    </row>
    <row r="24" spans="2:8" ht="5" customHeight="1"/>
    <row r="25" spans="2:8">
      <c r="B25" s="32" t="s">
        <v>90</v>
      </c>
      <c r="C25" s="32"/>
      <c r="D25" s="32"/>
      <c r="E25" s="32"/>
      <c r="F25" s="32"/>
      <c r="G25" s="32"/>
      <c r="H25" s="32"/>
    </row>
    <row r="26" spans="2:8" ht="14" customHeight="1">
      <c r="B26" s="34"/>
      <c r="C26" s="34"/>
      <c r="D26" s="34"/>
      <c r="E26" s="34" t="str">
        <f>Currency</f>
        <v>USD</v>
      </c>
      <c r="F26" s="34"/>
      <c r="G26" s="34"/>
      <c r="H26" s="34"/>
    </row>
    <row r="27" spans="2:8" ht="32" customHeight="1">
      <c r="B27" s="33" t="s">
        <v>65</v>
      </c>
      <c r="C27" s="33" t="s">
        <v>60</v>
      </c>
      <c r="D27" s="33" t="s">
        <v>66</v>
      </c>
      <c r="E27" s="33" t="s">
        <v>67</v>
      </c>
      <c r="F27" s="33" t="s">
        <v>68</v>
      </c>
      <c r="G27" s="33" t="s">
        <v>69</v>
      </c>
      <c r="H27" s="33" t="s">
        <v>64</v>
      </c>
    </row>
    <row r="28" spans="2:8">
      <c r="B28" s="28" t="s">
        <v>91</v>
      </c>
      <c r="C28" s="28" t="s">
        <v>85</v>
      </c>
      <c r="D28" s="30">
        <v>15</v>
      </c>
      <c r="E28" s="35">
        <v>420</v>
      </c>
      <c r="F28" s="36">
        <v>1500</v>
      </c>
      <c r="G28" s="37">
        <f>tblFamilies[[#This Row],[Rate (units/h)]]*IFERROR(INDEX(tblLines[Yield],MATCH(tblFamilies[[#This Row],[Line]],tblLines[Line],0)),0)</f>
        <v>14.7</v>
      </c>
      <c r="H28" s="28" t="s">
        <v>92</v>
      </c>
    </row>
    <row r="29" spans="2:8">
      <c r="B29" s="28" t="s">
        <v>93</v>
      </c>
      <c r="C29" s="28" t="s">
        <v>85</v>
      </c>
      <c r="D29" s="30">
        <v>14</v>
      </c>
      <c r="E29" s="35">
        <v>650</v>
      </c>
      <c r="F29" s="36">
        <v>1800</v>
      </c>
      <c r="G29" s="37">
        <f>tblFamilies[[#This Row],[Rate (units/h)]]*IFERROR(INDEX(tblLines[Yield],MATCH(tblFamilies[[#This Row],[Line]],tblLines[Line],0)),0)</f>
        <v>13.72</v>
      </c>
      <c r="H29" s="28" t="s">
        <v>94</v>
      </c>
    </row>
    <row r="30" spans="2:8">
      <c r="B30" s="28" t="s">
        <v>95</v>
      </c>
      <c r="C30" s="28" t="s">
        <v>87</v>
      </c>
      <c r="D30" s="30">
        <v>22</v>
      </c>
      <c r="E30" s="35">
        <v>95</v>
      </c>
      <c r="F30" s="36">
        <v>900</v>
      </c>
      <c r="G30" s="37">
        <f>tblFamilies[[#This Row],[Rate (units/h)]]*IFERROR(INDEX(tblLines[Yield],MATCH(tblFamilies[[#This Row],[Line]],tblLines[Line],0)),0)</f>
        <v>21.78</v>
      </c>
      <c r="H30" s="28" t="s">
        <v>96</v>
      </c>
    </row>
    <row r="31" spans="2:8">
      <c r="B31" s="28" t="s">
        <v>97</v>
      </c>
      <c r="C31" s="28" t="s">
        <v>87</v>
      </c>
      <c r="D31" s="30">
        <v>20</v>
      </c>
      <c r="E31" s="35">
        <v>140</v>
      </c>
      <c r="F31" s="36">
        <v>1200</v>
      </c>
      <c r="G31" s="37">
        <f>tblFamilies[[#This Row],[Rate (units/h)]]*IFERROR(INDEX(tblLines[Yield],MATCH(tblFamilies[[#This Row],[Line]],tblLines[Line],0)),0)</f>
        <v>19.8</v>
      </c>
      <c r="H31" s="28" t="s">
        <v>98</v>
      </c>
    </row>
  </sheetData>
  <mergeCells count="17">
    <mergeCell ref="A1:H1"/>
    <mergeCell ref="B2:G2"/>
    <mergeCell ref="B4:H4"/>
    <mergeCell ref="B6:C6"/>
    <mergeCell ref="D6:E6"/>
    <mergeCell ref="B7:C7"/>
    <mergeCell ref="D7:E7"/>
    <mergeCell ref="B8:C8"/>
    <mergeCell ref="B9:C9"/>
    <mergeCell ref="B10:C10"/>
    <mergeCell ref="B11:C11"/>
    <mergeCell ref="B12:C12"/>
    <mergeCell ref="B14:H14"/>
    <mergeCell ref="B16:H16"/>
    <mergeCell ref="B18:F18"/>
    <mergeCell ref="B23:H23"/>
    <mergeCell ref="B25:H25"/>
  </mergeCells>
  <dataValidations count="18">
    <dataValidation type="textLength" allowBlank="1" showInputMessage="1" showErrorMessage="1" errorTitle="Check this entry" error="Text up to 80 characters." promptTitle="Company or plant" prompt="Text up to 80 characters." sqref="D6">
      <formula1>0</formula1>
      <formula2>80</formula2>
    </dataValidation>
    <dataValidation type="textLength" allowBlank="1" showInputMessage="1" showErrorMessage="1" errorTitle="Check this entry" error="Text up to 12 characters." promptTitle="Currency label" prompt="Text shown next to money values, e.g. USD, INR, GBP, EUR, MXN. No exchange rate is applied. Text up to 12 characters." sqref="D7">
      <formula1>0</formula1>
      <formula2>12</formula2>
    </dataValidation>
    <dataValidation type="date" allowBlank="1" showInputMessage="1" showErrorMessage="1" errorTitle="Check this entry" error="Enter a date between 01 Jan 2000 and 31 Dec 2100." promptTitle="First plan month (the 1st)" prompt="First day of the first month in the plan. Month k is k - 1 months later. Enter a date between 01 Jan 2000 and 31 Dec 2100." sqref="D8">
      <formula1>36526</formula1>
      <formula2>73415</formula2>
    </dataValidation>
    <dataValidation type="decimal" allowBlank="1" showInputMessage="1" showErrorMessage="1" errorTitle="Check this entry" error="Enter a number from 0 to 365." promptTitle="Minimum days of supply" prompt="Your policy: closing inventory below this many days of the month's demand is flagged Below target. Enter a number from 0 to 365." sqref="D9">
      <formula1>0</formula1>
      <formula2>365</formula2>
    </dataValidation>
    <dataValidation type="decimal" allowBlank="1" showInputMessage="1" showErrorMessage="1" errorTitle="Check this entry" error="Enter a number from 0 to 730." promptTitle="Maximum days of supply" prompt="Your policy: above this many days of demand is flagged Above target (cash tied up). Enter a number from 0 to 730." sqref="D10">
      <formula1>0</formula1>
      <formula2>730</formula2>
    </dataValidation>
    <dataValidation type="decimal" allowBlank="1" showInputMessage="1" showErrorMessage="1" errorTitle="Check this entry" error="Enter a percentage from 0% to 200% (type 85% or 0.85)." promptTitle="Line near capacity from" prompt="Utilisation from which a line-month is flagged Near capacity. Enter a percentage from 0% to 200% (type 85% or 0.85)." sqref="D11">
      <formula1>0</formula1>
      <formula2>2</formula2>
    </dataValidation>
    <dataValidation type="decimal" allowBlank="1" showInputMessage="1" showErrorMessage="1" errorTitle="Check this entry" error="Enter a percentage from 0% to 300% (type 85% or 0.85)." promptTitle="Line over capacity above" prompt="Utilisation above which a line-month is Over capacity. Enter a percentage from 0% to 300% (type 85% or 0.85)." sqref="D12">
      <formula1>0</formula1>
      <formula2>3</formula2>
    </dataValidation>
    <dataValidation type="textLength" allowBlank="1" showInputMessage="1" showErrorMessage="1" errorTitle="Check this entry" error="Text up to 40 characters." promptTitle="Line" prompt="Text up to 40 characters." sqref="B20:B121">
      <formula1>0</formula1>
      <formula2>40</formula2>
    </dataValidation>
    <dataValidation type="decimal" allowBlank="1" showInputMessage="1" showErrorMessage="1" errorTitle="Check this entry" error="Enter a number from 0.5 to 24." promptTitle="Hours per day" prompt="Scheduled hours per working day (shifts x paid hours minus breaks). Enter a number from 0.5 to 24." sqref="C20:C121">
      <formula1>0.5</formula1>
      <formula2>24</formula2>
    </dataValidation>
    <dataValidation type="decimal" allowBlank="1" showInputMessage="1" showErrorMessage="1" errorTitle="Check this entry" error="Enter a percentage from 1% to 100% (type 85% or 0.85)." promptTitle="Uptime" prompt="Share of scheduled hours the line actually runs, changeovers and stops included. Enter a percentage from 1% to 100% (type 85% or 0.85)." sqref="D20:D121">
      <formula1>0.01</formula1>
      <formula2>1</formula2>
    </dataValidation>
    <dataValidation type="decimal" allowBlank="1" showInputMessage="1" showErrorMessage="1" errorTitle="Check this entry" error="Enter a percentage from 1% to 100% (type 85% or 0.85)." promptTitle="Yield" prompt="First-pass good units / units started on this line. Enter a percentage from 1% to 100% (type 85% or 0.85)." sqref="E20:E121">
      <formula1>0.01</formula1>
      <formula2>1</formula2>
    </dataValidation>
    <dataValidation type="textLength" allowBlank="1" showInputMessage="1" showErrorMessage="1" errorTitle="Check this entry" error="Text up to 120 characters." promptTitle="Notes" prompt="Text up to 120 characters." sqref="F20:F121">
      <formula1>0</formula1>
      <formula2>120</formula2>
    </dataValidation>
    <dataValidation type="textLength" allowBlank="1" showInputMessage="1" showErrorMessage="1" errorTitle="Check this entry" error="Text up to 40 characters." promptTitle="Family" prompt="Text up to 40 characters." sqref="B28:B131">
      <formula1>0</formula1>
      <formula2>40</formula2>
    </dataValidation>
    <dataValidation type="list" allowBlank="1" showInputMessage="1" showErrorMessage="1" errorTitle="Check this entry" error="Pick from the list (edit the list on Setup: Lines)." promptTitle="Line" prompt="Pick from the list (edit the list on Setup: Lines)." sqref="C28:C131">
      <formula1>Lines</formula1>
    </dataValidation>
    <dataValidation type="decimal" allowBlank="1" showInputMessage="1" showErrorMessage="1" errorTitle="Check this entry" error="Enter a number from 0.01 to 1,000,000." promptTitle="Rate (units/h)" prompt="Units the line makes per running hour of this family (before scrap). Enter a number from 0.01 to 1,000,000." sqref="D28:D131">
      <formula1>0.01</formula1>
      <formula2>1000000.0</formula2>
    </dataValidation>
    <dataValidation type="decimal" allowBlank="1" showInputMessage="1" showErrorMessage="1" errorTitle="Check this entry" error="Enter a number of at least 0." promptTitle="Price (per unit)" prompt="Average selling price per unit, for the revenue line (example figures). Enter a number of at least 0." sqref="E28:E131">
      <formula1>0</formula1>
      <formula2>1000000000.0</formula2>
    </dataValidation>
    <dataValidation type="decimal" allowBlank="1" showInputMessage="1" showErrorMessage="1" errorTitle="Check this entry" error="Enter a number of at least 0." promptTitle="Opening inventory (units)" prompt="Finished stock at the start of the first plan month. Enter a number of at least 0." sqref="F28:F131">
      <formula1>0</formula1>
      <formula2>1000000000.0</formula2>
    </dataValidation>
    <dataValidation type="textLength" allowBlank="1" showInputMessage="1" showErrorMessage="1" errorTitle="Check this entry" error="Text up to 120 characters." promptTitle="Notes" prompt="Text up to 120 characters." sqref="H28:H131">
      <formula1>0</formula1>
      <formula2>120</formula2>
    </dataValidation>
  </dataValidations>
  <hyperlinks>
    <hyperlink ref="H2" r:id="rId1" tooltip="Free manufacturing calculators and templates"/>
  </hyperlinks>
  <pageMargins left="0.4" right="0.4" top="0.7" bottom="0.65" header="0.3" footer="0.3"/>
  <pageSetup fitToHeight="0" orientation="landscape"/>
  <headerFooter>
    <oddHeader>&amp;L&amp;8MFG Calcs - S&amp;&amp;OP Monthly Plan&amp;R&amp;8&amp;A</oddHeader>
    <oddFooter>&amp;L&amp;8mfgcalcs.com - free manufacturing templates&amp;R&amp;8Page &amp;P of &amp;N</oddFooter>
  </headerFooter>
  <rowBreaks count="1" manualBreakCount="1">
    <brk id="22" max="16383" man="1"/>
  </rowBreaks>
  <tableParts count="2">
    <tablePart r:id="rId2"/>
    <tablePart r:id="rId3"/>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S58"/>
  <sheetViews>
    <sheetView workbookViewId="0">
      <pane xSplit="3" ySplit="10" topLeftCell="D11" activePane="bottomRight" state="frozen"/>
      <selection pane="topRight" activeCell="D1" sqref="D1"/>
      <selection pane="bottomLeft" activeCell="A11" sqref="A11"/>
      <selection pane="bottomRight"/>
    </sheetView>
  </sheetViews>
  <sheetFormatPr defaultRowHeight="15"/>
  <cols>
    <col min="1" max="1" width="2.7109375" customWidth="1"/>
    <col min="2" max="2" width="30.7109375" customWidth="1"/>
    <col min="3" max="3" width="13.7109375" customWidth="1"/>
    <col min="4" max="15" width="12.7109375" customWidth="1"/>
    <col min="16" max="16" width="9.28515625" customWidth="1"/>
    <col min="17" max="17" width="10.7109375" customWidth="1"/>
    <col min="18" max="18" width="20.7109375" customWidth="1"/>
    <col min="19" max="19" width="22.7109375" customWidth="1"/>
  </cols>
  <sheetData>
    <row r="1" spans="1:19" ht="30" customHeight="1">
      <c r="A1" s="1" t="s">
        <v>0</v>
      </c>
      <c r="B1" s="1"/>
      <c r="C1" s="1"/>
      <c r="D1" s="1"/>
      <c r="E1" s="1"/>
      <c r="F1" s="1"/>
      <c r="G1" s="1"/>
      <c r="H1" s="1"/>
      <c r="I1" s="1"/>
      <c r="J1" s="1"/>
      <c r="K1" s="1"/>
      <c r="L1" s="1"/>
      <c r="M1" s="1"/>
      <c r="N1" s="1"/>
      <c r="O1" s="1"/>
      <c r="P1" s="1"/>
      <c r="Q1" s="1"/>
      <c r="R1" s="1"/>
      <c r="S1" s="1"/>
    </row>
    <row r="2" spans="1:19" ht="21" customHeight="1">
      <c r="B2" s="2" t="s">
        <v>20</v>
      </c>
      <c r="C2" s="2"/>
      <c r="D2" s="2"/>
      <c r="E2" s="2"/>
      <c r="F2" s="2"/>
      <c r="G2" s="2"/>
      <c r="H2" s="2"/>
      <c r="I2" s="2"/>
      <c r="J2" s="2"/>
      <c r="K2" s="2"/>
      <c r="L2" s="2"/>
      <c r="M2" s="2"/>
      <c r="N2" s="2"/>
      <c r="O2" s="2"/>
      <c r="P2" s="2"/>
      <c r="Q2" s="2"/>
      <c r="R2" s="2"/>
      <c r="S2" s="3" t="s">
        <v>2</v>
      </c>
    </row>
    <row r="3" spans="1:19" ht="6" customHeight="1"/>
    <row r="4" spans="1:19">
      <c r="B4" s="32" t="s">
        <v>112</v>
      </c>
      <c r="C4" s="32"/>
      <c r="D4" s="32"/>
      <c r="E4" s="32"/>
      <c r="F4" s="32"/>
      <c r="G4" s="32"/>
      <c r="H4" s="32"/>
      <c r="I4" s="32"/>
      <c r="J4" s="32"/>
      <c r="K4" s="32"/>
      <c r="L4" s="32"/>
      <c r="M4" s="32"/>
      <c r="N4" s="32"/>
      <c r="O4" s="32"/>
    </row>
    <row r="5" spans="1:19">
      <c r="B5" s="38" t="s">
        <v>99</v>
      </c>
      <c r="C5" s="33" t="s">
        <v>113</v>
      </c>
      <c r="D5" s="39">
        <f>PlanStart</f>
        <v>46327</v>
      </c>
      <c r="E5" s="39">
        <f>EDATE($D$5,1)</f>
        <v>46357</v>
      </c>
      <c r="F5" s="39">
        <f>EDATE($E$5,1)</f>
        <v>46388</v>
      </c>
      <c r="G5" s="39">
        <f>EDATE($F$5,1)</f>
        <v>46419</v>
      </c>
      <c r="H5" s="39">
        <f>EDATE($G$5,1)</f>
        <v>46447</v>
      </c>
      <c r="I5" s="39">
        <f>EDATE($H$5,1)</f>
        <v>46478</v>
      </c>
      <c r="J5" s="39">
        <f>EDATE($I$5,1)</f>
        <v>46508</v>
      </c>
      <c r="K5" s="39">
        <f>EDATE($J$5,1)</f>
        <v>46539</v>
      </c>
      <c r="L5" s="39">
        <f>EDATE($K$5,1)</f>
        <v>46569</v>
      </c>
      <c r="M5" s="39">
        <f>EDATE($L$5,1)</f>
        <v>46600</v>
      </c>
      <c r="N5" s="39">
        <f>EDATE($M$5,1)</f>
        <v>46631</v>
      </c>
      <c r="O5" s="39">
        <f>EDATE($N$5,1)</f>
        <v>46661</v>
      </c>
    </row>
    <row r="6" spans="1:19">
      <c r="B6" s="27" t="s">
        <v>102</v>
      </c>
      <c r="C6" s="7"/>
      <c r="D6" s="30">
        <v>20</v>
      </c>
      <c r="E6" s="30">
        <v>19</v>
      </c>
      <c r="F6" s="30">
        <v>20</v>
      </c>
      <c r="G6" s="30">
        <v>20</v>
      </c>
      <c r="H6" s="30">
        <v>23</v>
      </c>
      <c r="I6" s="30">
        <v>22</v>
      </c>
      <c r="J6" s="30">
        <v>20</v>
      </c>
      <c r="K6" s="30">
        <v>22</v>
      </c>
      <c r="L6" s="30">
        <v>21</v>
      </c>
      <c r="M6" s="30">
        <v>22</v>
      </c>
      <c r="N6" s="30">
        <v>21</v>
      </c>
      <c r="O6" s="30">
        <v>21</v>
      </c>
    </row>
    <row r="8" spans="1:19" ht="18" customHeight="1">
      <c r="B8" s="40" t="s">
        <v>114</v>
      </c>
      <c r="C8" s="40"/>
      <c r="D8" s="40"/>
      <c r="E8" s="40"/>
      <c r="F8" s="40"/>
      <c r="G8" s="40"/>
      <c r="H8" s="40"/>
      <c r="I8" s="40"/>
      <c r="J8" s="40"/>
      <c r="K8" s="40"/>
      <c r="L8" s="40"/>
      <c r="M8" s="40"/>
      <c r="N8" s="40"/>
      <c r="O8" s="40"/>
      <c r="P8" s="40"/>
      <c r="Q8" s="40"/>
      <c r="R8" s="40"/>
      <c r="S8" s="40"/>
    </row>
    <row r="9" spans="1:19" ht="14" customHeight="1">
      <c r="B9" s="34"/>
      <c r="C9" s="34"/>
      <c r="D9" s="34"/>
      <c r="E9" s="34"/>
      <c r="F9" s="34"/>
      <c r="G9" s="34"/>
      <c r="H9" s="34"/>
      <c r="I9" s="34"/>
      <c r="J9" s="34"/>
      <c r="K9" s="34"/>
      <c r="L9" s="34"/>
      <c r="M9" s="34"/>
      <c r="N9" s="34"/>
      <c r="O9" s="34"/>
      <c r="P9" s="34" t="str">
        <f>Currency</f>
        <v>USD</v>
      </c>
      <c r="Q9" s="34" t="str">
        <f>Currency</f>
        <v>USD</v>
      </c>
      <c r="R9" s="34"/>
      <c r="S9" s="34"/>
    </row>
    <row r="10" spans="1:19" ht="45.5" customHeight="1">
      <c r="B10" s="33" t="s">
        <v>99</v>
      </c>
      <c r="C10" s="33" t="s">
        <v>65</v>
      </c>
      <c r="D10" s="33" t="s">
        <v>100</v>
      </c>
      <c r="E10" s="33" t="s">
        <v>101</v>
      </c>
      <c r="F10" s="33" t="s">
        <v>60</v>
      </c>
      <c r="G10" s="33" t="s">
        <v>102</v>
      </c>
      <c r="H10" s="33" t="s">
        <v>103</v>
      </c>
      <c r="I10" s="33" t="s">
        <v>104</v>
      </c>
      <c r="J10" s="33" t="s">
        <v>105</v>
      </c>
      <c r="K10" s="33" t="s">
        <v>106</v>
      </c>
      <c r="L10" s="33" t="s">
        <v>107</v>
      </c>
      <c r="M10" s="33" t="s">
        <v>69</v>
      </c>
      <c r="N10" s="33" t="s">
        <v>108</v>
      </c>
      <c r="O10" s="33" t="s">
        <v>109</v>
      </c>
      <c r="P10" s="33" t="s">
        <v>67</v>
      </c>
      <c r="Q10" s="33" t="s">
        <v>110</v>
      </c>
      <c r="R10" s="33" t="s">
        <v>111</v>
      </c>
      <c r="S10" s="33" t="s">
        <v>64</v>
      </c>
    </row>
    <row r="11" spans="1:19">
      <c r="B11" s="29">
        <v>46327</v>
      </c>
      <c r="C11" s="28" t="s">
        <v>91</v>
      </c>
      <c r="D11" s="36">
        <v>800</v>
      </c>
      <c r="E11" s="36">
        <v>1200</v>
      </c>
      <c r="F11" s="41" t="str">
        <f>IF(tblPlan[[#This Row],[Month]]="","",IFERROR(INDEX(tblFamilies[Line],MATCH(tblPlan[[#This Row],[Family]],tblFamilies[Family],0)),""))</f>
        <v>Line A</v>
      </c>
      <c r="G11" s="42">
        <f>IF(tblPlan[[#This Row],[Month]]="","",IFERROR(INDEX($D$6:$O$6,MATCH(tblPlan[[#This Row],[Month]],$D$5:$O$5,0)),""))</f>
        <v>20</v>
      </c>
      <c r="H11" s="43">
        <f>IF(tblPlan[[#This Row],[Month]]="","",IFERROR(INDEX(tblFamilies[Opening inventory (units)],MATCH(tblPlan[[#This Row],[Family]],tblFamilies[Family],0)),""))</f>
        <v>1500</v>
      </c>
      <c r="I11" s="43">
        <f>IF(tblPlan[[#This Row],[Month]]="","",tblPlan[[#This Row],[Start inv. (units)]]+SUMIFS(tblPlan[Production plan (units)],tblPlan[Family],tblPlan[[#This Row],[Family]],tblPlan[Month],"&lt;"&amp;tblPlan[[#This Row],[Month]])-SUMIFS(tblPlan[Demand forecast (units)],tblPlan[Family],tblPlan[[#This Row],[Family]],tblPlan[Month],"&lt;"&amp;tblPlan[[#This Row],[Month]]))</f>
        <v>1500</v>
      </c>
      <c r="J11" s="43">
        <f>IF(tblPlan[[#This Row],[Month]]="","",tblPlan[[#This Row],[Opening inv. (units)]]+tblPlan[[#This Row],[Production plan (units)]]-tblPlan[[#This Row],[Demand forecast (units)]])</f>
        <v>1900</v>
      </c>
      <c r="K11" s="42">
        <f>IF(tblPlan[[#This Row],[Month]]="","",IF(AND(tblPlan[[#This Row],[Demand forecast (units)]]&gt;0,N(tblPlan[[#This Row],[Working days]])&gt;0),tblPlan[[#This Row],[Closing inv. (units)]]/(tblPlan[[#This Row],[Demand forecast (units)]]/tblPlan[[#This Row],[Working days]]),""))</f>
        <v>47.5</v>
      </c>
      <c r="L11" s="44" t="str">
        <f>IF(tblPlan[[#This Row],[Month]]="","",IF(NOT(ISNUMBER(tblPlan[[#This Row],[Days of supply]])),"",IF(tblPlan[[#This Row],[Days of supply]]&lt;MinDOS,"Below target",IF(tblPlan[[#This Row],[Days of supply]]&gt;MaxDOS,"Above target","On target"))))</f>
        <v>Above target</v>
      </c>
      <c r="M11" s="37">
        <f>IF(tblPlan[[#This Row],[Month]]="","",IFERROR(INDEX(tblFamilies[Good rate (units/h)],MATCH(tblPlan[[#This Row],[Family]],tblFamilies[Family],0)),""))</f>
        <v>14.7</v>
      </c>
      <c r="N11" s="42">
        <f>IF(tblPlan[[#This Row],[Month]]="","",IF(N(tblPlan[[#This Row],[Good rate (units/h)]])&gt;0,tblPlan[[#This Row],[Production plan (units)]]/tblPlan[[#This Row],[Good rate (units/h)]],""))</f>
        <v>81.6326530612245</v>
      </c>
      <c r="O11" s="43">
        <f>IF(tblPlan[[#This Row],[Month]]="","",IFERROR(tblPlan[[#This Row],[Good rate (units/h)]]*tblPlan[[#This Row],[Working days]]*INDEX(tblLines[Hours per day],MATCH(tblPlan[[#This Row],[Line]],tblLines[Line],0))*INDEX(tblLines[Uptime],MATCH(tblPlan[[#This Row],[Line]],tblLines[Line],0)),""))</f>
        <v>3998.4</v>
      </c>
      <c r="P11" s="37">
        <f>IF(tblPlan[[#This Row],[Month]]="","",IFERROR(INDEX(tblFamilies[Price (per unit)],MATCH(tblPlan[[#This Row],[Family]],tblFamilies[Family],0)),""))</f>
        <v>420</v>
      </c>
      <c r="Q11" s="43">
        <f>IF(tblPlan[[#This Row],[Month]]="","",IF(N(tblPlan[[#This Row],[Price (per unit)]])&gt;0,tblPlan[[#This Row],[Demand forecast (units)]]*tblPlan[[#This Row],[Price (per unit)]],""))</f>
        <v>336000</v>
      </c>
      <c r="R11"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11" s="28" t="s">
        <v>113</v>
      </c>
    </row>
    <row r="12" spans="1:19">
      <c r="B12" s="29">
        <v>46327</v>
      </c>
      <c r="C12" s="28" t="s">
        <v>93</v>
      </c>
      <c r="D12" s="36">
        <v>2600</v>
      </c>
      <c r="E12" s="36">
        <v>2400</v>
      </c>
      <c r="F12" s="41" t="str">
        <f>IF(tblPlan[[#This Row],[Month]]="","",IFERROR(INDEX(tblFamilies[Line],MATCH(tblPlan[[#This Row],[Family]],tblFamilies[Family],0)),""))</f>
        <v>Line A</v>
      </c>
      <c r="G12" s="42">
        <f>IF(tblPlan[[#This Row],[Month]]="","",IFERROR(INDEX($D$6:$O$6,MATCH(tblPlan[[#This Row],[Month]],$D$5:$O$5,0)),""))</f>
        <v>20</v>
      </c>
      <c r="H12" s="43">
        <f>IF(tblPlan[[#This Row],[Month]]="","",IFERROR(INDEX(tblFamilies[Opening inventory (units)],MATCH(tblPlan[[#This Row],[Family]],tblFamilies[Family],0)),""))</f>
        <v>1800</v>
      </c>
      <c r="I12" s="43">
        <f>IF(tblPlan[[#This Row],[Month]]="","",tblPlan[[#This Row],[Start inv. (units)]]+SUMIFS(tblPlan[Production plan (units)],tblPlan[Family],tblPlan[[#This Row],[Family]],tblPlan[Month],"&lt;"&amp;tblPlan[[#This Row],[Month]])-SUMIFS(tblPlan[Demand forecast (units)],tblPlan[Family],tblPlan[[#This Row],[Family]],tblPlan[Month],"&lt;"&amp;tblPlan[[#This Row],[Month]]))</f>
        <v>1800</v>
      </c>
      <c r="J12" s="43">
        <f>IF(tblPlan[[#This Row],[Month]]="","",tblPlan[[#This Row],[Opening inv. (units)]]+tblPlan[[#This Row],[Production plan (units)]]-tblPlan[[#This Row],[Demand forecast (units)]])</f>
        <v>1600</v>
      </c>
      <c r="K12" s="42">
        <f>IF(tblPlan[[#This Row],[Month]]="","",IF(AND(tblPlan[[#This Row],[Demand forecast (units)]]&gt;0,N(tblPlan[[#This Row],[Working days]])&gt;0),tblPlan[[#This Row],[Closing inv. (units)]]/(tblPlan[[#This Row],[Demand forecast (units)]]/tblPlan[[#This Row],[Working days]]),""))</f>
        <v>12.3076923076923</v>
      </c>
      <c r="L12" s="44" t="str">
        <f>IF(tblPlan[[#This Row],[Month]]="","",IF(NOT(ISNUMBER(tblPlan[[#This Row],[Days of supply]])),"",IF(tblPlan[[#This Row],[Days of supply]]&lt;MinDOS,"Below target",IF(tblPlan[[#This Row],[Days of supply]]&gt;MaxDOS,"Above target","On target"))))</f>
        <v>On target</v>
      </c>
      <c r="M12" s="37">
        <f>IF(tblPlan[[#This Row],[Month]]="","",IFERROR(INDEX(tblFamilies[Good rate (units/h)],MATCH(tblPlan[[#This Row],[Family]],tblFamilies[Family],0)),""))</f>
        <v>13.72</v>
      </c>
      <c r="N12" s="42">
        <f>IF(tblPlan[[#This Row],[Month]]="","",IF(N(tblPlan[[#This Row],[Good rate (units/h)]])&gt;0,tblPlan[[#This Row],[Production plan (units)]]/tblPlan[[#This Row],[Good rate (units/h)]],""))</f>
        <v>174.927113702624</v>
      </c>
      <c r="O12" s="43">
        <f>IF(tblPlan[[#This Row],[Month]]="","",IFERROR(tblPlan[[#This Row],[Good rate (units/h)]]*tblPlan[[#This Row],[Working days]]*INDEX(tblLines[Hours per day],MATCH(tblPlan[[#This Row],[Line]],tblLines[Line],0))*INDEX(tblLines[Uptime],MATCH(tblPlan[[#This Row],[Line]],tblLines[Line],0)),""))</f>
        <v>3731.84</v>
      </c>
      <c r="P12" s="37">
        <f>IF(tblPlan[[#This Row],[Month]]="","",IFERROR(INDEX(tblFamilies[Price (per unit)],MATCH(tblPlan[[#This Row],[Family]],tblFamilies[Family],0)),""))</f>
        <v>650</v>
      </c>
      <c r="Q12" s="43">
        <f>IF(tblPlan[[#This Row],[Month]]="","",IF(N(tblPlan[[#This Row],[Price (per unit)]])&gt;0,tblPlan[[#This Row],[Demand forecast (units)]]*tblPlan[[#This Row],[Price (per unit)]],""))</f>
        <v>1690000</v>
      </c>
      <c r="R12"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12" s="28" t="s">
        <v>113</v>
      </c>
    </row>
    <row r="13" spans="1:19">
      <c r="B13" s="29">
        <v>46327</v>
      </c>
      <c r="C13" s="28" t="s">
        <v>95</v>
      </c>
      <c r="D13" s="36">
        <v>700</v>
      </c>
      <c r="E13" s="36">
        <v>700</v>
      </c>
      <c r="F13" s="41" t="str">
        <f>IF(tblPlan[[#This Row],[Month]]="","",IFERROR(INDEX(tblFamilies[Line],MATCH(tblPlan[[#This Row],[Family]],tblFamilies[Family],0)),""))</f>
        <v>Line B</v>
      </c>
      <c r="G13" s="42">
        <f>IF(tblPlan[[#This Row],[Month]]="","",IFERROR(INDEX($D$6:$O$6,MATCH(tblPlan[[#This Row],[Month]],$D$5:$O$5,0)),""))</f>
        <v>20</v>
      </c>
      <c r="H13" s="43">
        <f>IF(tblPlan[[#This Row],[Month]]="","",IFERROR(INDEX(tblFamilies[Opening inventory (units)],MATCH(tblPlan[[#This Row],[Family]],tblFamilies[Family],0)),""))</f>
        <v>900</v>
      </c>
      <c r="I13" s="43">
        <f>IF(tblPlan[[#This Row],[Month]]="","",tblPlan[[#This Row],[Start inv. (units)]]+SUMIFS(tblPlan[Production plan (units)],tblPlan[Family],tblPlan[[#This Row],[Family]],tblPlan[Month],"&lt;"&amp;tblPlan[[#This Row],[Month]])-SUMIFS(tblPlan[Demand forecast (units)],tblPlan[Family],tblPlan[[#This Row],[Family]],tblPlan[Month],"&lt;"&amp;tblPlan[[#This Row],[Month]]))</f>
        <v>900</v>
      </c>
      <c r="J13" s="43">
        <f>IF(tblPlan[[#This Row],[Month]]="","",tblPlan[[#This Row],[Opening inv. (units)]]+tblPlan[[#This Row],[Production plan (units)]]-tblPlan[[#This Row],[Demand forecast (units)]])</f>
        <v>900</v>
      </c>
      <c r="K13" s="42">
        <f>IF(tblPlan[[#This Row],[Month]]="","",IF(AND(tblPlan[[#This Row],[Demand forecast (units)]]&gt;0,N(tblPlan[[#This Row],[Working days]])&gt;0),tblPlan[[#This Row],[Closing inv. (units)]]/(tblPlan[[#This Row],[Demand forecast (units)]]/tblPlan[[#This Row],[Working days]]),""))</f>
        <v>25.7142857142857</v>
      </c>
      <c r="L13" s="44" t="str">
        <f>IF(tblPlan[[#This Row],[Month]]="","",IF(NOT(ISNUMBER(tblPlan[[#This Row],[Days of supply]])),"",IF(tblPlan[[#This Row],[Days of supply]]&lt;MinDOS,"Below target",IF(tblPlan[[#This Row],[Days of supply]]&gt;MaxDOS,"Above target","On target"))))</f>
        <v>On target</v>
      </c>
      <c r="M13" s="37">
        <f>IF(tblPlan[[#This Row],[Month]]="","",IFERROR(INDEX(tblFamilies[Good rate (units/h)],MATCH(tblPlan[[#This Row],[Family]],tblFamilies[Family],0)),""))</f>
        <v>21.78</v>
      </c>
      <c r="N13" s="42">
        <f>IF(tblPlan[[#This Row],[Month]]="","",IF(N(tblPlan[[#This Row],[Good rate (units/h)]])&gt;0,tblPlan[[#This Row],[Production plan (units)]]/tblPlan[[#This Row],[Good rate (units/h)]],""))</f>
        <v>32.1395775941231</v>
      </c>
      <c r="O13" s="43">
        <f>IF(tblPlan[[#This Row],[Month]]="","",IFERROR(tblPlan[[#This Row],[Good rate (units/h)]]*tblPlan[[#This Row],[Working days]]*INDEX(tblLines[Hours per day],MATCH(tblPlan[[#This Row],[Line]],tblLines[Line],0))*INDEX(tblLines[Uptime],MATCH(tblPlan[[#This Row],[Line]],tblLines[Line],0)),""))</f>
        <v>3066.624</v>
      </c>
      <c r="P13" s="37">
        <f>IF(tblPlan[[#This Row],[Month]]="","",IFERROR(INDEX(tblFamilies[Price (per unit)],MATCH(tblPlan[[#This Row],[Family]],tblFamilies[Family],0)),""))</f>
        <v>95</v>
      </c>
      <c r="Q13" s="43">
        <f>IF(tblPlan[[#This Row],[Month]]="","",IF(N(tblPlan[[#This Row],[Price (per unit)]])&gt;0,tblPlan[[#This Row],[Demand forecast (units)]]*tblPlan[[#This Row],[Price (per unit)]],""))</f>
        <v>66500</v>
      </c>
      <c r="R13"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13" s="28" t="s">
        <v>113</v>
      </c>
    </row>
    <row r="14" spans="1:19">
      <c r="B14" s="29">
        <v>46327</v>
      </c>
      <c r="C14" s="28" t="s">
        <v>97</v>
      </c>
      <c r="D14" s="36">
        <v>1400</v>
      </c>
      <c r="E14" s="36">
        <v>800</v>
      </c>
      <c r="F14" s="41" t="str">
        <f>IF(tblPlan[[#This Row],[Month]]="","",IFERROR(INDEX(tblFamilies[Line],MATCH(tblPlan[[#This Row],[Family]],tblFamilies[Family],0)),""))</f>
        <v>Line B</v>
      </c>
      <c r="G14" s="42">
        <f>IF(tblPlan[[#This Row],[Month]]="","",IFERROR(INDEX($D$6:$O$6,MATCH(tblPlan[[#This Row],[Month]],$D$5:$O$5,0)),""))</f>
        <v>20</v>
      </c>
      <c r="H14" s="43">
        <f>IF(tblPlan[[#This Row],[Month]]="","",IFERROR(INDEX(tblFamilies[Opening inventory (units)],MATCH(tblPlan[[#This Row],[Family]],tblFamilies[Family],0)),""))</f>
        <v>1200</v>
      </c>
      <c r="I14" s="43">
        <f>IF(tblPlan[[#This Row],[Month]]="","",tblPlan[[#This Row],[Start inv. (units)]]+SUMIFS(tblPlan[Production plan (units)],tblPlan[Family],tblPlan[[#This Row],[Family]],tblPlan[Month],"&lt;"&amp;tblPlan[[#This Row],[Month]])-SUMIFS(tblPlan[Demand forecast (units)],tblPlan[Family],tblPlan[[#This Row],[Family]],tblPlan[Month],"&lt;"&amp;tblPlan[[#This Row],[Month]]))</f>
        <v>1200</v>
      </c>
      <c r="J14" s="43">
        <f>IF(tblPlan[[#This Row],[Month]]="","",tblPlan[[#This Row],[Opening inv. (units)]]+tblPlan[[#This Row],[Production plan (units)]]-tblPlan[[#This Row],[Demand forecast (units)]])</f>
        <v>600</v>
      </c>
      <c r="K14" s="42">
        <f>IF(tblPlan[[#This Row],[Month]]="","",IF(AND(tblPlan[[#This Row],[Demand forecast (units)]]&gt;0,N(tblPlan[[#This Row],[Working days]])&gt;0),tblPlan[[#This Row],[Closing inv. (units)]]/(tblPlan[[#This Row],[Demand forecast (units)]]/tblPlan[[#This Row],[Working days]]),""))</f>
        <v>8.57142857142857</v>
      </c>
      <c r="L14" s="44" t="str">
        <f>IF(tblPlan[[#This Row],[Month]]="","",IF(NOT(ISNUMBER(tblPlan[[#This Row],[Days of supply]])),"",IF(tblPlan[[#This Row],[Days of supply]]&lt;MinDOS,"Below target",IF(tblPlan[[#This Row],[Days of supply]]&gt;MaxDOS,"Above target","On target"))))</f>
        <v>Below target</v>
      </c>
      <c r="M14" s="37">
        <f>IF(tblPlan[[#This Row],[Month]]="","",IFERROR(INDEX(tblFamilies[Good rate (units/h)],MATCH(tblPlan[[#This Row],[Family]],tblFamilies[Family],0)),""))</f>
        <v>19.8</v>
      </c>
      <c r="N14" s="42">
        <f>IF(tblPlan[[#This Row],[Month]]="","",IF(N(tblPlan[[#This Row],[Good rate (units/h)]])&gt;0,tblPlan[[#This Row],[Production plan (units)]]/tblPlan[[#This Row],[Good rate (units/h)]],""))</f>
        <v>40.4040404040404</v>
      </c>
      <c r="O14" s="43">
        <f>IF(tblPlan[[#This Row],[Month]]="","",IFERROR(tblPlan[[#This Row],[Good rate (units/h)]]*tblPlan[[#This Row],[Working days]]*INDEX(tblLines[Hours per day],MATCH(tblPlan[[#This Row],[Line]],tblLines[Line],0))*INDEX(tblLines[Uptime],MATCH(tblPlan[[#This Row],[Line]],tblLines[Line],0)),""))</f>
        <v>2787.84</v>
      </c>
      <c r="P14" s="37">
        <f>IF(tblPlan[[#This Row],[Month]]="","",IFERROR(INDEX(tblFamilies[Price (per unit)],MATCH(tblPlan[[#This Row],[Family]],tblFamilies[Family],0)),""))</f>
        <v>140</v>
      </c>
      <c r="Q14" s="43">
        <f>IF(tblPlan[[#This Row],[Month]]="","",IF(N(tblPlan[[#This Row],[Price (per unit)]])&gt;0,tblPlan[[#This Row],[Demand forecast (units)]]*tblPlan[[#This Row],[Price (per unit)]],""))</f>
        <v>196000</v>
      </c>
      <c r="R14"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14" s="28" t="s">
        <v>113</v>
      </c>
    </row>
    <row r="15" spans="1:19">
      <c r="B15" s="29">
        <v>46357</v>
      </c>
      <c r="C15" s="28" t="s">
        <v>91</v>
      </c>
      <c r="D15" s="36">
        <v>600</v>
      </c>
      <c r="E15" s="36">
        <v>900</v>
      </c>
      <c r="F15" s="41" t="str">
        <f>IF(tblPlan[[#This Row],[Month]]="","",IFERROR(INDEX(tblFamilies[Line],MATCH(tblPlan[[#This Row],[Family]],tblFamilies[Family],0)),""))</f>
        <v>Line A</v>
      </c>
      <c r="G15" s="42">
        <f>IF(tblPlan[[#This Row],[Month]]="","",IFERROR(INDEX($D$6:$O$6,MATCH(tblPlan[[#This Row],[Month]],$D$5:$O$5,0)),""))</f>
        <v>19</v>
      </c>
      <c r="H15" s="43">
        <f>IF(tblPlan[[#This Row],[Month]]="","",IFERROR(INDEX(tblFamilies[Opening inventory (units)],MATCH(tblPlan[[#This Row],[Family]],tblFamilies[Family],0)),""))</f>
        <v>1500</v>
      </c>
      <c r="I15" s="43">
        <f>IF(tblPlan[[#This Row],[Month]]="","",tblPlan[[#This Row],[Start inv. (units)]]+SUMIFS(tblPlan[Production plan (units)],tblPlan[Family],tblPlan[[#This Row],[Family]],tblPlan[Month],"&lt;"&amp;tblPlan[[#This Row],[Month]])-SUMIFS(tblPlan[Demand forecast (units)],tblPlan[Family],tblPlan[[#This Row],[Family]],tblPlan[Month],"&lt;"&amp;tblPlan[[#This Row],[Month]]))</f>
        <v>1900</v>
      </c>
      <c r="J15" s="43">
        <f>IF(tblPlan[[#This Row],[Month]]="","",tblPlan[[#This Row],[Opening inv. (units)]]+tblPlan[[#This Row],[Production plan (units)]]-tblPlan[[#This Row],[Demand forecast (units)]])</f>
        <v>2200</v>
      </c>
      <c r="K15" s="42">
        <f>IF(tblPlan[[#This Row],[Month]]="","",IF(AND(tblPlan[[#This Row],[Demand forecast (units)]]&gt;0,N(tblPlan[[#This Row],[Working days]])&gt;0),tblPlan[[#This Row],[Closing inv. (units)]]/(tblPlan[[#This Row],[Demand forecast (units)]]/tblPlan[[#This Row],[Working days]]),""))</f>
        <v>69.6666666666667</v>
      </c>
      <c r="L15" s="44" t="str">
        <f>IF(tblPlan[[#This Row],[Month]]="","",IF(NOT(ISNUMBER(tblPlan[[#This Row],[Days of supply]])),"",IF(tblPlan[[#This Row],[Days of supply]]&lt;MinDOS,"Below target",IF(tblPlan[[#This Row],[Days of supply]]&gt;MaxDOS,"Above target","On target"))))</f>
        <v>Above target</v>
      </c>
      <c r="M15" s="37">
        <f>IF(tblPlan[[#This Row],[Month]]="","",IFERROR(INDEX(tblFamilies[Good rate (units/h)],MATCH(tblPlan[[#This Row],[Family]],tblFamilies[Family],0)),""))</f>
        <v>14.7</v>
      </c>
      <c r="N15" s="42">
        <f>IF(tblPlan[[#This Row],[Month]]="","",IF(N(tblPlan[[#This Row],[Good rate (units/h)]])&gt;0,tblPlan[[#This Row],[Production plan (units)]]/tblPlan[[#This Row],[Good rate (units/h)]],""))</f>
        <v>61.2244897959184</v>
      </c>
      <c r="O15" s="43">
        <f>IF(tblPlan[[#This Row],[Month]]="","",IFERROR(tblPlan[[#This Row],[Good rate (units/h)]]*tblPlan[[#This Row],[Working days]]*INDEX(tblLines[Hours per day],MATCH(tblPlan[[#This Row],[Line]],tblLines[Line],0))*INDEX(tblLines[Uptime],MATCH(tblPlan[[#This Row],[Line]],tblLines[Line],0)),""))</f>
        <v>3798.48</v>
      </c>
      <c r="P15" s="37">
        <f>IF(tblPlan[[#This Row],[Month]]="","",IFERROR(INDEX(tblFamilies[Price (per unit)],MATCH(tblPlan[[#This Row],[Family]],tblFamilies[Family],0)),""))</f>
        <v>420</v>
      </c>
      <c r="Q15" s="43">
        <f>IF(tblPlan[[#This Row],[Month]]="","",IF(N(tblPlan[[#This Row],[Price (per unit)]])&gt;0,tblPlan[[#This Row],[Demand forecast (units)]]*tblPlan[[#This Row],[Price (per unit)]],""))</f>
        <v>252000</v>
      </c>
      <c r="R15"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15" s="28" t="s">
        <v>113</v>
      </c>
    </row>
    <row r="16" spans="1:19">
      <c r="B16" s="29">
        <v>46357</v>
      </c>
      <c r="C16" s="28" t="s">
        <v>93</v>
      </c>
      <c r="D16" s="36">
        <v>3000</v>
      </c>
      <c r="E16" s="36">
        <v>2500</v>
      </c>
      <c r="F16" s="41" t="str">
        <f>IF(tblPlan[[#This Row],[Month]]="","",IFERROR(INDEX(tblFamilies[Line],MATCH(tblPlan[[#This Row],[Family]],tblFamilies[Family],0)),""))</f>
        <v>Line A</v>
      </c>
      <c r="G16" s="42">
        <f>IF(tblPlan[[#This Row],[Month]]="","",IFERROR(INDEX($D$6:$O$6,MATCH(tblPlan[[#This Row],[Month]],$D$5:$O$5,0)),""))</f>
        <v>19</v>
      </c>
      <c r="H16" s="43">
        <f>IF(tblPlan[[#This Row],[Month]]="","",IFERROR(INDEX(tblFamilies[Opening inventory (units)],MATCH(tblPlan[[#This Row],[Family]],tblFamilies[Family],0)),""))</f>
        <v>1800</v>
      </c>
      <c r="I16" s="43">
        <f>IF(tblPlan[[#This Row],[Month]]="","",tblPlan[[#This Row],[Start inv. (units)]]+SUMIFS(tblPlan[Production plan (units)],tblPlan[Family],tblPlan[[#This Row],[Family]],tblPlan[Month],"&lt;"&amp;tblPlan[[#This Row],[Month]])-SUMIFS(tblPlan[Demand forecast (units)],tblPlan[Family],tblPlan[[#This Row],[Family]],tblPlan[Month],"&lt;"&amp;tblPlan[[#This Row],[Month]]))</f>
        <v>1600</v>
      </c>
      <c r="J16" s="43">
        <f>IF(tblPlan[[#This Row],[Month]]="","",tblPlan[[#This Row],[Opening inv. (units)]]+tblPlan[[#This Row],[Production plan (units)]]-tblPlan[[#This Row],[Demand forecast (units)]])</f>
        <v>1100</v>
      </c>
      <c r="K16" s="42">
        <f>IF(tblPlan[[#This Row],[Month]]="","",IF(AND(tblPlan[[#This Row],[Demand forecast (units)]]&gt;0,N(tblPlan[[#This Row],[Working days]])&gt;0),tblPlan[[#This Row],[Closing inv. (units)]]/(tblPlan[[#This Row],[Demand forecast (units)]]/tblPlan[[#This Row],[Working days]]),""))</f>
        <v>6.96666666666667</v>
      </c>
      <c r="L16" s="44" t="str">
        <f>IF(tblPlan[[#This Row],[Month]]="","",IF(NOT(ISNUMBER(tblPlan[[#This Row],[Days of supply]])),"",IF(tblPlan[[#This Row],[Days of supply]]&lt;MinDOS,"Below target",IF(tblPlan[[#This Row],[Days of supply]]&gt;MaxDOS,"Above target","On target"))))</f>
        <v>Below target</v>
      </c>
      <c r="M16" s="37">
        <f>IF(tblPlan[[#This Row],[Month]]="","",IFERROR(INDEX(tblFamilies[Good rate (units/h)],MATCH(tblPlan[[#This Row],[Family]],tblFamilies[Family],0)),""))</f>
        <v>13.72</v>
      </c>
      <c r="N16" s="42">
        <f>IF(tblPlan[[#This Row],[Month]]="","",IF(N(tblPlan[[#This Row],[Good rate (units/h)]])&gt;0,tblPlan[[#This Row],[Production plan (units)]]/tblPlan[[#This Row],[Good rate (units/h)]],""))</f>
        <v>182.215743440233</v>
      </c>
      <c r="O16" s="43">
        <f>IF(tblPlan[[#This Row],[Month]]="","",IFERROR(tblPlan[[#This Row],[Good rate (units/h)]]*tblPlan[[#This Row],[Working days]]*INDEX(tblLines[Hours per day],MATCH(tblPlan[[#This Row],[Line]],tblLines[Line],0))*INDEX(tblLines[Uptime],MATCH(tblPlan[[#This Row],[Line]],tblLines[Line],0)),""))</f>
        <v>3545.248</v>
      </c>
      <c r="P16" s="37">
        <f>IF(tblPlan[[#This Row],[Month]]="","",IFERROR(INDEX(tblFamilies[Price (per unit)],MATCH(tblPlan[[#This Row],[Family]],tblFamilies[Family],0)),""))</f>
        <v>650</v>
      </c>
      <c r="Q16" s="43">
        <f>IF(tblPlan[[#This Row],[Month]]="","",IF(N(tblPlan[[#This Row],[Price (per unit)]])&gt;0,tblPlan[[#This Row],[Demand forecast (units)]]*tblPlan[[#This Row],[Price (per unit)]],""))</f>
        <v>1950000</v>
      </c>
      <c r="R16"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16" s="28" t="s">
        <v>113</v>
      </c>
    </row>
    <row r="17" spans="2:19">
      <c r="B17" s="29">
        <v>46357</v>
      </c>
      <c r="C17" s="28" t="s">
        <v>95</v>
      </c>
      <c r="D17" s="36">
        <v>500</v>
      </c>
      <c r="E17" s="36">
        <v>700</v>
      </c>
      <c r="F17" s="41" t="str">
        <f>IF(tblPlan[[#This Row],[Month]]="","",IFERROR(INDEX(tblFamilies[Line],MATCH(tblPlan[[#This Row],[Family]],tblFamilies[Family],0)),""))</f>
        <v>Line B</v>
      </c>
      <c r="G17" s="42">
        <f>IF(tblPlan[[#This Row],[Month]]="","",IFERROR(INDEX($D$6:$O$6,MATCH(tblPlan[[#This Row],[Month]],$D$5:$O$5,0)),""))</f>
        <v>19</v>
      </c>
      <c r="H17" s="43">
        <f>IF(tblPlan[[#This Row],[Month]]="","",IFERROR(INDEX(tblFamilies[Opening inventory (units)],MATCH(tblPlan[[#This Row],[Family]],tblFamilies[Family],0)),""))</f>
        <v>900</v>
      </c>
      <c r="I17" s="43">
        <f>IF(tblPlan[[#This Row],[Month]]="","",tblPlan[[#This Row],[Start inv. (units)]]+SUMIFS(tblPlan[Production plan (units)],tblPlan[Family],tblPlan[[#This Row],[Family]],tblPlan[Month],"&lt;"&amp;tblPlan[[#This Row],[Month]])-SUMIFS(tblPlan[Demand forecast (units)],tblPlan[Family],tblPlan[[#This Row],[Family]],tblPlan[Month],"&lt;"&amp;tblPlan[[#This Row],[Month]]))</f>
        <v>900</v>
      </c>
      <c r="J17" s="43">
        <f>IF(tblPlan[[#This Row],[Month]]="","",tblPlan[[#This Row],[Opening inv. (units)]]+tblPlan[[#This Row],[Production plan (units)]]-tblPlan[[#This Row],[Demand forecast (units)]])</f>
        <v>1100</v>
      </c>
      <c r="K17" s="42">
        <f>IF(tblPlan[[#This Row],[Month]]="","",IF(AND(tblPlan[[#This Row],[Demand forecast (units)]]&gt;0,N(tblPlan[[#This Row],[Working days]])&gt;0),tblPlan[[#This Row],[Closing inv. (units)]]/(tblPlan[[#This Row],[Demand forecast (units)]]/tblPlan[[#This Row],[Working days]]),""))</f>
        <v>41.8</v>
      </c>
      <c r="L17" s="44" t="str">
        <f>IF(tblPlan[[#This Row],[Month]]="","",IF(NOT(ISNUMBER(tblPlan[[#This Row],[Days of supply]])),"",IF(tblPlan[[#This Row],[Days of supply]]&lt;MinDOS,"Below target",IF(tblPlan[[#This Row],[Days of supply]]&gt;MaxDOS,"Above target","On target"))))</f>
        <v>Above target</v>
      </c>
      <c r="M17" s="37">
        <f>IF(tblPlan[[#This Row],[Month]]="","",IFERROR(INDEX(tblFamilies[Good rate (units/h)],MATCH(tblPlan[[#This Row],[Family]],tblFamilies[Family],0)),""))</f>
        <v>21.78</v>
      </c>
      <c r="N17" s="42">
        <f>IF(tblPlan[[#This Row],[Month]]="","",IF(N(tblPlan[[#This Row],[Good rate (units/h)]])&gt;0,tblPlan[[#This Row],[Production plan (units)]]/tblPlan[[#This Row],[Good rate (units/h)]],""))</f>
        <v>32.1395775941231</v>
      </c>
      <c r="O17" s="43">
        <f>IF(tblPlan[[#This Row],[Month]]="","",IFERROR(tblPlan[[#This Row],[Good rate (units/h)]]*tblPlan[[#This Row],[Working days]]*INDEX(tblLines[Hours per day],MATCH(tblPlan[[#This Row],[Line]],tblLines[Line],0))*INDEX(tblLines[Uptime],MATCH(tblPlan[[#This Row],[Line]],tblLines[Line],0)),""))</f>
        <v>2913.2928</v>
      </c>
      <c r="P17" s="37">
        <f>IF(tblPlan[[#This Row],[Month]]="","",IFERROR(INDEX(tblFamilies[Price (per unit)],MATCH(tblPlan[[#This Row],[Family]],tblFamilies[Family],0)),""))</f>
        <v>95</v>
      </c>
      <c r="Q17" s="43">
        <f>IF(tblPlan[[#This Row],[Month]]="","",IF(N(tblPlan[[#This Row],[Price (per unit)]])&gt;0,tblPlan[[#This Row],[Demand forecast (units)]]*tblPlan[[#This Row],[Price (per unit)]],""))</f>
        <v>47500</v>
      </c>
      <c r="R17"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17" s="28" t="s">
        <v>113</v>
      </c>
    </row>
    <row r="18" spans="2:19">
      <c r="B18" s="29">
        <v>46357</v>
      </c>
      <c r="C18" s="28" t="s">
        <v>97</v>
      </c>
      <c r="D18" s="36">
        <v>600</v>
      </c>
      <c r="E18" s="36">
        <v>400</v>
      </c>
      <c r="F18" s="41" t="str">
        <f>IF(tblPlan[[#This Row],[Month]]="","",IFERROR(INDEX(tblFamilies[Line],MATCH(tblPlan[[#This Row],[Family]],tblFamilies[Family],0)),""))</f>
        <v>Line B</v>
      </c>
      <c r="G18" s="42">
        <f>IF(tblPlan[[#This Row],[Month]]="","",IFERROR(INDEX($D$6:$O$6,MATCH(tblPlan[[#This Row],[Month]],$D$5:$O$5,0)),""))</f>
        <v>19</v>
      </c>
      <c r="H18" s="43">
        <f>IF(tblPlan[[#This Row],[Month]]="","",IFERROR(INDEX(tblFamilies[Opening inventory (units)],MATCH(tblPlan[[#This Row],[Family]],tblFamilies[Family],0)),""))</f>
        <v>1200</v>
      </c>
      <c r="I18" s="43">
        <f>IF(tblPlan[[#This Row],[Month]]="","",tblPlan[[#This Row],[Start inv. (units)]]+SUMIFS(tblPlan[Production plan (units)],tblPlan[Family],tblPlan[[#This Row],[Family]],tblPlan[Month],"&lt;"&amp;tblPlan[[#This Row],[Month]])-SUMIFS(tblPlan[Demand forecast (units)],tblPlan[Family],tblPlan[[#This Row],[Family]],tblPlan[Month],"&lt;"&amp;tblPlan[[#This Row],[Month]]))</f>
        <v>600</v>
      </c>
      <c r="J18" s="43">
        <f>IF(tblPlan[[#This Row],[Month]]="","",tblPlan[[#This Row],[Opening inv. (units)]]+tblPlan[[#This Row],[Production plan (units)]]-tblPlan[[#This Row],[Demand forecast (units)]])</f>
        <v>400</v>
      </c>
      <c r="K18" s="42">
        <f>IF(tblPlan[[#This Row],[Month]]="","",IF(AND(tblPlan[[#This Row],[Demand forecast (units)]]&gt;0,N(tblPlan[[#This Row],[Working days]])&gt;0),tblPlan[[#This Row],[Closing inv. (units)]]/(tblPlan[[#This Row],[Demand forecast (units)]]/tblPlan[[#This Row],[Working days]]),""))</f>
        <v>12.6666666666667</v>
      </c>
      <c r="L18" s="44" t="str">
        <f>IF(tblPlan[[#This Row],[Month]]="","",IF(NOT(ISNUMBER(tblPlan[[#This Row],[Days of supply]])),"",IF(tblPlan[[#This Row],[Days of supply]]&lt;MinDOS,"Below target",IF(tblPlan[[#This Row],[Days of supply]]&gt;MaxDOS,"Above target","On target"))))</f>
        <v>On target</v>
      </c>
      <c r="M18" s="37">
        <f>IF(tblPlan[[#This Row],[Month]]="","",IFERROR(INDEX(tblFamilies[Good rate (units/h)],MATCH(tblPlan[[#This Row],[Family]],tblFamilies[Family],0)),""))</f>
        <v>19.8</v>
      </c>
      <c r="N18" s="42">
        <f>IF(tblPlan[[#This Row],[Month]]="","",IF(N(tblPlan[[#This Row],[Good rate (units/h)]])&gt;0,tblPlan[[#This Row],[Production plan (units)]]/tblPlan[[#This Row],[Good rate (units/h)]],""))</f>
        <v>20.2020202020202</v>
      </c>
      <c r="O18" s="43">
        <f>IF(tblPlan[[#This Row],[Month]]="","",IFERROR(tblPlan[[#This Row],[Good rate (units/h)]]*tblPlan[[#This Row],[Working days]]*INDEX(tblLines[Hours per day],MATCH(tblPlan[[#This Row],[Line]],tblLines[Line],0))*INDEX(tblLines[Uptime],MATCH(tblPlan[[#This Row],[Line]],tblLines[Line],0)),""))</f>
        <v>2648.448</v>
      </c>
      <c r="P18" s="37">
        <f>IF(tblPlan[[#This Row],[Month]]="","",IFERROR(INDEX(tblFamilies[Price (per unit)],MATCH(tblPlan[[#This Row],[Family]],tblFamilies[Family],0)),""))</f>
        <v>140</v>
      </c>
      <c r="Q18" s="43">
        <f>IF(tblPlan[[#This Row],[Month]]="","",IF(N(tblPlan[[#This Row],[Price (per unit)]])&gt;0,tblPlan[[#This Row],[Demand forecast (units)]]*tblPlan[[#This Row],[Price (per unit)]],""))</f>
        <v>84000</v>
      </c>
      <c r="R18"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18" s="28" t="s">
        <v>113</v>
      </c>
    </row>
    <row r="19" spans="2:19">
      <c r="B19" s="29">
        <v>46388</v>
      </c>
      <c r="C19" s="28" t="s">
        <v>91</v>
      </c>
      <c r="D19" s="36">
        <v>700</v>
      </c>
      <c r="E19" s="36">
        <v>1400</v>
      </c>
      <c r="F19" s="41" t="str">
        <f>IF(tblPlan[[#This Row],[Month]]="","",IFERROR(INDEX(tblFamilies[Line],MATCH(tblPlan[[#This Row],[Family]],tblFamilies[Family],0)),""))</f>
        <v>Line A</v>
      </c>
      <c r="G19" s="42">
        <f>IF(tblPlan[[#This Row],[Month]]="","",IFERROR(INDEX($D$6:$O$6,MATCH(tblPlan[[#This Row],[Month]],$D$5:$O$5,0)),""))</f>
        <v>20</v>
      </c>
      <c r="H19" s="43">
        <f>IF(tblPlan[[#This Row],[Month]]="","",IFERROR(INDEX(tblFamilies[Opening inventory (units)],MATCH(tblPlan[[#This Row],[Family]],tblFamilies[Family],0)),""))</f>
        <v>1500</v>
      </c>
      <c r="I19" s="43">
        <f>IF(tblPlan[[#This Row],[Month]]="","",tblPlan[[#This Row],[Start inv. (units)]]+SUMIFS(tblPlan[Production plan (units)],tblPlan[Family],tblPlan[[#This Row],[Family]],tblPlan[Month],"&lt;"&amp;tblPlan[[#This Row],[Month]])-SUMIFS(tblPlan[Demand forecast (units)],tblPlan[Family],tblPlan[[#This Row],[Family]],tblPlan[Month],"&lt;"&amp;tblPlan[[#This Row],[Month]]))</f>
        <v>2200</v>
      </c>
      <c r="J19" s="43">
        <f>IF(tblPlan[[#This Row],[Month]]="","",tblPlan[[#This Row],[Opening inv. (units)]]+tblPlan[[#This Row],[Production plan (units)]]-tblPlan[[#This Row],[Demand forecast (units)]])</f>
        <v>2900</v>
      </c>
      <c r="K19" s="42">
        <f>IF(tblPlan[[#This Row],[Month]]="","",IF(AND(tblPlan[[#This Row],[Demand forecast (units)]]&gt;0,N(tblPlan[[#This Row],[Working days]])&gt;0),tblPlan[[#This Row],[Closing inv. (units)]]/(tblPlan[[#This Row],[Demand forecast (units)]]/tblPlan[[#This Row],[Working days]]),""))</f>
        <v>82.8571428571429</v>
      </c>
      <c r="L19" s="44" t="str">
        <f>IF(tblPlan[[#This Row],[Month]]="","",IF(NOT(ISNUMBER(tblPlan[[#This Row],[Days of supply]])),"",IF(tblPlan[[#This Row],[Days of supply]]&lt;MinDOS,"Below target",IF(tblPlan[[#This Row],[Days of supply]]&gt;MaxDOS,"Above target","On target"))))</f>
        <v>Above target</v>
      </c>
      <c r="M19" s="37">
        <f>IF(tblPlan[[#This Row],[Month]]="","",IFERROR(INDEX(tblFamilies[Good rate (units/h)],MATCH(tblPlan[[#This Row],[Family]],tblFamilies[Family],0)),""))</f>
        <v>14.7</v>
      </c>
      <c r="N19" s="42">
        <f>IF(tblPlan[[#This Row],[Month]]="","",IF(N(tblPlan[[#This Row],[Good rate (units/h)]])&gt;0,tblPlan[[#This Row],[Production plan (units)]]/tblPlan[[#This Row],[Good rate (units/h)]],""))</f>
        <v>95.2380952380952</v>
      </c>
      <c r="O19" s="43">
        <f>IF(tblPlan[[#This Row],[Month]]="","",IFERROR(tblPlan[[#This Row],[Good rate (units/h)]]*tblPlan[[#This Row],[Working days]]*INDEX(tblLines[Hours per day],MATCH(tblPlan[[#This Row],[Line]],tblLines[Line],0))*INDEX(tblLines[Uptime],MATCH(tblPlan[[#This Row],[Line]],tblLines[Line],0)),""))</f>
        <v>3998.4</v>
      </c>
      <c r="P19" s="37">
        <f>IF(tblPlan[[#This Row],[Month]]="","",IFERROR(INDEX(tblFamilies[Price (per unit)],MATCH(tblPlan[[#This Row],[Family]],tblFamilies[Family],0)),""))</f>
        <v>420</v>
      </c>
      <c r="Q19" s="43">
        <f>IF(tblPlan[[#This Row],[Month]]="","",IF(N(tblPlan[[#This Row],[Price (per unit)]])&gt;0,tblPlan[[#This Row],[Demand forecast (units)]]*tblPlan[[#This Row],[Price (per unit)]],""))</f>
        <v>294000</v>
      </c>
      <c r="R19"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19" s="28" t="s">
        <v>115</v>
      </c>
    </row>
    <row r="20" spans="2:19">
      <c r="B20" s="29">
        <v>46388</v>
      </c>
      <c r="C20" s="28" t="s">
        <v>93</v>
      </c>
      <c r="D20" s="36">
        <v>2400</v>
      </c>
      <c r="E20" s="36">
        <v>1800</v>
      </c>
      <c r="F20" s="41" t="str">
        <f>IF(tblPlan[[#This Row],[Month]]="","",IFERROR(INDEX(tblFamilies[Line],MATCH(tblPlan[[#This Row],[Family]],tblFamilies[Family],0)),""))</f>
        <v>Line A</v>
      </c>
      <c r="G20" s="42">
        <f>IF(tblPlan[[#This Row],[Month]]="","",IFERROR(INDEX($D$6:$O$6,MATCH(tblPlan[[#This Row],[Month]],$D$5:$O$5,0)),""))</f>
        <v>20</v>
      </c>
      <c r="H20" s="43">
        <f>IF(tblPlan[[#This Row],[Month]]="","",IFERROR(INDEX(tblFamilies[Opening inventory (units)],MATCH(tblPlan[[#This Row],[Family]],tblFamilies[Family],0)),""))</f>
        <v>1800</v>
      </c>
      <c r="I20" s="43">
        <f>IF(tblPlan[[#This Row],[Month]]="","",tblPlan[[#This Row],[Start inv. (units)]]+SUMIFS(tblPlan[Production plan (units)],tblPlan[Family],tblPlan[[#This Row],[Family]],tblPlan[Month],"&lt;"&amp;tblPlan[[#This Row],[Month]])-SUMIFS(tblPlan[Demand forecast (units)],tblPlan[Family],tblPlan[[#This Row],[Family]],tblPlan[Month],"&lt;"&amp;tblPlan[[#This Row],[Month]]))</f>
        <v>1100</v>
      </c>
      <c r="J20" s="43">
        <f>IF(tblPlan[[#This Row],[Month]]="","",tblPlan[[#This Row],[Opening inv. (units)]]+tblPlan[[#This Row],[Production plan (units)]]-tblPlan[[#This Row],[Demand forecast (units)]])</f>
        <v>500</v>
      </c>
      <c r="K20" s="42">
        <f>IF(tblPlan[[#This Row],[Month]]="","",IF(AND(tblPlan[[#This Row],[Demand forecast (units)]]&gt;0,N(tblPlan[[#This Row],[Working days]])&gt;0),tblPlan[[#This Row],[Closing inv. (units)]]/(tblPlan[[#This Row],[Demand forecast (units)]]/tblPlan[[#This Row],[Working days]]),""))</f>
        <v>4.16666666666667</v>
      </c>
      <c r="L20" s="44" t="str">
        <f>IF(tblPlan[[#This Row],[Month]]="","",IF(NOT(ISNUMBER(tblPlan[[#This Row],[Days of supply]])),"",IF(tblPlan[[#This Row],[Days of supply]]&lt;MinDOS,"Below target",IF(tblPlan[[#This Row],[Days of supply]]&gt;MaxDOS,"Above target","On target"))))</f>
        <v>Below target</v>
      </c>
      <c r="M20" s="37">
        <f>IF(tblPlan[[#This Row],[Month]]="","",IFERROR(INDEX(tblFamilies[Good rate (units/h)],MATCH(tblPlan[[#This Row],[Family]],tblFamilies[Family],0)),""))</f>
        <v>13.72</v>
      </c>
      <c r="N20" s="42">
        <f>IF(tblPlan[[#This Row],[Month]]="","",IF(N(tblPlan[[#This Row],[Good rate (units/h)]])&gt;0,tblPlan[[#This Row],[Production plan (units)]]/tblPlan[[#This Row],[Good rate (units/h)]],""))</f>
        <v>131.195335276968</v>
      </c>
      <c r="O20" s="43">
        <f>IF(tblPlan[[#This Row],[Month]]="","",IFERROR(tblPlan[[#This Row],[Good rate (units/h)]]*tblPlan[[#This Row],[Working days]]*INDEX(tblLines[Hours per day],MATCH(tblPlan[[#This Row],[Line]],tblLines[Line],0))*INDEX(tblLines[Uptime],MATCH(tblPlan[[#This Row],[Line]],tblLines[Line],0)),""))</f>
        <v>3731.84</v>
      </c>
      <c r="P20" s="37">
        <f>IF(tblPlan[[#This Row],[Month]]="","",IFERROR(INDEX(tblFamilies[Price (per unit)],MATCH(tblPlan[[#This Row],[Family]],tblFamilies[Family],0)),""))</f>
        <v>650</v>
      </c>
      <c r="Q20" s="43">
        <f>IF(tblPlan[[#This Row],[Month]]="","",IF(N(tblPlan[[#This Row],[Price (per unit)]])&gt;0,tblPlan[[#This Row],[Demand forecast (units)]]*tblPlan[[#This Row],[Price (per unit)]],""))</f>
        <v>1560000</v>
      </c>
      <c r="R20"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20" s="28" t="s">
        <v>113</v>
      </c>
    </row>
    <row r="21" spans="2:19">
      <c r="B21" s="29">
        <v>46388</v>
      </c>
      <c r="C21" s="28" t="s">
        <v>95</v>
      </c>
      <c r="D21" s="36">
        <v>600</v>
      </c>
      <c r="E21" s="36">
        <v>900</v>
      </c>
      <c r="F21" s="41" t="str">
        <f>IF(tblPlan[[#This Row],[Month]]="","",IFERROR(INDEX(tblFamilies[Line],MATCH(tblPlan[[#This Row],[Family]],tblFamilies[Family],0)),""))</f>
        <v>Line B</v>
      </c>
      <c r="G21" s="42">
        <f>IF(tblPlan[[#This Row],[Month]]="","",IFERROR(INDEX($D$6:$O$6,MATCH(tblPlan[[#This Row],[Month]],$D$5:$O$5,0)),""))</f>
        <v>20</v>
      </c>
      <c r="H21" s="43">
        <f>IF(tblPlan[[#This Row],[Month]]="","",IFERROR(INDEX(tblFamilies[Opening inventory (units)],MATCH(tblPlan[[#This Row],[Family]],tblFamilies[Family],0)),""))</f>
        <v>900</v>
      </c>
      <c r="I21" s="43">
        <f>IF(tblPlan[[#This Row],[Month]]="","",tblPlan[[#This Row],[Start inv. (units)]]+SUMIFS(tblPlan[Production plan (units)],tblPlan[Family],tblPlan[[#This Row],[Family]],tblPlan[Month],"&lt;"&amp;tblPlan[[#This Row],[Month]])-SUMIFS(tblPlan[Demand forecast (units)],tblPlan[Family],tblPlan[[#This Row],[Family]],tblPlan[Month],"&lt;"&amp;tblPlan[[#This Row],[Month]]))</f>
        <v>1100</v>
      </c>
      <c r="J21" s="43">
        <f>IF(tblPlan[[#This Row],[Month]]="","",tblPlan[[#This Row],[Opening inv. (units)]]+tblPlan[[#This Row],[Production plan (units)]]-tblPlan[[#This Row],[Demand forecast (units)]])</f>
        <v>1400</v>
      </c>
      <c r="K21" s="42">
        <f>IF(tblPlan[[#This Row],[Month]]="","",IF(AND(tblPlan[[#This Row],[Demand forecast (units)]]&gt;0,N(tblPlan[[#This Row],[Working days]])&gt;0),tblPlan[[#This Row],[Closing inv. (units)]]/(tblPlan[[#This Row],[Demand forecast (units)]]/tblPlan[[#This Row],[Working days]]),""))</f>
        <v>46.6666666666667</v>
      </c>
      <c r="L21" s="44" t="str">
        <f>IF(tblPlan[[#This Row],[Month]]="","",IF(NOT(ISNUMBER(tblPlan[[#This Row],[Days of supply]])),"",IF(tblPlan[[#This Row],[Days of supply]]&lt;MinDOS,"Below target",IF(tblPlan[[#This Row],[Days of supply]]&gt;MaxDOS,"Above target","On target"))))</f>
        <v>Above target</v>
      </c>
      <c r="M21" s="37">
        <f>IF(tblPlan[[#This Row],[Month]]="","",IFERROR(INDEX(tblFamilies[Good rate (units/h)],MATCH(tblPlan[[#This Row],[Family]],tblFamilies[Family],0)),""))</f>
        <v>21.78</v>
      </c>
      <c r="N21" s="42">
        <f>IF(tblPlan[[#This Row],[Month]]="","",IF(N(tblPlan[[#This Row],[Good rate (units/h)]])&gt;0,tblPlan[[#This Row],[Production plan (units)]]/tblPlan[[#This Row],[Good rate (units/h)]],""))</f>
        <v>41.3223140495868</v>
      </c>
      <c r="O21" s="43">
        <f>IF(tblPlan[[#This Row],[Month]]="","",IFERROR(tblPlan[[#This Row],[Good rate (units/h)]]*tblPlan[[#This Row],[Working days]]*INDEX(tblLines[Hours per day],MATCH(tblPlan[[#This Row],[Line]],tblLines[Line],0))*INDEX(tblLines[Uptime],MATCH(tblPlan[[#This Row],[Line]],tblLines[Line],0)),""))</f>
        <v>3066.624</v>
      </c>
      <c r="P21" s="37">
        <f>IF(tblPlan[[#This Row],[Month]]="","",IFERROR(INDEX(tblFamilies[Price (per unit)],MATCH(tblPlan[[#This Row],[Family]],tblFamilies[Family],0)),""))</f>
        <v>95</v>
      </c>
      <c r="Q21" s="43">
        <f>IF(tblPlan[[#This Row],[Month]]="","",IF(N(tblPlan[[#This Row],[Price (per unit)]])&gt;0,tblPlan[[#This Row],[Demand forecast (units)]]*tblPlan[[#This Row],[Price (per unit)]],""))</f>
        <v>57000</v>
      </c>
      <c r="R21"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21" s="28" t="s">
        <v>113</v>
      </c>
    </row>
    <row r="22" spans="2:19">
      <c r="B22" s="29">
        <v>46388</v>
      </c>
      <c r="C22" s="28" t="s">
        <v>97</v>
      </c>
      <c r="D22" s="36">
        <v>300</v>
      </c>
      <c r="E22" s="36">
        <v>300</v>
      </c>
      <c r="F22" s="41" t="str">
        <f>IF(tblPlan[[#This Row],[Month]]="","",IFERROR(INDEX(tblFamilies[Line],MATCH(tblPlan[[#This Row],[Family]],tblFamilies[Family],0)),""))</f>
        <v>Line B</v>
      </c>
      <c r="G22" s="42">
        <f>IF(tblPlan[[#This Row],[Month]]="","",IFERROR(INDEX($D$6:$O$6,MATCH(tblPlan[[#This Row],[Month]],$D$5:$O$5,0)),""))</f>
        <v>20</v>
      </c>
      <c r="H22" s="43">
        <f>IF(tblPlan[[#This Row],[Month]]="","",IFERROR(INDEX(tblFamilies[Opening inventory (units)],MATCH(tblPlan[[#This Row],[Family]],tblFamilies[Family],0)),""))</f>
        <v>1200</v>
      </c>
      <c r="I22" s="43">
        <f>IF(tblPlan[[#This Row],[Month]]="","",tblPlan[[#This Row],[Start inv. (units)]]+SUMIFS(tblPlan[Production plan (units)],tblPlan[Family],tblPlan[[#This Row],[Family]],tblPlan[Month],"&lt;"&amp;tblPlan[[#This Row],[Month]])-SUMIFS(tblPlan[Demand forecast (units)],tblPlan[Family],tblPlan[[#This Row],[Family]],tblPlan[Month],"&lt;"&amp;tblPlan[[#This Row],[Month]]))</f>
        <v>400</v>
      </c>
      <c r="J22" s="43">
        <f>IF(tblPlan[[#This Row],[Month]]="","",tblPlan[[#This Row],[Opening inv. (units)]]+tblPlan[[#This Row],[Production plan (units)]]-tblPlan[[#This Row],[Demand forecast (units)]])</f>
        <v>400</v>
      </c>
      <c r="K22" s="42">
        <f>IF(tblPlan[[#This Row],[Month]]="","",IF(AND(tblPlan[[#This Row],[Demand forecast (units)]]&gt;0,N(tblPlan[[#This Row],[Working days]])&gt;0),tblPlan[[#This Row],[Closing inv. (units)]]/(tblPlan[[#This Row],[Demand forecast (units)]]/tblPlan[[#This Row],[Working days]]),""))</f>
        <v>26.6666666666667</v>
      </c>
      <c r="L22" s="44" t="str">
        <f>IF(tblPlan[[#This Row],[Month]]="","",IF(NOT(ISNUMBER(tblPlan[[#This Row],[Days of supply]])),"",IF(tblPlan[[#This Row],[Days of supply]]&lt;MinDOS,"Below target",IF(tblPlan[[#This Row],[Days of supply]]&gt;MaxDOS,"Above target","On target"))))</f>
        <v>On target</v>
      </c>
      <c r="M22" s="37">
        <f>IF(tblPlan[[#This Row],[Month]]="","",IFERROR(INDEX(tblFamilies[Good rate (units/h)],MATCH(tblPlan[[#This Row],[Family]],tblFamilies[Family],0)),""))</f>
        <v>19.8</v>
      </c>
      <c r="N22" s="42">
        <f>IF(tblPlan[[#This Row],[Month]]="","",IF(N(tblPlan[[#This Row],[Good rate (units/h)]])&gt;0,tblPlan[[#This Row],[Production plan (units)]]/tblPlan[[#This Row],[Good rate (units/h)]],""))</f>
        <v>15.1515151515152</v>
      </c>
      <c r="O22" s="43">
        <f>IF(tblPlan[[#This Row],[Month]]="","",IFERROR(tblPlan[[#This Row],[Good rate (units/h)]]*tblPlan[[#This Row],[Working days]]*INDEX(tblLines[Hours per day],MATCH(tblPlan[[#This Row],[Line]],tblLines[Line],0))*INDEX(tblLines[Uptime],MATCH(tblPlan[[#This Row],[Line]],tblLines[Line],0)),""))</f>
        <v>2787.84</v>
      </c>
      <c r="P22" s="37">
        <f>IF(tblPlan[[#This Row],[Month]]="","",IFERROR(INDEX(tblFamilies[Price (per unit)],MATCH(tblPlan[[#This Row],[Family]],tblFamilies[Family],0)),""))</f>
        <v>140</v>
      </c>
      <c r="Q22" s="43">
        <f>IF(tblPlan[[#This Row],[Month]]="","",IF(N(tblPlan[[#This Row],[Price (per unit)]])&gt;0,tblPlan[[#This Row],[Demand forecast (units)]]*tblPlan[[#This Row],[Price (per unit)]],""))</f>
        <v>42000</v>
      </c>
      <c r="R22"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22" s="28" t="s">
        <v>113</v>
      </c>
    </row>
    <row r="23" spans="2:19">
      <c r="B23" s="29">
        <v>46419</v>
      </c>
      <c r="C23" s="28" t="s">
        <v>91</v>
      </c>
      <c r="D23" s="36">
        <v>1500</v>
      </c>
      <c r="E23" s="36">
        <v>2200</v>
      </c>
      <c r="F23" s="41" t="str">
        <f>IF(tblPlan[[#This Row],[Month]]="","",IFERROR(INDEX(tblFamilies[Line],MATCH(tblPlan[[#This Row],[Family]],tblFamilies[Family],0)),""))</f>
        <v>Line A</v>
      </c>
      <c r="G23" s="42">
        <f>IF(tblPlan[[#This Row],[Month]]="","",IFERROR(INDEX($D$6:$O$6,MATCH(tblPlan[[#This Row],[Month]],$D$5:$O$5,0)),""))</f>
        <v>20</v>
      </c>
      <c r="H23" s="43">
        <f>IF(tblPlan[[#This Row],[Month]]="","",IFERROR(INDEX(tblFamilies[Opening inventory (units)],MATCH(tblPlan[[#This Row],[Family]],tblFamilies[Family],0)),""))</f>
        <v>1500</v>
      </c>
      <c r="I23" s="43">
        <f>IF(tblPlan[[#This Row],[Month]]="","",tblPlan[[#This Row],[Start inv. (units)]]+SUMIFS(tblPlan[Production plan (units)],tblPlan[Family],tblPlan[[#This Row],[Family]],tblPlan[Month],"&lt;"&amp;tblPlan[[#This Row],[Month]])-SUMIFS(tblPlan[Demand forecast (units)],tblPlan[Family],tblPlan[[#This Row],[Family]],tblPlan[Month],"&lt;"&amp;tblPlan[[#This Row],[Month]]))</f>
        <v>2900</v>
      </c>
      <c r="J23" s="43">
        <f>IF(tblPlan[[#This Row],[Month]]="","",tblPlan[[#This Row],[Opening inv. (units)]]+tblPlan[[#This Row],[Production plan (units)]]-tblPlan[[#This Row],[Demand forecast (units)]])</f>
        <v>3600</v>
      </c>
      <c r="K23" s="42">
        <f>IF(tblPlan[[#This Row],[Month]]="","",IF(AND(tblPlan[[#This Row],[Demand forecast (units)]]&gt;0,N(tblPlan[[#This Row],[Working days]])&gt;0),tblPlan[[#This Row],[Closing inv. (units)]]/(tblPlan[[#This Row],[Demand forecast (units)]]/tblPlan[[#This Row],[Working days]]),""))</f>
        <v>48</v>
      </c>
      <c r="L23" s="44" t="str">
        <f>IF(tblPlan[[#This Row],[Month]]="","",IF(NOT(ISNUMBER(tblPlan[[#This Row],[Days of supply]])),"",IF(tblPlan[[#This Row],[Days of supply]]&lt;MinDOS,"Below target",IF(tblPlan[[#This Row],[Days of supply]]&gt;MaxDOS,"Above target","On target"))))</f>
        <v>Above target</v>
      </c>
      <c r="M23" s="37">
        <f>IF(tblPlan[[#This Row],[Month]]="","",IFERROR(INDEX(tblFamilies[Good rate (units/h)],MATCH(tblPlan[[#This Row],[Family]],tblFamilies[Family],0)),""))</f>
        <v>14.7</v>
      </c>
      <c r="N23" s="42">
        <f>IF(tblPlan[[#This Row],[Month]]="","",IF(N(tblPlan[[#This Row],[Good rate (units/h)]])&gt;0,tblPlan[[#This Row],[Production plan (units)]]/tblPlan[[#This Row],[Good rate (units/h)]],""))</f>
        <v>149.659863945578</v>
      </c>
      <c r="O23" s="43">
        <f>IF(tblPlan[[#This Row],[Month]]="","",IFERROR(tblPlan[[#This Row],[Good rate (units/h)]]*tblPlan[[#This Row],[Working days]]*INDEX(tblLines[Hours per day],MATCH(tblPlan[[#This Row],[Line]],tblLines[Line],0))*INDEX(tblLines[Uptime],MATCH(tblPlan[[#This Row],[Line]],tblLines[Line],0)),""))</f>
        <v>3998.4</v>
      </c>
      <c r="P23" s="37">
        <f>IF(tblPlan[[#This Row],[Month]]="","",IFERROR(INDEX(tblFamilies[Price (per unit)],MATCH(tblPlan[[#This Row],[Family]],tblFamilies[Family],0)),""))</f>
        <v>420</v>
      </c>
      <c r="Q23" s="43">
        <f>IF(tblPlan[[#This Row],[Month]]="","",IF(N(tblPlan[[#This Row],[Price (per unit)]])&gt;0,tblPlan[[#This Row],[Demand forecast (units)]]*tblPlan[[#This Row],[Price (per unit)]],""))</f>
        <v>630000</v>
      </c>
      <c r="R23"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23" s="28" t="s">
        <v>113</v>
      </c>
    </row>
    <row r="24" spans="2:19">
      <c r="B24" s="29">
        <v>46419</v>
      </c>
      <c r="C24" s="28" t="s">
        <v>93</v>
      </c>
      <c r="D24" s="36">
        <v>1200</v>
      </c>
      <c r="E24" s="36">
        <v>800</v>
      </c>
      <c r="F24" s="41" t="str">
        <f>IF(tblPlan[[#This Row],[Month]]="","",IFERROR(INDEX(tblFamilies[Line],MATCH(tblPlan[[#This Row],[Family]],tblFamilies[Family],0)),""))</f>
        <v>Line A</v>
      </c>
      <c r="G24" s="42">
        <f>IF(tblPlan[[#This Row],[Month]]="","",IFERROR(INDEX($D$6:$O$6,MATCH(tblPlan[[#This Row],[Month]],$D$5:$O$5,0)),""))</f>
        <v>20</v>
      </c>
      <c r="H24" s="43">
        <f>IF(tblPlan[[#This Row],[Month]]="","",IFERROR(INDEX(tblFamilies[Opening inventory (units)],MATCH(tblPlan[[#This Row],[Family]],tblFamilies[Family],0)),""))</f>
        <v>1800</v>
      </c>
      <c r="I24" s="43">
        <f>IF(tblPlan[[#This Row],[Month]]="","",tblPlan[[#This Row],[Start inv. (units)]]+SUMIFS(tblPlan[Production plan (units)],tblPlan[Family],tblPlan[[#This Row],[Family]],tblPlan[Month],"&lt;"&amp;tblPlan[[#This Row],[Month]])-SUMIFS(tblPlan[Demand forecast (units)],tblPlan[Family],tblPlan[[#This Row],[Family]],tblPlan[Month],"&lt;"&amp;tblPlan[[#This Row],[Month]]))</f>
        <v>500</v>
      </c>
      <c r="J24" s="43">
        <f>IF(tblPlan[[#This Row],[Month]]="","",tblPlan[[#This Row],[Opening inv. (units)]]+tblPlan[[#This Row],[Production plan (units)]]-tblPlan[[#This Row],[Demand forecast (units)]])</f>
        <v>100</v>
      </c>
      <c r="K24" s="42">
        <f>IF(tblPlan[[#This Row],[Month]]="","",IF(AND(tblPlan[[#This Row],[Demand forecast (units)]]&gt;0,N(tblPlan[[#This Row],[Working days]])&gt;0),tblPlan[[#This Row],[Closing inv. (units)]]/(tblPlan[[#This Row],[Demand forecast (units)]]/tblPlan[[#This Row],[Working days]]),""))</f>
        <v>1.66666666666667</v>
      </c>
      <c r="L24" s="44" t="str">
        <f>IF(tblPlan[[#This Row],[Month]]="","",IF(NOT(ISNUMBER(tblPlan[[#This Row],[Days of supply]])),"",IF(tblPlan[[#This Row],[Days of supply]]&lt;MinDOS,"Below target",IF(tblPlan[[#This Row],[Days of supply]]&gt;MaxDOS,"Above target","On target"))))</f>
        <v>Below target</v>
      </c>
      <c r="M24" s="37">
        <f>IF(tblPlan[[#This Row],[Month]]="","",IFERROR(INDEX(tblFamilies[Good rate (units/h)],MATCH(tblPlan[[#This Row],[Family]],tblFamilies[Family],0)),""))</f>
        <v>13.72</v>
      </c>
      <c r="N24" s="42">
        <f>IF(tblPlan[[#This Row],[Month]]="","",IF(N(tblPlan[[#This Row],[Good rate (units/h)]])&gt;0,tblPlan[[#This Row],[Production plan (units)]]/tblPlan[[#This Row],[Good rate (units/h)]],""))</f>
        <v>58.3090379008746</v>
      </c>
      <c r="O24" s="43">
        <f>IF(tblPlan[[#This Row],[Month]]="","",IFERROR(tblPlan[[#This Row],[Good rate (units/h)]]*tblPlan[[#This Row],[Working days]]*INDEX(tblLines[Hours per day],MATCH(tblPlan[[#This Row],[Line]],tblLines[Line],0))*INDEX(tblLines[Uptime],MATCH(tblPlan[[#This Row],[Line]],tblLines[Line],0)),""))</f>
        <v>3731.84</v>
      </c>
      <c r="P24" s="37">
        <f>IF(tblPlan[[#This Row],[Month]]="","",IFERROR(INDEX(tblFamilies[Price (per unit)],MATCH(tblPlan[[#This Row],[Family]],tblFamilies[Family],0)),""))</f>
        <v>650</v>
      </c>
      <c r="Q24" s="43">
        <f>IF(tblPlan[[#This Row],[Month]]="","",IF(N(tblPlan[[#This Row],[Price (per unit)]])&gt;0,tblPlan[[#This Row],[Demand forecast (units)]]*tblPlan[[#This Row],[Price (per unit)]],""))</f>
        <v>780000</v>
      </c>
      <c r="R24"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24" s="28" t="s">
        <v>113</v>
      </c>
    </row>
    <row r="25" spans="2:19">
      <c r="B25" s="29">
        <v>46419</v>
      </c>
      <c r="C25" s="28" t="s">
        <v>95</v>
      </c>
      <c r="D25" s="36">
        <v>1000</v>
      </c>
      <c r="E25" s="36">
        <v>1300</v>
      </c>
      <c r="F25" s="41" t="str">
        <f>IF(tblPlan[[#This Row],[Month]]="","",IFERROR(INDEX(tblFamilies[Line],MATCH(tblPlan[[#This Row],[Family]],tblFamilies[Family],0)),""))</f>
        <v>Line B</v>
      </c>
      <c r="G25" s="42">
        <f>IF(tblPlan[[#This Row],[Month]]="","",IFERROR(INDEX($D$6:$O$6,MATCH(tblPlan[[#This Row],[Month]],$D$5:$O$5,0)),""))</f>
        <v>20</v>
      </c>
      <c r="H25" s="43">
        <f>IF(tblPlan[[#This Row],[Month]]="","",IFERROR(INDEX(tblFamilies[Opening inventory (units)],MATCH(tblPlan[[#This Row],[Family]],tblFamilies[Family],0)),""))</f>
        <v>900</v>
      </c>
      <c r="I25" s="43">
        <f>IF(tblPlan[[#This Row],[Month]]="","",tblPlan[[#This Row],[Start inv. (units)]]+SUMIFS(tblPlan[Production plan (units)],tblPlan[Family],tblPlan[[#This Row],[Family]],tblPlan[Month],"&lt;"&amp;tblPlan[[#This Row],[Month]])-SUMIFS(tblPlan[Demand forecast (units)],tblPlan[Family],tblPlan[[#This Row],[Family]],tblPlan[Month],"&lt;"&amp;tblPlan[[#This Row],[Month]]))</f>
        <v>1400</v>
      </c>
      <c r="J25" s="43">
        <f>IF(tblPlan[[#This Row],[Month]]="","",tblPlan[[#This Row],[Opening inv. (units)]]+tblPlan[[#This Row],[Production plan (units)]]-tblPlan[[#This Row],[Demand forecast (units)]])</f>
        <v>1700</v>
      </c>
      <c r="K25" s="42">
        <f>IF(tblPlan[[#This Row],[Month]]="","",IF(AND(tblPlan[[#This Row],[Demand forecast (units)]]&gt;0,N(tblPlan[[#This Row],[Working days]])&gt;0),tblPlan[[#This Row],[Closing inv. (units)]]/(tblPlan[[#This Row],[Demand forecast (units)]]/tblPlan[[#This Row],[Working days]]),""))</f>
        <v>34</v>
      </c>
      <c r="L25" s="44" t="str">
        <f>IF(tblPlan[[#This Row],[Month]]="","",IF(NOT(ISNUMBER(tblPlan[[#This Row],[Days of supply]])),"",IF(tblPlan[[#This Row],[Days of supply]]&lt;MinDOS,"Below target",IF(tblPlan[[#This Row],[Days of supply]]&gt;MaxDOS,"Above target","On target"))))</f>
        <v>On target</v>
      </c>
      <c r="M25" s="37">
        <f>IF(tblPlan[[#This Row],[Month]]="","",IFERROR(INDEX(tblFamilies[Good rate (units/h)],MATCH(tblPlan[[#This Row],[Family]],tblFamilies[Family],0)),""))</f>
        <v>21.78</v>
      </c>
      <c r="N25" s="42">
        <f>IF(tblPlan[[#This Row],[Month]]="","",IF(N(tblPlan[[#This Row],[Good rate (units/h)]])&gt;0,tblPlan[[#This Row],[Production plan (units)]]/tblPlan[[#This Row],[Good rate (units/h)]],""))</f>
        <v>59.6877869605142</v>
      </c>
      <c r="O25" s="43">
        <f>IF(tblPlan[[#This Row],[Month]]="","",IFERROR(tblPlan[[#This Row],[Good rate (units/h)]]*tblPlan[[#This Row],[Working days]]*INDEX(tblLines[Hours per day],MATCH(tblPlan[[#This Row],[Line]],tblLines[Line],0))*INDEX(tblLines[Uptime],MATCH(tblPlan[[#This Row],[Line]],tblLines[Line],0)),""))</f>
        <v>3066.624</v>
      </c>
      <c r="P25" s="37">
        <f>IF(tblPlan[[#This Row],[Month]]="","",IFERROR(INDEX(tblFamilies[Price (per unit)],MATCH(tblPlan[[#This Row],[Family]],tblFamilies[Family],0)),""))</f>
        <v>95</v>
      </c>
      <c r="Q25" s="43">
        <f>IF(tblPlan[[#This Row],[Month]]="","",IF(N(tblPlan[[#This Row],[Price (per unit)]])&gt;0,tblPlan[[#This Row],[Demand forecast (units)]]*tblPlan[[#This Row],[Price (per unit)]],""))</f>
        <v>95000</v>
      </c>
      <c r="R25"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25" s="28" t="s">
        <v>113</v>
      </c>
    </row>
    <row r="26" spans="2:19">
      <c r="B26" s="29">
        <v>46419</v>
      </c>
      <c r="C26" s="28" t="s">
        <v>97</v>
      </c>
      <c r="D26" s="36">
        <v>300</v>
      </c>
      <c r="E26" s="36">
        <v>400</v>
      </c>
      <c r="F26" s="41" t="str">
        <f>IF(tblPlan[[#This Row],[Month]]="","",IFERROR(INDEX(tblFamilies[Line],MATCH(tblPlan[[#This Row],[Family]],tblFamilies[Family],0)),""))</f>
        <v>Line B</v>
      </c>
      <c r="G26" s="42">
        <f>IF(tblPlan[[#This Row],[Month]]="","",IFERROR(INDEX($D$6:$O$6,MATCH(tblPlan[[#This Row],[Month]],$D$5:$O$5,0)),""))</f>
        <v>20</v>
      </c>
      <c r="H26" s="43">
        <f>IF(tblPlan[[#This Row],[Month]]="","",IFERROR(INDEX(tblFamilies[Opening inventory (units)],MATCH(tblPlan[[#This Row],[Family]],tblFamilies[Family],0)),""))</f>
        <v>1200</v>
      </c>
      <c r="I26" s="43">
        <f>IF(tblPlan[[#This Row],[Month]]="","",tblPlan[[#This Row],[Start inv. (units)]]+SUMIFS(tblPlan[Production plan (units)],tblPlan[Family],tblPlan[[#This Row],[Family]],tblPlan[Month],"&lt;"&amp;tblPlan[[#This Row],[Month]])-SUMIFS(tblPlan[Demand forecast (units)],tblPlan[Family],tblPlan[[#This Row],[Family]],tblPlan[Month],"&lt;"&amp;tblPlan[[#This Row],[Month]]))</f>
        <v>400</v>
      </c>
      <c r="J26" s="43">
        <f>IF(tblPlan[[#This Row],[Month]]="","",tblPlan[[#This Row],[Opening inv. (units)]]+tblPlan[[#This Row],[Production plan (units)]]-tblPlan[[#This Row],[Demand forecast (units)]])</f>
        <v>500</v>
      </c>
      <c r="K26" s="42">
        <f>IF(tblPlan[[#This Row],[Month]]="","",IF(AND(tblPlan[[#This Row],[Demand forecast (units)]]&gt;0,N(tblPlan[[#This Row],[Working days]])&gt;0),tblPlan[[#This Row],[Closing inv. (units)]]/(tblPlan[[#This Row],[Demand forecast (units)]]/tblPlan[[#This Row],[Working days]]),""))</f>
        <v>33.3333333333333</v>
      </c>
      <c r="L26" s="44" t="str">
        <f>IF(tblPlan[[#This Row],[Month]]="","",IF(NOT(ISNUMBER(tblPlan[[#This Row],[Days of supply]])),"",IF(tblPlan[[#This Row],[Days of supply]]&lt;MinDOS,"Below target",IF(tblPlan[[#This Row],[Days of supply]]&gt;MaxDOS,"Above target","On target"))))</f>
        <v>On target</v>
      </c>
      <c r="M26" s="37">
        <f>IF(tblPlan[[#This Row],[Month]]="","",IFERROR(INDEX(tblFamilies[Good rate (units/h)],MATCH(tblPlan[[#This Row],[Family]],tblFamilies[Family],0)),""))</f>
        <v>19.8</v>
      </c>
      <c r="N26" s="42">
        <f>IF(tblPlan[[#This Row],[Month]]="","",IF(N(tblPlan[[#This Row],[Good rate (units/h)]])&gt;0,tblPlan[[#This Row],[Production plan (units)]]/tblPlan[[#This Row],[Good rate (units/h)]],""))</f>
        <v>20.2020202020202</v>
      </c>
      <c r="O26" s="43">
        <f>IF(tblPlan[[#This Row],[Month]]="","",IFERROR(tblPlan[[#This Row],[Good rate (units/h)]]*tblPlan[[#This Row],[Working days]]*INDEX(tblLines[Hours per day],MATCH(tblPlan[[#This Row],[Line]],tblLines[Line],0))*INDEX(tblLines[Uptime],MATCH(tblPlan[[#This Row],[Line]],tblLines[Line],0)),""))</f>
        <v>2787.84</v>
      </c>
      <c r="P26" s="37">
        <f>IF(tblPlan[[#This Row],[Month]]="","",IFERROR(INDEX(tblFamilies[Price (per unit)],MATCH(tblPlan[[#This Row],[Family]],tblFamilies[Family],0)),""))</f>
        <v>140</v>
      </c>
      <c r="Q26" s="43">
        <f>IF(tblPlan[[#This Row],[Month]]="","",IF(N(tblPlan[[#This Row],[Price (per unit)]])&gt;0,tblPlan[[#This Row],[Demand forecast (units)]]*tblPlan[[#This Row],[Price (per unit)]],""))</f>
        <v>42000</v>
      </c>
      <c r="R26"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26" s="28" t="s">
        <v>113</v>
      </c>
    </row>
    <row r="27" spans="2:19">
      <c r="B27" s="29">
        <v>46447</v>
      </c>
      <c r="C27" s="28" t="s">
        <v>91</v>
      </c>
      <c r="D27" s="36">
        <v>3200</v>
      </c>
      <c r="E27" s="36">
        <v>3500</v>
      </c>
      <c r="F27" s="41" t="str">
        <f>IF(tblPlan[[#This Row],[Month]]="","",IFERROR(INDEX(tblFamilies[Line],MATCH(tblPlan[[#This Row],[Family]],tblFamilies[Family],0)),""))</f>
        <v>Line A</v>
      </c>
      <c r="G27" s="42">
        <f>IF(tblPlan[[#This Row],[Month]]="","",IFERROR(INDEX($D$6:$O$6,MATCH(tblPlan[[#This Row],[Month]],$D$5:$O$5,0)),""))</f>
        <v>23</v>
      </c>
      <c r="H27" s="43">
        <f>IF(tblPlan[[#This Row],[Month]]="","",IFERROR(INDEX(tblFamilies[Opening inventory (units)],MATCH(tblPlan[[#This Row],[Family]],tblFamilies[Family],0)),""))</f>
        <v>1500</v>
      </c>
      <c r="I27" s="43">
        <f>IF(tblPlan[[#This Row],[Month]]="","",tblPlan[[#This Row],[Start inv. (units)]]+SUMIFS(tblPlan[Production plan (units)],tblPlan[Family],tblPlan[[#This Row],[Family]],tblPlan[Month],"&lt;"&amp;tblPlan[[#This Row],[Month]])-SUMIFS(tblPlan[Demand forecast (units)],tblPlan[Family],tblPlan[[#This Row],[Family]],tblPlan[Month],"&lt;"&amp;tblPlan[[#This Row],[Month]]))</f>
        <v>3600</v>
      </c>
      <c r="J27" s="43">
        <f>IF(tblPlan[[#This Row],[Month]]="","",tblPlan[[#This Row],[Opening inv. (units)]]+tblPlan[[#This Row],[Production plan (units)]]-tblPlan[[#This Row],[Demand forecast (units)]])</f>
        <v>3900</v>
      </c>
      <c r="K27" s="42">
        <f>IF(tblPlan[[#This Row],[Month]]="","",IF(AND(tblPlan[[#This Row],[Demand forecast (units)]]&gt;0,N(tblPlan[[#This Row],[Working days]])&gt;0),tblPlan[[#This Row],[Closing inv. (units)]]/(tblPlan[[#This Row],[Demand forecast (units)]]/tblPlan[[#This Row],[Working days]]),""))</f>
        <v>28.03125</v>
      </c>
      <c r="L27" s="44" t="str">
        <f>IF(tblPlan[[#This Row],[Month]]="","",IF(NOT(ISNUMBER(tblPlan[[#This Row],[Days of supply]])),"",IF(tblPlan[[#This Row],[Days of supply]]&lt;MinDOS,"Below target",IF(tblPlan[[#This Row],[Days of supply]]&gt;MaxDOS,"Above target","On target"))))</f>
        <v>On target</v>
      </c>
      <c r="M27" s="37">
        <f>IF(tblPlan[[#This Row],[Month]]="","",IFERROR(INDEX(tblFamilies[Good rate (units/h)],MATCH(tblPlan[[#This Row],[Family]],tblFamilies[Family],0)),""))</f>
        <v>14.7</v>
      </c>
      <c r="N27" s="42">
        <f>IF(tblPlan[[#This Row],[Month]]="","",IF(N(tblPlan[[#This Row],[Good rate (units/h)]])&gt;0,tblPlan[[#This Row],[Production plan (units)]]/tblPlan[[#This Row],[Good rate (units/h)]],""))</f>
        <v>238.095238095238</v>
      </c>
      <c r="O27" s="43">
        <f>IF(tblPlan[[#This Row],[Month]]="","",IFERROR(tblPlan[[#This Row],[Good rate (units/h)]]*tblPlan[[#This Row],[Working days]]*INDEX(tblLines[Hours per day],MATCH(tblPlan[[#This Row],[Line]],tblLines[Line],0))*INDEX(tblLines[Uptime],MATCH(tblPlan[[#This Row],[Line]],tblLines[Line],0)),""))</f>
        <v>4598.16</v>
      </c>
      <c r="P27" s="37">
        <f>IF(tblPlan[[#This Row],[Month]]="","",IFERROR(INDEX(tblFamilies[Price (per unit)],MATCH(tblPlan[[#This Row],[Family]],tblFamilies[Family],0)),""))</f>
        <v>420</v>
      </c>
      <c r="Q27" s="43">
        <f>IF(tblPlan[[#This Row],[Month]]="","",IF(N(tblPlan[[#This Row],[Price (per unit)]])&gt;0,tblPlan[[#This Row],[Demand forecast (units)]]*tblPlan[[#This Row],[Price (per unit)]],""))</f>
        <v>1344000</v>
      </c>
      <c r="R27"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27" s="28" t="s">
        <v>113</v>
      </c>
    </row>
    <row r="28" spans="2:19">
      <c r="B28" s="29">
        <v>46447</v>
      </c>
      <c r="C28" s="28" t="s">
        <v>93</v>
      </c>
      <c r="D28" s="36">
        <v>300</v>
      </c>
      <c r="E28" s="36">
        <v>450</v>
      </c>
      <c r="F28" s="41" t="str">
        <f>IF(tblPlan[[#This Row],[Month]]="","",IFERROR(INDEX(tblFamilies[Line],MATCH(tblPlan[[#This Row],[Family]],tblFamilies[Family],0)),""))</f>
        <v>Line A</v>
      </c>
      <c r="G28" s="42">
        <f>IF(tblPlan[[#This Row],[Month]]="","",IFERROR(INDEX($D$6:$O$6,MATCH(tblPlan[[#This Row],[Month]],$D$5:$O$5,0)),""))</f>
        <v>23</v>
      </c>
      <c r="H28" s="43">
        <f>IF(tblPlan[[#This Row],[Month]]="","",IFERROR(INDEX(tblFamilies[Opening inventory (units)],MATCH(tblPlan[[#This Row],[Family]],tblFamilies[Family],0)),""))</f>
        <v>1800</v>
      </c>
      <c r="I28" s="43">
        <f>IF(tblPlan[[#This Row],[Month]]="","",tblPlan[[#This Row],[Start inv. (units)]]+SUMIFS(tblPlan[Production plan (units)],tblPlan[Family],tblPlan[[#This Row],[Family]],tblPlan[Month],"&lt;"&amp;tblPlan[[#This Row],[Month]])-SUMIFS(tblPlan[Demand forecast (units)],tblPlan[Family],tblPlan[[#This Row],[Family]],tblPlan[Month],"&lt;"&amp;tblPlan[[#This Row],[Month]]))</f>
        <v>100</v>
      </c>
      <c r="J28" s="43">
        <f>IF(tblPlan[[#This Row],[Month]]="","",tblPlan[[#This Row],[Opening inv. (units)]]+tblPlan[[#This Row],[Production plan (units)]]-tblPlan[[#This Row],[Demand forecast (units)]])</f>
        <v>250</v>
      </c>
      <c r="K28" s="42">
        <f>IF(tblPlan[[#This Row],[Month]]="","",IF(AND(tblPlan[[#This Row],[Demand forecast (units)]]&gt;0,N(tblPlan[[#This Row],[Working days]])&gt;0),tblPlan[[#This Row],[Closing inv. (units)]]/(tblPlan[[#This Row],[Demand forecast (units)]]/tblPlan[[#This Row],[Working days]]),""))</f>
        <v>19.1666666666667</v>
      </c>
      <c r="L28" s="44" t="str">
        <f>IF(tblPlan[[#This Row],[Month]]="","",IF(NOT(ISNUMBER(tblPlan[[#This Row],[Days of supply]])),"",IF(tblPlan[[#This Row],[Days of supply]]&lt;MinDOS,"Below target",IF(tblPlan[[#This Row],[Days of supply]]&gt;MaxDOS,"Above target","On target"))))</f>
        <v>On target</v>
      </c>
      <c r="M28" s="37">
        <f>IF(tblPlan[[#This Row],[Month]]="","",IFERROR(INDEX(tblFamilies[Good rate (units/h)],MATCH(tblPlan[[#This Row],[Family]],tblFamilies[Family],0)),""))</f>
        <v>13.72</v>
      </c>
      <c r="N28" s="42">
        <f>IF(tblPlan[[#This Row],[Month]]="","",IF(N(tblPlan[[#This Row],[Good rate (units/h)]])&gt;0,tblPlan[[#This Row],[Production plan (units)]]/tblPlan[[#This Row],[Good rate (units/h)]],""))</f>
        <v>32.798833819242</v>
      </c>
      <c r="O28" s="43">
        <f>IF(tblPlan[[#This Row],[Month]]="","",IFERROR(tblPlan[[#This Row],[Good rate (units/h)]]*tblPlan[[#This Row],[Working days]]*INDEX(tblLines[Hours per day],MATCH(tblPlan[[#This Row],[Line]],tblLines[Line],0))*INDEX(tblLines[Uptime],MATCH(tblPlan[[#This Row],[Line]],tblLines[Line],0)),""))</f>
        <v>4291.616</v>
      </c>
      <c r="P28" s="37">
        <f>IF(tblPlan[[#This Row],[Month]]="","",IFERROR(INDEX(tblFamilies[Price (per unit)],MATCH(tblPlan[[#This Row],[Family]],tblFamilies[Family],0)),""))</f>
        <v>650</v>
      </c>
      <c r="Q28" s="43">
        <f>IF(tblPlan[[#This Row],[Month]]="","",IF(N(tblPlan[[#This Row],[Price (per unit)]])&gt;0,tblPlan[[#This Row],[Demand forecast (units)]]*tblPlan[[#This Row],[Price (per unit)]],""))</f>
        <v>195000</v>
      </c>
      <c r="R28"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28" s="28" t="s">
        <v>113</v>
      </c>
    </row>
    <row r="29" spans="2:19">
      <c r="B29" s="29">
        <v>46447</v>
      </c>
      <c r="C29" s="28" t="s">
        <v>95</v>
      </c>
      <c r="D29" s="36">
        <v>1800</v>
      </c>
      <c r="E29" s="36">
        <v>1700</v>
      </c>
      <c r="F29" s="41" t="str">
        <f>IF(tblPlan[[#This Row],[Month]]="","",IFERROR(INDEX(tblFamilies[Line],MATCH(tblPlan[[#This Row],[Family]],tblFamilies[Family],0)),""))</f>
        <v>Line B</v>
      </c>
      <c r="G29" s="42">
        <f>IF(tblPlan[[#This Row],[Month]]="","",IFERROR(INDEX($D$6:$O$6,MATCH(tblPlan[[#This Row],[Month]],$D$5:$O$5,0)),""))</f>
        <v>23</v>
      </c>
      <c r="H29" s="43">
        <f>IF(tblPlan[[#This Row],[Month]]="","",IFERROR(INDEX(tblFamilies[Opening inventory (units)],MATCH(tblPlan[[#This Row],[Family]],tblFamilies[Family],0)),""))</f>
        <v>900</v>
      </c>
      <c r="I29" s="43">
        <f>IF(tblPlan[[#This Row],[Month]]="","",tblPlan[[#This Row],[Start inv. (units)]]+SUMIFS(tblPlan[Production plan (units)],tblPlan[Family],tblPlan[[#This Row],[Family]],tblPlan[Month],"&lt;"&amp;tblPlan[[#This Row],[Month]])-SUMIFS(tblPlan[Demand forecast (units)],tblPlan[Family],tblPlan[[#This Row],[Family]],tblPlan[Month],"&lt;"&amp;tblPlan[[#This Row],[Month]]))</f>
        <v>1700</v>
      </c>
      <c r="J29" s="43">
        <f>IF(tblPlan[[#This Row],[Month]]="","",tblPlan[[#This Row],[Opening inv. (units)]]+tblPlan[[#This Row],[Production plan (units)]]-tblPlan[[#This Row],[Demand forecast (units)]])</f>
        <v>1600</v>
      </c>
      <c r="K29" s="42">
        <f>IF(tblPlan[[#This Row],[Month]]="","",IF(AND(tblPlan[[#This Row],[Demand forecast (units)]]&gt;0,N(tblPlan[[#This Row],[Working days]])&gt;0),tblPlan[[#This Row],[Closing inv. (units)]]/(tblPlan[[#This Row],[Demand forecast (units)]]/tblPlan[[#This Row],[Working days]]),""))</f>
        <v>20.4444444444444</v>
      </c>
      <c r="L29" s="44" t="str">
        <f>IF(tblPlan[[#This Row],[Month]]="","",IF(NOT(ISNUMBER(tblPlan[[#This Row],[Days of supply]])),"",IF(tblPlan[[#This Row],[Days of supply]]&lt;MinDOS,"Below target",IF(tblPlan[[#This Row],[Days of supply]]&gt;MaxDOS,"Above target","On target"))))</f>
        <v>On target</v>
      </c>
      <c r="M29" s="37">
        <f>IF(tblPlan[[#This Row],[Month]]="","",IFERROR(INDEX(tblFamilies[Good rate (units/h)],MATCH(tblPlan[[#This Row],[Family]],tblFamilies[Family],0)),""))</f>
        <v>21.78</v>
      </c>
      <c r="N29" s="42">
        <f>IF(tblPlan[[#This Row],[Month]]="","",IF(N(tblPlan[[#This Row],[Good rate (units/h)]])&gt;0,tblPlan[[#This Row],[Production plan (units)]]/tblPlan[[#This Row],[Good rate (units/h)]],""))</f>
        <v>78.0532598714417</v>
      </c>
      <c r="O29" s="43">
        <f>IF(tblPlan[[#This Row],[Month]]="","",IFERROR(tblPlan[[#This Row],[Good rate (units/h)]]*tblPlan[[#This Row],[Working days]]*INDEX(tblLines[Hours per day],MATCH(tblPlan[[#This Row],[Line]],tblLines[Line],0))*INDEX(tblLines[Uptime],MATCH(tblPlan[[#This Row],[Line]],tblLines[Line],0)),""))</f>
        <v>3526.6176</v>
      </c>
      <c r="P29" s="37">
        <f>IF(tblPlan[[#This Row],[Month]]="","",IFERROR(INDEX(tblFamilies[Price (per unit)],MATCH(tblPlan[[#This Row],[Family]],tblFamilies[Family],0)),""))</f>
        <v>95</v>
      </c>
      <c r="Q29" s="43">
        <f>IF(tblPlan[[#This Row],[Month]]="","",IF(N(tblPlan[[#This Row],[Price (per unit)]])&gt;0,tblPlan[[#This Row],[Demand forecast (units)]]*tblPlan[[#This Row],[Price (per unit)]],""))</f>
        <v>171000</v>
      </c>
      <c r="R29"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29" s="28" t="s">
        <v>113</v>
      </c>
    </row>
    <row r="30" spans="2:19">
      <c r="B30" s="29">
        <v>46447</v>
      </c>
      <c r="C30" s="28" t="s">
        <v>97</v>
      </c>
      <c r="D30" s="36">
        <v>500</v>
      </c>
      <c r="E30" s="36">
        <v>500</v>
      </c>
      <c r="F30" s="41" t="str">
        <f>IF(tblPlan[[#This Row],[Month]]="","",IFERROR(INDEX(tblFamilies[Line],MATCH(tblPlan[[#This Row],[Family]],tblFamilies[Family],0)),""))</f>
        <v>Line B</v>
      </c>
      <c r="G30" s="42">
        <f>IF(tblPlan[[#This Row],[Month]]="","",IFERROR(INDEX($D$6:$O$6,MATCH(tblPlan[[#This Row],[Month]],$D$5:$O$5,0)),""))</f>
        <v>23</v>
      </c>
      <c r="H30" s="43">
        <f>IF(tblPlan[[#This Row],[Month]]="","",IFERROR(INDEX(tblFamilies[Opening inventory (units)],MATCH(tblPlan[[#This Row],[Family]],tblFamilies[Family],0)),""))</f>
        <v>1200</v>
      </c>
      <c r="I30" s="43">
        <f>IF(tblPlan[[#This Row],[Month]]="","",tblPlan[[#This Row],[Start inv. (units)]]+SUMIFS(tblPlan[Production plan (units)],tblPlan[Family],tblPlan[[#This Row],[Family]],tblPlan[Month],"&lt;"&amp;tblPlan[[#This Row],[Month]])-SUMIFS(tblPlan[Demand forecast (units)],tblPlan[Family],tblPlan[[#This Row],[Family]],tblPlan[Month],"&lt;"&amp;tblPlan[[#This Row],[Month]]))</f>
        <v>500</v>
      </c>
      <c r="J30" s="43">
        <f>IF(tblPlan[[#This Row],[Month]]="","",tblPlan[[#This Row],[Opening inv. (units)]]+tblPlan[[#This Row],[Production plan (units)]]-tblPlan[[#This Row],[Demand forecast (units)]])</f>
        <v>500</v>
      </c>
      <c r="K30" s="42">
        <f>IF(tblPlan[[#This Row],[Month]]="","",IF(AND(tblPlan[[#This Row],[Demand forecast (units)]]&gt;0,N(tblPlan[[#This Row],[Working days]])&gt;0),tblPlan[[#This Row],[Closing inv. (units)]]/(tblPlan[[#This Row],[Demand forecast (units)]]/tblPlan[[#This Row],[Working days]]),""))</f>
        <v>23</v>
      </c>
      <c r="L30" s="44" t="str">
        <f>IF(tblPlan[[#This Row],[Month]]="","",IF(NOT(ISNUMBER(tblPlan[[#This Row],[Days of supply]])),"",IF(tblPlan[[#This Row],[Days of supply]]&lt;MinDOS,"Below target",IF(tblPlan[[#This Row],[Days of supply]]&gt;MaxDOS,"Above target","On target"))))</f>
        <v>On target</v>
      </c>
      <c r="M30" s="37">
        <f>IF(tblPlan[[#This Row],[Month]]="","",IFERROR(INDEX(tblFamilies[Good rate (units/h)],MATCH(tblPlan[[#This Row],[Family]],tblFamilies[Family],0)),""))</f>
        <v>19.8</v>
      </c>
      <c r="N30" s="42">
        <f>IF(tblPlan[[#This Row],[Month]]="","",IF(N(tblPlan[[#This Row],[Good rate (units/h)]])&gt;0,tblPlan[[#This Row],[Production plan (units)]]/tblPlan[[#This Row],[Good rate (units/h)]],""))</f>
        <v>25.2525252525253</v>
      </c>
      <c r="O30" s="43">
        <f>IF(tblPlan[[#This Row],[Month]]="","",IFERROR(tblPlan[[#This Row],[Good rate (units/h)]]*tblPlan[[#This Row],[Working days]]*INDEX(tblLines[Hours per day],MATCH(tblPlan[[#This Row],[Line]],tblLines[Line],0))*INDEX(tblLines[Uptime],MATCH(tblPlan[[#This Row],[Line]],tblLines[Line],0)),""))</f>
        <v>3206.016</v>
      </c>
      <c r="P30" s="37">
        <f>IF(tblPlan[[#This Row],[Month]]="","",IFERROR(INDEX(tblFamilies[Price (per unit)],MATCH(tblPlan[[#This Row],[Family]],tblFamilies[Family],0)),""))</f>
        <v>140</v>
      </c>
      <c r="Q30" s="43">
        <f>IF(tblPlan[[#This Row],[Month]]="","",IF(N(tblPlan[[#This Row],[Price (per unit)]])&gt;0,tblPlan[[#This Row],[Demand forecast (units)]]*tblPlan[[#This Row],[Price (per unit)]],""))</f>
        <v>70000</v>
      </c>
      <c r="R30"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30" s="28" t="s">
        <v>113</v>
      </c>
    </row>
    <row r="31" spans="2:19">
      <c r="B31" s="29">
        <v>46478</v>
      </c>
      <c r="C31" s="28" t="s">
        <v>91</v>
      </c>
      <c r="D31" s="36">
        <v>4200</v>
      </c>
      <c r="E31" s="36">
        <v>4600</v>
      </c>
      <c r="F31" s="41" t="str">
        <f>IF(tblPlan[[#This Row],[Month]]="","",IFERROR(INDEX(tblFamilies[Line],MATCH(tblPlan[[#This Row],[Family]],tblFamilies[Family],0)),""))</f>
        <v>Line A</v>
      </c>
      <c r="G31" s="42">
        <f>IF(tblPlan[[#This Row],[Month]]="","",IFERROR(INDEX($D$6:$O$6,MATCH(tblPlan[[#This Row],[Month]],$D$5:$O$5,0)),""))</f>
        <v>22</v>
      </c>
      <c r="H31" s="43">
        <f>IF(tblPlan[[#This Row],[Month]]="","",IFERROR(INDEX(tblFamilies[Opening inventory (units)],MATCH(tblPlan[[#This Row],[Family]],tblFamilies[Family],0)),""))</f>
        <v>1500</v>
      </c>
      <c r="I31" s="43">
        <f>IF(tblPlan[[#This Row],[Month]]="","",tblPlan[[#This Row],[Start inv. (units)]]+SUMIFS(tblPlan[Production plan (units)],tblPlan[Family],tblPlan[[#This Row],[Family]],tblPlan[Month],"&lt;"&amp;tblPlan[[#This Row],[Month]])-SUMIFS(tblPlan[Demand forecast (units)],tblPlan[Family],tblPlan[[#This Row],[Family]],tblPlan[Month],"&lt;"&amp;tblPlan[[#This Row],[Month]]))</f>
        <v>3900</v>
      </c>
      <c r="J31" s="43">
        <f>IF(tblPlan[[#This Row],[Month]]="","",tblPlan[[#This Row],[Opening inv. (units)]]+tblPlan[[#This Row],[Production plan (units)]]-tblPlan[[#This Row],[Demand forecast (units)]])</f>
        <v>4300</v>
      </c>
      <c r="K31" s="42">
        <f>IF(tblPlan[[#This Row],[Month]]="","",IF(AND(tblPlan[[#This Row],[Demand forecast (units)]]&gt;0,N(tblPlan[[#This Row],[Working days]])&gt;0),tblPlan[[#This Row],[Closing inv. (units)]]/(tblPlan[[#This Row],[Demand forecast (units)]]/tblPlan[[#This Row],[Working days]]),""))</f>
        <v>22.5238095238095</v>
      </c>
      <c r="L31" s="44" t="str">
        <f>IF(tblPlan[[#This Row],[Month]]="","",IF(NOT(ISNUMBER(tblPlan[[#This Row],[Days of supply]])),"",IF(tblPlan[[#This Row],[Days of supply]]&lt;MinDOS,"Below target",IF(tblPlan[[#This Row],[Days of supply]]&gt;MaxDOS,"Above target","On target"))))</f>
        <v>On target</v>
      </c>
      <c r="M31" s="37">
        <f>IF(tblPlan[[#This Row],[Month]]="","",IFERROR(INDEX(tblFamilies[Good rate (units/h)],MATCH(tblPlan[[#This Row],[Family]],tblFamilies[Family],0)),""))</f>
        <v>14.7</v>
      </c>
      <c r="N31" s="42">
        <f>IF(tblPlan[[#This Row],[Month]]="","",IF(N(tblPlan[[#This Row],[Good rate (units/h)]])&gt;0,tblPlan[[#This Row],[Production plan (units)]]/tblPlan[[#This Row],[Good rate (units/h)]],""))</f>
        <v>312.925170068027</v>
      </c>
      <c r="O31" s="43">
        <f>IF(tblPlan[[#This Row],[Month]]="","",IFERROR(tblPlan[[#This Row],[Good rate (units/h)]]*tblPlan[[#This Row],[Working days]]*INDEX(tblLines[Hours per day],MATCH(tblPlan[[#This Row],[Line]],tblLines[Line],0))*INDEX(tblLines[Uptime],MATCH(tblPlan[[#This Row],[Line]],tblLines[Line],0)),""))</f>
        <v>4398.24</v>
      </c>
      <c r="P31" s="37">
        <f>IF(tblPlan[[#This Row],[Month]]="","",IFERROR(INDEX(tblFamilies[Price (per unit)],MATCH(tblPlan[[#This Row],[Family]],tblFamilies[Family],0)),""))</f>
        <v>420</v>
      </c>
      <c r="Q31" s="43">
        <f>IF(tblPlan[[#This Row],[Month]]="","",IF(N(tblPlan[[#This Row],[Price (per unit)]])&gt;0,tblPlan[[#This Row],[Demand forecast (units)]]*tblPlan[[#This Row],[Price (per unit)]],""))</f>
        <v>1764000</v>
      </c>
      <c r="R31"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Above line capacity</v>
      </c>
      <c r="S31" s="28" t="s">
        <v>116</v>
      </c>
    </row>
    <row r="32" spans="2:19">
      <c r="B32" s="29">
        <v>46478</v>
      </c>
      <c r="C32" s="28" t="s">
        <v>93</v>
      </c>
      <c r="D32" s="36">
        <v>100</v>
      </c>
      <c r="E32" s="36">
        <v>0</v>
      </c>
      <c r="F32" s="41" t="str">
        <f>IF(tblPlan[[#This Row],[Month]]="","",IFERROR(INDEX(tblFamilies[Line],MATCH(tblPlan[[#This Row],[Family]],tblFamilies[Family],0)),""))</f>
        <v>Line A</v>
      </c>
      <c r="G32" s="42">
        <f>IF(tblPlan[[#This Row],[Month]]="","",IFERROR(INDEX($D$6:$O$6,MATCH(tblPlan[[#This Row],[Month]],$D$5:$O$5,0)),""))</f>
        <v>22</v>
      </c>
      <c r="H32" s="43">
        <f>IF(tblPlan[[#This Row],[Month]]="","",IFERROR(INDEX(tblFamilies[Opening inventory (units)],MATCH(tblPlan[[#This Row],[Family]],tblFamilies[Family],0)),""))</f>
        <v>1800</v>
      </c>
      <c r="I32" s="43">
        <f>IF(tblPlan[[#This Row],[Month]]="","",tblPlan[[#This Row],[Start inv. (units)]]+SUMIFS(tblPlan[Production plan (units)],tblPlan[Family],tblPlan[[#This Row],[Family]],tblPlan[Month],"&lt;"&amp;tblPlan[[#This Row],[Month]])-SUMIFS(tblPlan[Demand forecast (units)],tblPlan[Family],tblPlan[[#This Row],[Family]],tblPlan[Month],"&lt;"&amp;tblPlan[[#This Row],[Month]]))</f>
        <v>250</v>
      </c>
      <c r="J32" s="43">
        <f>IF(tblPlan[[#This Row],[Month]]="","",tblPlan[[#This Row],[Opening inv. (units)]]+tblPlan[[#This Row],[Production plan (units)]]-tblPlan[[#This Row],[Demand forecast (units)]])</f>
        <v>150</v>
      </c>
      <c r="K32" s="42">
        <f>IF(tblPlan[[#This Row],[Month]]="","",IF(AND(tblPlan[[#This Row],[Demand forecast (units)]]&gt;0,N(tblPlan[[#This Row],[Working days]])&gt;0),tblPlan[[#This Row],[Closing inv. (units)]]/(tblPlan[[#This Row],[Demand forecast (units)]]/tblPlan[[#This Row],[Working days]]),""))</f>
        <v>33</v>
      </c>
      <c r="L32" s="44" t="str">
        <f>IF(tblPlan[[#This Row],[Month]]="","",IF(NOT(ISNUMBER(tblPlan[[#This Row],[Days of supply]])),"",IF(tblPlan[[#This Row],[Days of supply]]&lt;MinDOS,"Below target",IF(tblPlan[[#This Row],[Days of supply]]&gt;MaxDOS,"Above target","On target"))))</f>
        <v>On target</v>
      </c>
      <c r="M32" s="37">
        <f>IF(tblPlan[[#This Row],[Month]]="","",IFERROR(INDEX(tblFamilies[Good rate (units/h)],MATCH(tblPlan[[#This Row],[Family]],tblFamilies[Family],0)),""))</f>
        <v>13.72</v>
      </c>
      <c r="N32" s="42">
        <f>IF(tblPlan[[#This Row],[Month]]="","",IF(N(tblPlan[[#This Row],[Good rate (units/h)]])&gt;0,tblPlan[[#This Row],[Production plan (units)]]/tblPlan[[#This Row],[Good rate (units/h)]],""))</f>
        <v>0</v>
      </c>
      <c r="O32" s="43">
        <f>IF(tblPlan[[#This Row],[Month]]="","",IFERROR(tblPlan[[#This Row],[Good rate (units/h)]]*tblPlan[[#This Row],[Working days]]*INDEX(tblLines[Hours per day],MATCH(tblPlan[[#This Row],[Line]],tblLines[Line],0))*INDEX(tblLines[Uptime],MATCH(tblPlan[[#This Row],[Line]],tblLines[Line],0)),""))</f>
        <v>4105.024</v>
      </c>
      <c r="P32" s="37">
        <f>IF(tblPlan[[#This Row],[Month]]="","",IFERROR(INDEX(tblFamilies[Price (per unit)],MATCH(tblPlan[[#This Row],[Family]],tblFamilies[Family],0)),""))</f>
        <v>650</v>
      </c>
      <c r="Q32" s="43">
        <f>IF(tblPlan[[#This Row],[Month]]="","",IF(N(tblPlan[[#This Row],[Price (per unit)]])&gt;0,tblPlan[[#This Row],[Demand forecast (units)]]*tblPlan[[#This Row],[Price (per unit)]],""))</f>
        <v>65000</v>
      </c>
      <c r="R32"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32" s="28" t="s">
        <v>113</v>
      </c>
    </row>
    <row r="33" spans="2:19">
      <c r="B33" s="29">
        <v>46478</v>
      </c>
      <c r="C33" s="28" t="s">
        <v>95</v>
      </c>
      <c r="D33" s="36">
        <v>2200</v>
      </c>
      <c r="E33" s="36">
        <v>1900</v>
      </c>
      <c r="F33" s="41" t="str">
        <f>IF(tblPlan[[#This Row],[Month]]="","",IFERROR(INDEX(tblFamilies[Line],MATCH(tblPlan[[#This Row],[Family]],tblFamilies[Family],0)),""))</f>
        <v>Line B</v>
      </c>
      <c r="G33" s="42">
        <f>IF(tblPlan[[#This Row],[Month]]="","",IFERROR(INDEX($D$6:$O$6,MATCH(tblPlan[[#This Row],[Month]],$D$5:$O$5,0)),""))</f>
        <v>22</v>
      </c>
      <c r="H33" s="43">
        <f>IF(tblPlan[[#This Row],[Month]]="","",IFERROR(INDEX(tblFamilies[Opening inventory (units)],MATCH(tblPlan[[#This Row],[Family]],tblFamilies[Family],0)),""))</f>
        <v>900</v>
      </c>
      <c r="I33" s="43">
        <f>IF(tblPlan[[#This Row],[Month]]="","",tblPlan[[#This Row],[Start inv. (units)]]+SUMIFS(tblPlan[Production plan (units)],tblPlan[Family],tblPlan[[#This Row],[Family]],tblPlan[Month],"&lt;"&amp;tblPlan[[#This Row],[Month]])-SUMIFS(tblPlan[Demand forecast (units)],tblPlan[Family],tblPlan[[#This Row],[Family]],tblPlan[Month],"&lt;"&amp;tblPlan[[#This Row],[Month]]))</f>
        <v>1600</v>
      </c>
      <c r="J33" s="43">
        <f>IF(tblPlan[[#This Row],[Month]]="","",tblPlan[[#This Row],[Opening inv. (units)]]+tblPlan[[#This Row],[Production plan (units)]]-tblPlan[[#This Row],[Demand forecast (units)]])</f>
        <v>1300</v>
      </c>
      <c r="K33" s="42">
        <f>IF(tblPlan[[#This Row],[Month]]="","",IF(AND(tblPlan[[#This Row],[Demand forecast (units)]]&gt;0,N(tblPlan[[#This Row],[Working days]])&gt;0),tblPlan[[#This Row],[Closing inv. (units)]]/(tblPlan[[#This Row],[Demand forecast (units)]]/tblPlan[[#This Row],[Working days]]),""))</f>
        <v>13</v>
      </c>
      <c r="L33" s="44" t="str">
        <f>IF(tblPlan[[#This Row],[Month]]="","",IF(NOT(ISNUMBER(tblPlan[[#This Row],[Days of supply]])),"",IF(tblPlan[[#This Row],[Days of supply]]&lt;MinDOS,"Below target",IF(tblPlan[[#This Row],[Days of supply]]&gt;MaxDOS,"Above target","On target"))))</f>
        <v>On target</v>
      </c>
      <c r="M33" s="37">
        <f>IF(tblPlan[[#This Row],[Month]]="","",IFERROR(INDEX(tblFamilies[Good rate (units/h)],MATCH(tblPlan[[#This Row],[Family]],tblFamilies[Family],0)),""))</f>
        <v>21.78</v>
      </c>
      <c r="N33" s="42">
        <f>IF(tblPlan[[#This Row],[Month]]="","",IF(N(tblPlan[[#This Row],[Good rate (units/h)]])&gt;0,tblPlan[[#This Row],[Production plan (units)]]/tblPlan[[#This Row],[Good rate (units/h)]],""))</f>
        <v>87.2359963269054</v>
      </c>
      <c r="O33" s="43">
        <f>IF(tblPlan[[#This Row],[Month]]="","",IFERROR(tblPlan[[#This Row],[Good rate (units/h)]]*tblPlan[[#This Row],[Working days]]*INDEX(tblLines[Hours per day],MATCH(tblPlan[[#This Row],[Line]],tblLines[Line],0))*INDEX(tblLines[Uptime],MATCH(tblPlan[[#This Row],[Line]],tblLines[Line],0)),""))</f>
        <v>3373.2864</v>
      </c>
      <c r="P33" s="37">
        <f>IF(tblPlan[[#This Row],[Month]]="","",IFERROR(INDEX(tblFamilies[Price (per unit)],MATCH(tblPlan[[#This Row],[Family]],tblFamilies[Family],0)),""))</f>
        <v>95</v>
      </c>
      <c r="Q33" s="43">
        <f>IF(tblPlan[[#This Row],[Month]]="","",IF(N(tblPlan[[#This Row],[Price (per unit)]])&gt;0,tblPlan[[#This Row],[Demand forecast (units)]]*tblPlan[[#This Row],[Price (per unit)]],""))</f>
        <v>209000</v>
      </c>
      <c r="R33"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33" s="28" t="s">
        <v>113</v>
      </c>
    </row>
    <row r="34" spans="2:19">
      <c r="B34" s="29">
        <v>46478</v>
      </c>
      <c r="C34" s="28" t="s">
        <v>97</v>
      </c>
      <c r="D34" s="36">
        <v>600</v>
      </c>
      <c r="E34" s="36">
        <v>600</v>
      </c>
      <c r="F34" s="41" t="str">
        <f>IF(tblPlan[[#This Row],[Month]]="","",IFERROR(INDEX(tblFamilies[Line],MATCH(tblPlan[[#This Row],[Family]],tblFamilies[Family],0)),""))</f>
        <v>Line B</v>
      </c>
      <c r="G34" s="42">
        <f>IF(tblPlan[[#This Row],[Month]]="","",IFERROR(INDEX($D$6:$O$6,MATCH(tblPlan[[#This Row],[Month]],$D$5:$O$5,0)),""))</f>
        <v>22</v>
      </c>
      <c r="H34" s="43">
        <f>IF(tblPlan[[#This Row],[Month]]="","",IFERROR(INDEX(tblFamilies[Opening inventory (units)],MATCH(tblPlan[[#This Row],[Family]],tblFamilies[Family],0)),""))</f>
        <v>1200</v>
      </c>
      <c r="I34" s="43">
        <f>IF(tblPlan[[#This Row],[Month]]="","",tblPlan[[#This Row],[Start inv. (units)]]+SUMIFS(tblPlan[Production plan (units)],tblPlan[Family],tblPlan[[#This Row],[Family]],tblPlan[Month],"&lt;"&amp;tblPlan[[#This Row],[Month]])-SUMIFS(tblPlan[Demand forecast (units)],tblPlan[Family],tblPlan[[#This Row],[Family]],tblPlan[Month],"&lt;"&amp;tblPlan[[#This Row],[Month]]))</f>
        <v>500</v>
      </c>
      <c r="J34" s="43">
        <f>IF(tblPlan[[#This Row],[Month]]="","",tblPlan[[#This Row],[Opening inv. (units)]]+tblPlan[[#This Row],[Production plan (units)]]-tblPlan[[#This Row],[Demand forecast (units)]])</f>
        <v>500</v>
      </c>
      <c r="K34" s="42">
        <f>IF(tblPlan[[#This Row],[Month]]="","",IF(AND(tblPlan[[#This Row],[Demand forecast (units)]]&gt;0,N(tblPlan[[#This Row],[Working days]])&gt;0),tblPlan[[#This Row],[Closing inv. (units)]]/(tblPlan[[#This Row],[Demand forecast (units)]]/tblPlan[[#This Row],[Working days]]),""))</f>
        <v>18.3333333333333</v>
      </c>
      <c r="L34" s="44" t="str">
        <f>IF(tblPlan[[#This Row],[Month]]="","",IF(NOT(ISNUMBER(tblPlan[[#This Row],[Days of supply]])),"",IF(tblPlan[[#This Row],[Days of supply]]&lt;MinDOS,"Below target",IF(tblPlan[[#This Row],[Days of supply]]&gt;MaxDOS,"Above target","On target"))))</f>
        <v>On target</v>
      </c>
      <c r="M34" s="37">
        <f>IF(tblPlan[[#This Row],[Month]]="","",IFERROR(INDEX(tblFamilies[Good rate (units/h)],MATCH(tblPlan[[#This Row],[Family]],tblFamilies[Family],0)),""))</f>
        <v>19.8</v>
      </c>
      <c r="N34" s="42">
        <f>IF(tblPlan[[#This Row],[Month]]="","",IF(N(tblPlan[[#This Row],[Good rate (units/h)]])&gt;0,tblPlan[[#This Row],[Production plan (units)]]/tblPlan[[#This Row],[Good rate (units/h)]],""))</f>
        <v>30.3030303030303</v>
      </c>
      <c r="O34" s="43">
        <f>IF(tblPlan[[#This Row],[Month]]="","",IFERROR(tblPlan[[#This Row],[Good rate (units/h)]]*tblPlan[[#This Row],[Working days]]*INDEX(tblLines[Hours per day],MATCH(tblPlan[[#This Row],[Line]],tblLines[Line],0))*INDEX(tblLines[Uptime],MATCH(tblPlan[[#This Row],[Line]],tblLines[Line],0)),""))</f>
        <v>3066.624</v>
      </c>
      <c r="P34" s="37">
        <f>IF(tblPlan[[#This Row],[Month]]="","",IFERROR(INDEX(tblFamilies[Price (per unit)],MATCH(tblPlan[[#This Row],[Family]],tblFamilies[Family],0)),""))</f>
        <v>140</v>
      </c>
      <c r="Q34" s="43">
        <f>IF(tblPlan[[#This Row],[Month]]="","",IF(N(tblPlan[[#This Row],[Price (per unit)]])&gt;0,tblPlan[[#This Row],[Demand forecast (units)]]*tblPlan[[#This Row],[Price (per unit)]],""))</f>
        <v>84000</v>
      </c>
      <c r="R34"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34" s="28" t="s">
        <v>113</v>
      </c>
    </row>
    <row r="35" spans="2:19">
      <c r="B35" s="29">
        <v>46508</v>
      </c>
      <c r="C35" s="28" t="s">
        <v>91</v>
      </c>
      <c r="D35" s="36">
        <v>4500</v>
      </c>
      <c r="E35" s="36">
        <v>4000</v>
      </c>
      <c r="F35" s="41" t="str">
        <f>IF(tblPlan[[#This Row],[Month]]="","",IFERROR(INDEX(tblFamilies[Line],MATCH(tblPlan[[#This Row],[Family]],tblFamilies[Family],0)),""))</f>
        <v>Line A</v>
      </c>
      <c r="G35" s="42">
        <f>IF(tblPlan[[#This Row],[Month]]="","",IFERROR(INDEX($D$6:$O$6,MATCH(tblPlan[[#This Row],[Month]],$D$5:$O$5,0)),""))</f>
        <v>20</v>
      </c>
      <c r="H35" s="43">
        <f>IF(tblPlan[[#This Row],[Month]]="","",IFERROR(INDEX(tblFamilies[Opening inventory (units)],MATCH(tblPlan[[#This Row],[Family]],tblFamilies[Family],0)),""))</f>
        <v>1500</v>
      </c>
      <c r="I35" s="43">
        <f>IF(tblPlan[[#This Row],[Month]]="","",tblPlan[[#This Row],[Start inv. (units)]]+SUMIFS(tblPlan[Production plan (units)],tblPlan[Family],tblPlan[[#This Row],[Family]],tblPlan[Month],"&lt;"&amp;tblPlan[[#This Row],[Month]])-SUMIFS(tblPlan[Demand forecast (units)],tblPlan[Family],tblPlan[[#This Row],[Family]],tblPlan[Month],"&lt;"&amp;tblPlan[[#This Row],[Month]]))</f>
        <v>4300</v>
      </c>
      <c r="J35" s="43">
        <f>IF(tblPlan[[#This Row],[Month]]="","",tblPlan[[#This Row],[Opening inv. (units)]]+tblPlan[[#This Row],[Production plan (units)]]-tblPlan[[#This Row],[Demand forecast (units)]])</f>
        <v>3800</v>
      </c>
      <c r="K35" s="42">
        <f>IF(tblPlan[[#This Row],[Month]]="","",IF(AND(tblPlan[[#This Row],[Demand forecast (units)]]&gt;0,N(tblPlan[[#This Row],[Working days]])&gt;0),tblPlan[[#This Row],[Closing inv. (units)]]/(tblPlan[[#This Row],[Demand forecast (units)]]/tblPlan[[#This Row],[Working days]]),""))</f>
        <v>16.8888888888889</v>
      </c>
      <c r="L35" s="44" t="str">
        <f>IF(tblPlan[[#This Row],[Month]]="","",IF(NOT(ISNUMBER(tblPlan[[#This Row],[Days of supply]])),"",IF(tblPlan[[#This Row],[Days of supply]]&lt;MinDOS,"Below target",IF(tblPlan[[#This Row],[Days of supply]]&gt;MaxDOS,"Above target","On target"))))</f>
        <v>On target</v>
      </c>
      <c r="M35" s="37">
        <f>IF(tblPlan[[#This Row],[Month]]="","",IFERROR(INDEX(tblFamilies[Good rate (units/h)],MATCH(tblPlan[[#This Row],[Family]],tblFamilies[Family],0)),""))</f>
        <v>14.7</v>
      </c>
      <c r="N35" s="42">
        <f>IF(tblPlan[[#This Row],[Month]]="","",IF(N(tblPlan[[#This Row],[Good rate (units/h)]])&gt;0,tblPlan[[#This Row],[Production plan (units)]]/tblPlan[[#This Row],[Good rate (units/h)]],""))</f>
        <v>272.108843537415</v>
      </c>
      <c r="O35" s="43">
        <f>IF(tblPlan[[#This Row],[Month]]="","",IFERROR(tblPlan[[#This Row],[Good rate (units/h)]]*tblPlan[[#This Row],[Working days]]*INDEX(tblLines[Hours per day],MATCH(tblPlan[[#This Row],[Line]],tblLines[Line],0))*INDEX(tblLines[Uptime],MATCH(tblPlan[[#This Row],[Line]],tblLines[Line],0)),""))</f>
        <v>3998.4</v>
      </c>
      <c r="P35" s="37">
        <f>IF(tblPlan[[#This Row],[Month]]="","",IFERROR(INDEX(tblFamilies[Price (per unit)],MATCH(tblPlan[[#This Row],[Family]],tblFamilies[Family],0)),""))</f>
        <v>420</v>
      </c>
      <c r="Q35" s="43">
        <f>IF(tblPlan[[#This Row],[Month]]="","",IF(N(tblPlan[[#This Row],[Price (per unit)]])&gt;0,tblPlan[[#This Row],[Demand forecast (units)]]*tblPlan[[#This Row],[Price (per unit)]],""))</f>
        <v>1890000</v>
      </c>
      <c r="R35"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Above line capacity</v>
      </c>
      <c r="S35" s="28" t="s">
        <v>113</v>
      </c>
    </row>
    <row r="36" spans="2:19">
      <c r="B36" s="29">
        <v>46508</v>
      </c>
      <c r="C36" s="28" t="s">
        <v>93</v>
      </c>
      <c r="D36" s="36">
        <v>50</v>
      </c>
      <c r="E36" s="36">
        <v>0</v>
      </c>
      <c r="F36" s="41" t="str">
        <f>IF(tblPlan[[#This Row],[Month]]="","",IFERROR(INDEX(tblFamilies[Line],MATCH(tblPlan[[#This Row],[Family]],tblFamilies[Family],0)),""))</f>
        <v>Line A</v>
      </c>
      <c r="G36" s="42">
        <f>IF(tblPlan[[#This Row],[Month]]="","",IFERROR(INDEX($D$6:$O$6,MATCH(tblPlan[[#This Row],[Month]],$D$5:$O$5,0)),""))</f>
        <v>20</v>
      </c>
      <c r="H36" s="43">
        <f>IF(tblPlan[[#This Row],[Month]]="","",IFERROR(INDEX(tblFamilies[Opening inventory (units)],MATCH(tblPlan[[#This Row],[Family]],tblFamilies[Family],0)),""))</f>
        <v>1800</v>
      </c>
      <c r="I36" s="43">
        <f>IF(tblPlan[[#This Row],[Month]]="","",tblPlan[[#This Row],[Start inv. (units)]]+SUMIFS(tblPlan[Production plan (units)],tblPlan[Family],tblPlan[[#This Row],[Family]],tblPlan[Month],"&lt;"&amp;tblPlan[[#This Row],[Month]])-SUMIFS(tblPlan[Demand forecast (units)],tblPlan[Family],tblPlan[[#This Row],[Family]],tblPlan[Month],"&lt;"&amp;tblPlan[[#This Row],[Month]]))</f>
        <v>150</v>
      </c>
      <c r="J36" s="43">
        <f>IF(tblPlan[[#This Row],[Month]]="","",tblPlan[[#This Row],[Opening inv. (units)]]+tblPlan[[#This Row],[Production plan (units)]]-tblPlan[[#This Row],[Demand forecast (units)]])</f>
        <v>100</v>
      </c>
      <c r="K36" s="42">
        <f>IF(tblPlan[[#This Row],[Month]]="","",IF(AND(tblPlan[[#This Row],[Demand forecast (units)]]&gt;0,N(tblPlan[[#This Row],[Working days]])&gt;0),tblPlan[[#This Row],[Closing inv. (units)]]/(tblPlan[[#This Row],[Demand forecast (units)]]/tblPlan[[#This Row],[Working days]]),""))</f>
        <v>40</v>
      </c>
      <c r="L36" s="44" t="str">
        <f>IF(tblPlan[[#This Row],[Month]]="","",IF(NOT(ISNUMBER(tblPlan[[#This Row],[Days of supply]])),"",IF(tblPlan[[#This Row],[Days of supply]]&lt;MinDOS,"Below target",IF(tblPlan[[#This Row],[Days of supply]]&gt;MaxDOS,"Above target","On target"))))</f>
        <v>On target</v>
      </c>
      <c r="M36" s="37">
        <f>IF(tblPlan[[#This Row],[Month]]="","",IFERROR(INDEX(tblFamilies[Good rate (units/h)],MATCH(tblPlan[[#This Row],[Family]],tblFamilies[Family],0)),""))</f>
        <v>13.72</v>
      </c>
      <c r="N36" s="42">
        <f>IF(tblPlan[[#This Row],[Month]]="","",IF(N(tblPlan[[#This Row],[Good rate (units/h)]])&gt;0,tblPlan[[#This Row],[Production plan (units)]]/tblPlan[[#This Row],[Good rate (units/h)]],""))</f>
        <v>0</v>
      </c>
      <c r="O36" s="43">
        <f>IF(tblPlan[[#This Row],[Month]]="","",IFERROR(tblPlan[[#This Row],[Good rate (units/h)]]*tblPlan[[#This Row],[Working days]]*INDEX(tblLines[Hours per day],MATCH(tblPlan[[#This Row],[Line]],tblLines[Line],0))*INDEX(tblLines[Uptime],MATCH(tblPlan[[#This Row],[Line]],tblLines[Line],0)),""))</f>
        <v>3731.84</v>
      </c>
      <c r="P36" s="37">
        <f>IF(tblPlan[[#This Row],[Month]]="","",IFERROR(INDEX(tblFamilies[Price (per unit)],MATCH(tblPlan[[#This Row],[Family]],tblFamilies[Family],0)),""))</f>
        <v>650</v>
      </c>
      <c r="Q36" s="43">
        <f>IF(tblPlan[[#This Row],[Month]]="","",IF(N(tblPlan[[#This Row],[Price (per unit)]])&gt;0,tblPlan[[#This Row],[Demand forecast (units)]]*tblPlan[[#This Row],[Price (per unit)]],""))</f>
        <v>32500</v>
      </c>
      <c r="R36"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36" s="28" t="s">
        <v>113</v>
      </c>
    </row>
    <row r="37" spans="2:19">
      <c r="B37" s="29">
        <v>46508</v>
      </c>
      <c r="C37" s="28" t="s">
        <v>95</v>
      </c>
      <c r="D37" s="36">
        <v>2400</v>
      </c>
      <c r="E37" s="36">
        <v>2000</v>
      </c>
      <c r="F37" s="41" t="str">
        <f>IF(tblPlan[[#This Row],[Month]]="","",IFERROR(INDEX(tblFamilies[Line],MATCH(tblPlan[[#This Row],[Family]],tblFamilies[Family],0)),""))</f>
        <v>Line B</v>
      </c>
      <c r="G37" s="42">
        <f>IF(tblPlan[[#This Row],[Month]]="","",IFERROR(INDEX($D$6:$O$6,MATCH(tblPlan[[#This Row],[Month]],$D$5:$O$5,0)),""))</f>
        <v>20</v>
      </c>
      <c r="H37" s="43">
        <f>IF(tblPlan[[#This Row],[Month]]="","",IFERROR(INDEX(tblFamilies[Opening inventory (units)],MATCH(tblPlan[[#This Row],[Family]],tblFamilies[Family],0)),""))</f>
        <v>900</v>
      </c>
      <c r="I37" s="43">
        <f>IF(tblPlan[[#This Row],[Month]]="","",tblPlan[[#This Row],[Start inv. (units)]]+SUMIFS(tblPlan[Production plan (units)],tblPlan[Family],tblPlan[[#This Row],[Family]],tblPlan[Month],"&lt;"&amp;tblPlan[[#This Row],[Month]])-SUMIFS(tblPlan[Demand forecast (units)],tblPlan[Family],tblPlan[[#This Row],[Family]],tblPlan[Month],"&lt;"&amp;tblPlan[[#This Row],[Month]]))</f>
        <v>1300</v>
      </c>
      <c r="J37" s="43">
        <f>IF(tblPlan[[#This Row],[Month]]="","",tblPlan[[#This Row],[Opening inv. (units)]]+tblPlan[[#This Row],[Production plan (units)]]-tblPlan[[#This Row],[Demand forecast (units)]])</f>
        <v>900</v>
      </c>
      <c r="K37" s="42">
        <f>IF(tblPlan[[#This Row],[Month]]="","",IF(AND(tblPlan[[#This Row],[Demand forecast (units)]]&gt;0,N(tblPlan[[#This Row],[Working days]])&gt;0),tblPlan[[#This Row],[Closing inv. (units)]]/(tblPlan[[#This Row],[Demand forecast (units)]]/tblPlan[[#This Row],[Working days]]),""))</f>
        <v>7.5</v>
      </c>
      <c r="L37" s="44" t="str">
        <f>IF(tblPlan[[#This Row],[Month]]="","",IF(NOT(ISNUMBER(tblPlan[[#This Row],[Days of supply]])),"",IF(tblPlan[[#This Row],[Days of supply]]&lt;MinDOS,"Below target",IF(tblPlan[[#This Row],[Days of supply]]&gt;MaxDOS,"Above target","On target"))))</f>
        <v>Below target</v>
      </c>
      <c r="M37" s="37">
        <f>IF(tblPlan[[#This Row],[Month]]="","",IFERROR(INDEX(tblFamilies[Good rate (units/h)],MATCH(tblPlan[[#This Row],[Family]],tblFamilies[Family],0)),""))</f>
        <v>21.78</v>
      </c>
      <c r="N37" s="42">
        <f>IF(tblPlan[[#This Row],[Month]]="","",IF(N(tblPlan[[#This Row],[Good rate (units/h)]])&gt;0,tblPlan[[#This Row],[Production plan (units)]]/tblPlan[[#This Row],[Good rate (units/h)]],""))</f>
        <v>91.8273645546373</v>
      </c>
      <c r="O37" s="43">
        <f>IF(tblPlan[[#This Row],[Month]]="","",IFERROR(tblPlan[[#This Row],[Good rate (units/h)]]*tblPlan[[#This Row],[Working days]]*INDEX(tblLines[Hours per day],MATCH(tblPlan[[#This Row],[Line]],tblLines[Line],0))*INDEX(tblLines[Uptime],MATCH(tblPlan[[#This Row],[Line]],tblLines[Line],0)),""))</f>
        <v>3066.624</v>
      </c>
      <c r="P37" s="37">
        <f>IF(tblPlan[[#This Row],[Month]]="","",IFERROR(INDEX(tblFamilies[Price (per unit)],MATCH(tblPlan[[#This Row],[Family]],tblFamilies[Family],0)),""))</f>
        <v>95</v>
      </c>
      <c r="Q37" s="43">
        <f>IF(tblPlan[[#This Row],[Month]]="","",IF(N(tblPlan[[#This Row],[Price (per unit)]])&gt;0,tblPlan[[#This Row],[Demand forecast (units)]]*tblPlan[[#This Row],[Price (per unit)]],""))</f>
        <v>228000</v>
      </c>
      <c r="R37"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37" s="28" t="s">
        <v>113</v>
      </c>
    </row>
    <row r="38" spans="2:19">
      <c r="B38" s="29">
        <v>46508</v>
      </c>
      <c r="C38" s="28" t="s">
        <v>97</v>
      </c>
      <c r="D38" s="36">
        <v>600</v>
      </c>
      <c r="E38" s="36">
        <v>600</v>
      </c>
      <c r="F38" s="41" t="str">
        <f>IF(tblPlan[[#This Row],[Month]]="","",IFERROR(INDEX(tblFamilies[Line],MATCH(tblPlan[[#This Row],[Family]],tblFamilies[Family],0)),""))</f>
        <v>Line B</v>
      </c>
      <c r="G38" s="42">
        <f>IF(tblPlan[[#This Row],[Month]]="","",IFERROR(INDEX($D$6:$O$6,MATCH(tblPlan[[#This Row],[Month]],$D$5:$O$5,0)),""))</f>
        <v>20</v>
      </c>
      <c r="H38" s="43">
        <f>IF(tblPlan[[#This Row],[Month]]="","",IFERROR(INDEX(tblFamilies[Opening inventory (units)],MATCH(tblPlan[[#This Row],[Family]],tblFamilies[Family],0)),""))</f>
        <v>1200</v>
      </c>
      <c r="I38" s="43">
        <f>IF(tblPlan[[#This Row],[Month]]="","",tblPlan[[#This Row],[Start inv. (units)]]+SUMIFS(tblPlan[Production plan (units)],tblPlan[Family],tblPlan[[#This Row],[Family]],tblPlan[Month],"&lt;"&amp;tblPlan[[#This Row],[Month]])-SUMIFS(tblPlan[Demand forecast (units)],tblPlan[Family],tblPlan[[#This Row],[Family]],tblPlan[Month],"&lt;"&amp;tblPlan[[#This Row],[Month]]))</f>
        <v>500</v>
      </c>
      <c r="J38" s="43">
        <f>IF(tblPlan[[#This Row],[Month]]="","",tblPlan[[#This Row],[Opening inv. (units)]]+tblPlan[[#This Row],[Production plan (units)]]-tblPlan[[#This Row],[Demand forecast (units)]])</f>
        <v>500</v>
      </c>
      <c r="K38" s="42">
        <f>IF(tblPlan[[#This Row],[Month]]="","",IF(AND(tblPlan[[#This Row],[Demand forecast (units)]]&gt;0,N(tblPlan[[#This Row],[Working days]])&gt;0),tblPlan[[#This Row],[Closing inv. (units)]]/(tblPlan[[#This Row],[Demand forecast (units)]]/tblPlan[[#This Row],[Working days]]),""))</f>
        <v>16.6666666666667</v>
      </c>
      <c r="L38" s="44" t="str">
        <f>IF(tblPlan[[#This Row],[Month]]="","",IF(NOT(ISNUMBER(tblPlan[[#This Row],[Days of supply]])),"",IF(tblPlan[[#This Row],[Days of supply]]&lt;MinDOS,"Below target",IF(tblPlan[[#This Row],[Days of supply]]&gt;MaxDOS,"Above target","On target"))))</f>
        <v>On target</v>
      </c>
      <c r="M38" s="37">
        <f>IF(tblPlan[[#This Row],[Month]]="","",IFERROR(INDEX(tblFamilies[Good rate (units/h)],MATCH(tblPlan[[#This Row],[Family]],tblFamilies[Family],0)),""))</f>
        <v>19.8</v>
      </c>
      <c r="N38" s="42">
        <f>IF(tblPlan[[#This Row],[Month]]="","",IF(N(tblPlan[[#This Row],[Good rate (units/h)]])&gt;0,tblPlan[[#This Row],[Production plan (units)]]/tblPlan[[#This Row],[Good rate (units/h)]],""))</f>
        <v>30.3030303030303</v>
      </c>
      <c r="O38" s="43">
        <f>IF(tblPlan[[#This Row],[Month]]="","",IFERROR(tblPlan[[#This Row],[Good rate (units/h)]]*tblPlan[[#This Row],[Working days]]*INDEX(tblLines[Hours per day],MATCH(tblPlan[[#This Row],[Line]],tblLines[Line],0))*INDEX(tblLines[Uptime],MATCH(tblPlan[[#This Row],[Line]],tblLines[Line],0)),""))</f>
        <v>2787.84</v>
      </c>
      <c r="P38" s="37">
        <f>IF(tblPlan[[#This Row],[Month]]="","",IFERROR(INDEX(tblFamilies[Price (per unit)],MATCH(tblPlan[[#This Row],[Family]],tblFamilies[Family],0)),""))</f>
        <v>140</v>
      </c>
      <c r="Q38" s="43">
        <f>IF(tblPlan[[#This Row],[Month]]="","",IF(N(tblPlan[[#This Row],[Price (per unit)]])&gt;0,tblPlan[[#This Row],[Demand forecast (units)]]*tblPlan[[#This Row],[Price (per unit)]],""))</f>
        <v>84000</v>
      </c>
      <c r="R38"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38" s="28" t="s">
        <v>113</v>
      </c>
    </row>
    <row r="39" spans="2:19">
      <c r="B39" s="29">
        <v>46539</v>
      </c>
      <c r="C39" s="28" t="s">
        <v>91</v>
      </c>
      <c r="D39" s="36">
        <v>3600</v>
      </c>
      <c r="E39" s="36">
        <v>3200</v>
      </c>
      <c r="F39" s="41" t="str">
        <f>IF(tblPlan[[#This Row],[Month]]="","",IFERROR(INDEX(tblFamilies[Line],MATCH(tblPlan[[#This Row],[Family]],tblFamilies[Family],0)),""))</f>
        <v>Line A</v>
      </c>
      <c r="G39" s="42">
        <f>IF(tblPlan[[#This Row],[Month]]="","",IFERROR(INDEX($D$6:$O$6,MATCH(tblPlan[[#This Row],[Month]],$D$5:$O$5,0)),""))</f>
        <v>22</v>
      </c>
      <c r="H39" s="43">
        <f>IF(tblPlan[[#This Row],[Month]]="","",IFERROR(INDEX(tblFamilies[Opening inventory (units)],MATCH(tblPlan[[#This Row],[Family]],tblFamilies[Family],0)),""))</f>
        <v>1500</v>
      </c>
      <c r="I39" s="43">
        <f>IF(tblPlan[[#This Row],[Month]]="","",tblPlan[[#This Row],[Start inv. (units)]]+SUMIFS(tblPlan[Production plan (units)],tblPlan[Family],tblPlan[[#This Row],[Family]],tblPlan[Month],"&lt;"&amp;tblPlan[[#This Row],[Month]])-SUMIFS(tblPlan[Demand forecast (units)],tblPlan[Family],tblPlan[[#This Row],[Family]],tblPlan[Month],"&lt;"&amp;tblPlan[[#This Row],[Month]]))</f>
        <v>3800</v>
      </c>
      <c r="J39" s="43">
        <f>IF(tblPlan[[#This Row],[Month]]="","",tblPlan[[#This Row],[Opening inv. (units)]]+tblPlan[[#This Row],[Production plan (units)]]-tblPlan[[#This Row],[Demand forecast (units)]])</f>
        <v>3400</v>
      </c>
      <c r="K39" s="42">
        <f>IF(tblPlan[[#This Row],[Month]]="","",IF(AND(tblPlan[[#This Row],[Demand forecast (units)]]&gt;0,N(tblPlan[[#This Row],[Working days]])&gt;0),tblPlan[[#This Row],[Closing inv. (units)]]/(tblPlan[[#This Row],[Demand forecast (units)]]/tblPlan[[#This Row],[Working days]]),""))</f>
        <v>20.7777777777778</v>
      </c>
      <c r="L39" s="44" t="str">
        <f>IF(tblPlan[[#This Row],[Month]]="","",IF(NOT(ISNUMBER(tblPlan[[#This Row],[Days of supply]])),"",IF(tblPlan[[#This Row],[Days of supply]]&lt;MinDOS,"Below target",IF(tblPlan[[#This Row],[Days of supply]]&gt;MaxDOS,"Above target","On target"))))</f>
        <v>On target</v>
      </c>
      <c r="M39" s="37">
        <f>IF(tblPlan[[#This Row],[Month]]="","",IFERROR(INDEX(tblFamilies[Good rate (units/h)],MATCH(tblPlan[[#This Row],[Family]],tblFamilies[Family],0)),""))</f>
        <v>14.7</v>
      </c>
      <c r="N39" s="42">
        <f>IF(tblPlan[[#This Row],[Month]]="","",IF(N(tblPlan[[#This Row],[Good rate (units/h)]])&gt;0,tblPlan[[#This Row],[Production plan (units)]]/tblPlan[[#This Row],[Good rate (units/h)]],""))</f>
        <v>217.687074829932</v>
      </c>
      <c r="O39" s="43">
        <f>IF(tblPlan[[#This Row],[Month]]="","",IFERROR(tblPlan[[#This Row],[Good rate (units/h)]]*tblPlan[[#This Row],[Working days]]*INDEX(tblLines[Hours per day],MATCH(tblPlan[[#This Row],[Line]],tblLines[Line],0))*INDEX(tblLines[Uptime],MATCH(tblPlan[[#This Row],[Line]],tblLines[Line],0)),""))</f>
        <v>4398.24</v>
      </c>
      <c r="P39" s="37">
        <f>IF(tblPlan[[#This Row],[Month]]="","",IFERROR(INDEX(tblFamilies[Price (per unit)],MATCH(tblPlan[[#This Row],[Family]],tblFamilies[Family],0)),""))</f>
        <v>420</v>
      </c>
      <c r="Q39" s="43">
        <f>IF(tblPlan[[#This Row],[Month]]="","",IF(N(tblPlan[[#This Row],[Price (per unit)]])&gt;0,tblPlan[[#This Row],[Demand forecast (units)]]*tblPlan[[#This Row],[Price (per unit)]],""))</f>
        <v>1512000</v>
      </c>
      <c r="R39"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39" s="28" t="s">
        <v>113</v>
      </c>
    </row>
    <row r="40" spans="2:19">
      <c r="B40" s="29">
        <v>46539</v>
      </c>
      <c r="C40" s="28" t="s">
        <v>93</v>
      </c>
      <c r="D40" s="36">
        <v>50</v>
      </c>
      <c r="E40" s="36">
        <v>0</v>
      </c>
      <c r="F40" s="41" t="str">
        <f>IF(tblPlan[[#This Row],[Month]]="","",IFERROR(INDEX(tblFamilies[Line],MATCH(tblPlan[[#This Row],[Family]],tblFamilies[Family],0)),""))</f>
        <v>Line A</v>
      </c>
      <c r="G40" s="42">
        <f>IF(tblPlan[[#This Row],[Month]]="","",IFERROR(INDEX($D$6:$O$6,MATCH(tblPlan[[#This Row],[Month]],$D$5:$O$5,0)),""))</f>
        <v>22</v>
      </c>
      <c r="H40" s="43">
        <f>IF(tblPlan[[#This Row],[Month]]="","",IFERROR(INDEX(tblFamilies[Opening inventory (units)],MATCH(tblPlan[[#This Row],[Family]],tblFamilies[Family],0)),""))</f>
        <v>1800</v>
      </c>
      <c r="I40" s="43">
        <f>IF(tblPlan[[#This Row],[Month]]="","",tblPlan[[#This Row],[Start inv. (units)]]+SUMIFS(tblPlan[Production plan (units)],tblPlan[Family],tblPlan[[#This Row],[Family]],tblPlan[Month],"&lt;"&amp;tblPlan[[#This Row],[Month]])-SUMIFS(tblPlan[Demand forecast (units)],tblPlan[Family],tblPlan[[#This Row],[Family]],tblPlan[Month],"&lt;"&amp;tblPlan[[#This Row],[Month]]))</f>
        <v>100</v>
      </c>
      <c r="J40" s="43">
        <f>IF(tblPlan[[#This Row],[Month]]="","",tblPlan[[#This Row],[Opening inv. (units)]]+tblPlan[[#This Row],[Production plan (units)]]-tblPlan[[#This Row],[Demand forecast (units)]])</f>
        <v>50</v>
      </c>
      <c r="K40" s="42">
        <f>IF(tblPlan[[#This Row],[Month]]="","",IF(AND(tblPlan[[#This Row],[Demand forecast (units)]]&gt;0,N(tblPlan[[#This Row],[Working days]])&gt;0),tblPlan[[#This Row],[Closing inv. (units)]]/(tblPlan[[#This Row],[Demand forecast (units)]]/tblPlan[[#This Row],[Working days]]),""))</f>
        <v>22</v>
      </c>
      <c r="L40" s="44" t="str">
        <f>IF(tblPlan[[#This Row],[Month]]="","",IF(NOT(ISNUMBER(tblPlan[[#This Row],[Days of supply]])),"",IF(tblPlan[[#This Row],[Days of supply]]&lt;MinDOS,"Below target",IF(tblPlan[[#This Row],[Days of supply]]&gt;MaxDOS,"Above target","On target"))))</f>
        <v>On target</v>
      </c>
      <c r="M40" s="37">
        <f>IF(tblPlan[[#This Row],[Month]]="","",IFERROR(INDEX(tblFamilies[Good rate (units/h)],MATCH(tblPlan[[#This Row],[Family]],tblFamilies[Family],0)),""))</f>
        <v>13.72</v>
      </c>
      <c r="N40" s="42">
        <f>IF(tblPlan[[#This Row],[Month]]="","",IF(N(tblPlan[[#This Row],[Good rate (units/h)]])&gt;0,tblPlan[[#This Row],[Production plan (units)]]/tblPlan[[#This Row],[Good rate (units/h)]],""))</f>
        <v>0</v>
      </c>
      <c r="O40" s="43">
        <f>IF(tblPlan[[#This Row],[Month]]="","",IFERROR(tblPlan[[#This Row],[Good rate (units/h)]]*tblPlan[[#This Row],[Working days]]*INDEX(tblLines[Hours per day],MATCH(tblPlan[[#This Row],[Line]],tblLines[Line],0))*INDEX(tblLines[Uptime],MATCH(tblPlan[[#This Row],[Line]],tblLines[Line],0)),""))</f>
        <v>4105.024</v>
      </c>
      <c r="P40" s="37">
        <f>IF(tblPlan[[#This Row],[Month]]="","",IFERROR(INDEX(tblFamilies[Price (per unit)],MATCH(tblPlan[[#This Row],[Family]],tblFamilies[Family],0)),""))</f>
        <v>650</v>
      </c>
      <c r="Q40" s="43">
        <f>IF(tblPlan[[#This Row],[Month]]="","",IF(N(tblPlan[[#This Row],[Price (per unit)]])&gt;0,tblPlan[[#This Row],[Demand forecast (units)]]*tblPlan[[#This Row],[Price (per unit)]],""))</f>
        <v>32500</v>
      </c>
      <c r="R40"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40" s="28" t="s">
        <v>113</v>
      </c>
    </row>
    <row r="41" spans="2:19">
      <c r="B41" s="29">
        <v>46539</v>
      </c>
      <c r="C41" s="28" t="s">
        <v>95</v>
      </c>
      <c r="D41" s="36">
        <v>2100</v>
      </c>
      <c r="E41" s="36">
        <v>1900</v>
      </c>
      <c r="F41" s="41" t="str">
        <f>IF(tblPlan[[#This Row],[Month]]="","",IFERROR(INDEX(tblFamilies[Line],MATCH(tblPlan[[#This Row],[Family]],tblFamilies[Family],0)),""))</f>
        <v>Line B</v>
      </c>
      <c r="G41" s="42">
        <f>IF(tblPlan[[#This Row],[Month]]="","",IFERROR(INDEX($D$6:$O$6,MATCH(tblPlan[[#This Row],[Month]],$D$5:$O$5,0)),""))</f>
        <v>22</v>
      </c>
      <c r="H41" s="43">
        <f>IF(tblPlan[[#This Row],[Month]]="","",IFERROR(INDEX(tblFamilies[Opening inventory (units)],MATCH(tblPlan[[#This Row],[Family]],tblFamilies[Family],0)),""))</f>
        <v>900</v>
      </c>
      <c r="I41" s="43">
        <f>IF(tblPlan[[#This Row],[Month]]="","",tblPlan[[#This Row],[Start inv. (units)]]+SUMIFS(tblPlan[Production plan (units)],tblPlan[Family],tblPlan[[#This Row],[Family]],tblPlan[Month],"&lt;"&amp;tblPlan[[#This Row],[Month]])-SUMIFS(tblPlan[Demand forecast (units)],tblPlan[Family],tblPlan[[#This Row],[Family]],tblPlan[Month],"&lt;"&amp;tblPlan[[#This Row],[Month]]))</f>
        <v>900</v>
      </c>
      <c r="J41" s="43">
        <f>IF(tblPlan[[#This Row],[Month]]="","",tblPlan[[#This Row],[Opening inv. (units)]]+tblPlan[[#This Row],[Production plan (units)]]-tblPlan[[#This Row],[Demand forecast (units)]])</f>
        <v>700</v>
      </c>
      <c r="K41" s="42">
        <f>IF(tblPlan[[#This Row],[Month]]="","",IF(AND(tblPlan[[#This Row],[Demand forecast (units)]]&gt;0,N(tblPlan[[#This Row],[Working days]])&gt;0),tblPlan[[#This Row],[Closing inv. (units)]]/(tblPlan[[#This Row],[Demand forecast (units)]]/tblPlan[[#This Row],[Working days]]),""))</f>
        <v>7.33333333333333</v>
      </c>
      <c r="L41" s="44" t="str">
        <f>IF(tblPlan[[#This Row],[Month]]="","",IF(NOT(ISNUMBER(tblPlan[[#This Row],[Days of supply]])),"",IF(tblPlan[[#This Row],[Days of supply]]&lt;MinDOS,"Below target",IF(tblPlan[[#This Row],[Days of supply]]&gt;MaxDOS,"Above target","On target"))))</f>
        <v>Below target</v>
      </c>
      <c r="M41" s="37">
        <f>IF(tblPlan[[#This Row],[Month]]="","",IFERROR(INDEX(tblFamilies[Good rate (units/h)],MATCH(tblPlan[[#This Row],[Family]],tblFamilies[Family],0)),""))</f>
        <v>21.78</v>
      </c>
      <c r="N41" s="42">
        <f>IF(tblPlan[[#This Row],[Month]]="","",IF(N(tblPlan[[#This Row],[Good rate (units/h)]])&gt;0,tblPlan[[#This Row],[Production plan (units)]]/tblPlan[[#This Row],[Good rate (units/h)]],""))</f>
        <v>87.2359963269054</v>
      </c>
      <c r="O41" s="43">
        <f>IF(tblPlan[[#This Row],[Month]]="","",IFERROR(tblPlan[[#This Row],[Good rate (units/h)]]*tblPlan[[#This Row],[Working days]]*INDEX(tblLines[Hours per day],MATCH(tblPlan[[#This Row],[Line]],tblLines[Line],0))*INDEX(tblLines[Uptime],MATCH(tblPlan[[#This Row],[Line]],tblLines[Line],0)),""))</f>
        <v>3373.2864</v>
      </c>
      <c r="P41" s="37">
        <f>IF(tblPlan[[#This Row],[Month]]="","",IFERROR(INDEX(tblFamilies[Price (per unit)],MATCH(tblPlan[[#This Row],[Family]],tblFamilies[Family],0)),""))</f>
        <v>95</v>
      </c>
      <c r="Q41" s="43">
        <f>IF(tblPlan[[#This Row],[Month]]="","",IF(N(tblPlan[[#This Row],[Price (per unit)]])&gt;0,tblPlan[[#This Row],[Demand forecast (units)]]*tblPlan[[#This Row],[Price (per unit)]],""))</f>
        <v>199500</v>
      </c>
      <c r="R41"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41" s="28" t="s">
        <v>113</v>
      </c>
    </row>
    <row r="42" spans="2:19">
      <c r="B42" s="29">
        <v>46539</v>
      </c>
      <c r="C42" s="28" t="s">
        <v>97</v>
      </c>
      <c r="D42" s="36">
        <v>700</v>
      </c>
      <c r="E42" s="36">
        <v>700</v>
      </c>
      <c r="F42" s="41" t="str">
        <f>IF(tblPlan[[#This Row],[Month]]="","",IFERROR(INDEX(tblFamilies[Line],MATCH(tblPlan[[#This Row],[Family]],tblFamilies[Family],0)),""))</f>
        <v>Line B</v>
      </c>
      <c r="G42" s="42">
        <f>IF(tblPlan[[#This Row],[Month]]="","",IFERROR(INDEX($D$6:$O$6,MATCH(tblPlan[[#This Row],[Month]],$D$5:$O$5,0)),""))</f>
        <v>22</v>
      </c>
      <c r="H42" s="43">
        <f>IF(tblPlan[[#This Row],[Month]]="","",IFERROR(INDEX(tblFamilies[Opening inventory (units)],MATCH(tblPlan[[#This Row],[Family]],tblFamilies[Family],0)),""))</f>
        <v>1200</v>
      </c>
      <c r="I42" s="43">
        <f>IF(tblPlan[[#This Row],[Month]]="","",tblPlan[[#This Row],[Start inv. (units)]]+SUMIFS(tblPlan[Production plan (units)],tblPlan[Family],tblPlan[[#This Row],[Family]],tblPlan[Month],"&lt;"&amp;tblPlan[[#This Row],[Month]])-SUMIFS(tblPlan[Demand forecast (units)],tblPlan[Family],tblPlan[[#This Row],[Family]],tblPlan[Month],"&lt;"&amp;tblPlan[[#This Row],[Month]]))</f>
        <v>500</v>
      </c>
      <c r="J42" s="43">
        <f>IF(tblPlan[[#This Row],[Month]]="","",tblPlan[[#This Row],[Opening inv. (units)]]+tblPlan[[#This Row],[Production plan (units)]]-tblPlan[[#This Row],[Demand forecast (units)]])</f>
        <v>500</v>
      </c>
      <c r="K42" s="42">
        <f>IF(tblPlan[[#This Row],[Month]]="","",IF(AND(tblPlan[[#This Row],[Demand forecast (units)]]&gt;0,N(tblPlan[[#This Row],[Working days]])&gt;0),tblPlan[[#This Row],[Closing inv. (units)]]/(tblPlan[[#This Row],[Demand forecast (units)]]/tblPlan[[#This Row],[Working days]]),""))</f>
        <v>15.7142857142857</v>
      </c>
      <c r="L42" s="44" t="str">
        <f>IF(tblPlan[[#This Row],[Month]]="","",IF(NOT(ISNUMBER(tblPlan[[#This Row],[Days of supply]])),"",IF(tblPlan[[#This Row],[Days of supply]]&lt;MinDOS,"Below target",IF(tblPlan[[#This Row],[Days of supply]]&gt;MaxDOS,"Above target","On target"))))</f>
        <v>On target</v>
      </c>
      <c r="M42" s="37">
        <f>IF(tblPlan[[#This Row],[Month]]="","",IFERROR(INDEX(tblFamilies[Good rate (units/h)],MATCH(tblPlan[[#This Row],[Family]],tblFamilies[Family],0)),""))</f>
        <v>19.8</v>
      </c>
      <c r="N42" s="42">
        <f>IF(tblPlan[[#This Row],[Month]]="","",IF(N(tblPlan[[#This Row],[Good rate (units/h)]])&gt;0,tblPlan[[#This Row],[Production plan (units)]]/tblPlan[[#This Row],[Good rate (units/h)]],""))</f>
        <v>35.3535353535354</v>
      </c>
      <c r="O42" s="43">
        <f>IF(tblPlan[[#This Row],[Month]]="","",IFERROR(tblPlan[[#This Row],[Good rate (units/h)]]*tblPlan[[#This Row],[Working days]]*INDEX(tblLines[Hours per day],MATCH(tblPlan[[#This Row],[Line]],tblLines[Line],0))*INDEX(tblLines[Uptime],MATCH(tblPlan[[#This Row],[Line]],tblLines[Line],0)),""))</f>
        <v>3066.624</v>
      </c>
      <c r="P42" s="37">
        <f>IF(tblPlan[[#This Row],[Month]]="","",IFERROR(INDEX(tblFamilies[Price (per unit)],MATCH(tblPlan[[#This Row],[Family]],tblFamilies[Family],0)),""))</f>
        <v>140</v>
      </c>
      <c r="Q42" s="43">
        <f>IF(tblPlan[[#This Row],[Month]]="","",IF(N(tblPlan[[#This Row],[Price (per unit)]])&gt;0,tblPlan[[#This Row],[Demand forecast (units)]]*tblPlan[[#This Row],[Price (per unit)]],""))</f>
        <v>98000</v>
      </c>
      <c r="R42"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42" s="28" t="s">
        <v>113</v>
      </c>
    </row>
    <row r="43" spans="2:19">
      <c r="B43" s="29">
        <v>46569</v>
      </c>
      <c r="C43" s="28" t="s">
        <v>91</v>
      </c>
      <c r="D43" s="36">
        <v>2400</v>
      </c>
      <c r="E43" s="36">
        <v>1800</v>
      </c>
      <c r="F43" s="41" t="str">
        <f>IF(tblPlan[[#This Row],[Month]]="","",IFERROR(INDEX(tblFamilies[Line],MATCH(tblPlan[[#This Row],[Family]],tblFamilies[Family],0)),""))</f>
        <v>Line A</v>
      </c>
      <c r="G43" s="42">
        <f>IF(tblPlan[[#This Row],[Month]]="","",IFERROR(INDEX($D$6:$O$6,MATCH(tblPlan[[#This Row],[Month]],$D$5:$O$5,0)),""))</f>
        <v>21</v>
      </c>
      <c r="H43" s="43">
        <f>IF(tblPlan[[#This Row],[Month]]="","",IFERROR(INDEX(tblFamilies[Opening inventory (units)],MATCH(tblPlan[[#This Row],[Family]],tblFamilies[Family],0)),""))</f>
        <v>1500</v>
      </c>
      <c r="I43" s="43">
        <f>IF(tblPlan[[#This Row],[Month]]="","",tblPlan[[#This Row],[Start inv. (units)]]+SUMIFS(tblPlan[Production plan (units)],tblPlan[Family],tblPlan[[#This Row],[Family]],tblPlan[Month],"&lt;"&amp;tblPlan[[#This Row],[Month]])-SUMIFS(tblPlan[Demand forecast (units)],tblPlan[Family],tblPlan[[#This Row],[Family]],tblPlan[Month],"&lt;"&amp;tblPlan[[#This Row],[Month]]))</f>
        <v>3400</v>
      </c>
      <c r="J43" s="43">
        <f>IF(tblPlan[[#This Row],[Month]]="","",tblPlan[[#This Row],[Opening inv. (units)]]+tblPlan[[#This Row],[Production plan (units)]]-tblPlan[[#This Row],[Demand forecast (units)]])</f>
        <v>2800</v>
      </c>
      <c r="K43" s="42">
        <f>IF(tblPlan[[#This Row],[Month]]="","",IF(AND(tblPlan[[#This Row],[Demand forecast (units)]]&gt;0,N(tblPlan[[#This Row],[Working days]])&gt;0),tblPlan[[#This Row],[Closing inv. (units)]]/(tblPlan[[#This Row],[Demand forecast (units)]]/tblPlan[[#This Row],[Working days]]),""))</f>
        <v>24.5</v>
      </c>
      <c r="L43" s="44" t="str">
        <f>IF(tblPlan[[#This Row],[Month]]="","",IF(NOT(ISNUMBER(tblPlan[[#This Row],[Days of supply]])),"",IF(tblPlan[[#This Row],[Days of supply]]&lt;MinDOS,"Below target",IF(tblPlan[[#This Row],[Days of supply]]&gt;MaxDOS,"Above target","On target"))))</f>
        <v>On target</v>
      </c>
      <c r="M43" s="37">
        <f>IF(tblPlan[[#This Row],[Month]]="","",IFERROR(INDEX(tblFamilies[Good rate (units/h)],MATCH(tblPlan[[#This Row],[Family]],tblFamilies[Family],0)),""))</f>
        <v>14.7</v>
      </c>
      <c r="N43" s="42">
        <f>IF(tblPlan[[#This Row],[Month]]="","",IF(N(tblPlan[[#This Row],[Good rate (units/h)]])&gt;0,tblPlan[[#This Row],[Production plan (units)]]/tblPlan[[#This Row],[Good rate (units/h)]],""))</f>
        <v>122.448979591837</v>
      </c>
      <c r="O43" s="43">
        <f>IF(tblPlan[[#This Row],[Month]]="","",IFERROR(tblPlan[[#This Row],[Good rate (units/h)]]*tblPlan[[#This Row],[Working days]]*INDEX(tblLines[Hours per day],MATCH(tblPlan[[#This Row],[Line]],tblLines[Line],0))*INDEX(tblLines[Uptime],MATCH(tblPlan[[#This Row],[Line]],tblLines[Line],0)),""))</f>
        <v>4198.32</v>
      </c>
      <c r="P43" s="37">
        <f>IF(tblPlan[[#This Row],[Month]]="","",IFERROR(INDEX(tblFamilies[Price (per unit)],MATCH(tblPlan[[#This Row],[Family]],tblFamilies[Family],0)),""))</f>
        <v>420</v>
      </c>
      <c r="Q43" s="43">
        <f>IF(tblPlan[[#This Row],[Month]]="","",IF(N(tblPlan[[#This Row],[Price (per unit)]])&gt;0,tblPlan[[#This Row],[Demand forecast (units)]]*tblPlan[[#This Row],[Price (per unit)]],""))</f>
        <v>1008000</v>
      </c>
      <c r="R43"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43" s="28" t="s">
        <v>113</v>
      </c>
    </row>
    <row r="44" spans="2:19">
      <c r="B44" s="29">
        <v>46569</v>
      </c>
      <c r="C44" s="28" t="s">
        <v>93</v>
      </c>
      <c r="D44" s="36">
        <v>100</v>
      </c>
      <c r="E44" s="36">
        <v>300</v>
      </c>
      <c r="F44" s="41" t="str">
        <f>IF(tblPlan[[#This Row],[Month]]="","",IFERROR(INDEX(tblFamilies[Line],MATCH(tblPlan[[#This Row],[Family]],tblFamilies[Family],0)),""))</f>
        <v>Line A</v>
      </c>
      <c r="G44" s="42">
        <f>IF(tblPlan[[#This Row],[Month]]="","",IFERROR(INDEX($D$6:$O$6,MATCH(tblPlan[[#This Row],[Month]],$D$5:$O$5,0)),""))</f>
        <v>21</v>
      </c>
      <c r="H44" s="43">
        <f>IF(tblPlan[[#This Row],[Month]]="","",IFERROR(INDEX(tblFamilies[Opening inventory (units)],MATCH(tblPlan[[#This Row],[Family]],tblFamilies[Family],0)),""))</f>
        <v>1800</v>
      </c>
      <c r="I44" s="43">
        <f>IF(tblPlan[[#This Row],[Month]]="","",tblPlan[[#This Row],[Start inv. (units)]]+SUMIFS(tblPlan[Production plan (units)],tblPlan[Family],tblPlan[[#This Row],[Family]],tblPlan[Month],"&lt;"&amp;tblPlan[[#This Row],[Month]])-SUMIFS(tblPlan[Demand forecast (units)],tblPlan[Family],tblPlan[[#This Row],[Family]],tblPlan[Month],"&lt;"&amp;tblPlan[[#This Row],[Month]]))</f>
        <v>50</v>
      </c>
      <c r="J44" s="43">
        <f>IF(tblPlan[[#This Row],[Month]]="","",tblPlan[[#This Row],[Opening inv. (units)]]+tblPlan[[#This Row],[Production plan (units)]]-tblPlan[[#This Row],[Demand forecast (units)]])</f>
        <v>250</v>
      </c>
      <c r="K44" s="42">
        <f>IF(tblPlan[[#This Row],[Month]]="","",IF(AND(tblPlan[[#This Row],[Demand forecast (units)]]&gt;0,N(tblPlan[[#This Row],[Working days]])&gt;0),tblPlan[[#This Row],[Closing inv. (units)]]/(tblPlan[[#This Row],[Demand forecast (units)]]/tblPlan[[#This Row],[Working days]]),""))</f>
        <v>52.5</v>
      </c>
      <c r="L44" s="44" t="str">
        <f>IF(tblPlan[[#This Row],[Month]]="","",IF(NOT(ISNUMBER(tblPlan[[#This Row],[Days of supply]])),"",IF(tblPlan[[#This Row],[Days of supply]]&lt;MinDOS,"Below target",IF(tblPlan[[#This Row],[Days of supply]]&gt;MaxDOS,"Above target","On target"))))</f>
        <v>Above target</v>
      </c>
      <c r="M44" s="37">
        <f>IF(tblPlan[[#This Row],[Month]]="","",IFERROR(INDEX(tblFamilies[Good rate (units/h)],MATCH(tblPlan[[#This Row],[Family]],tblFamilies[Family],0)),""))</f>
        <v>13.72</v>
      </c>
      <c r="N44" s="42">
        <f>IF(tblPlan[[#This Row],[Month]]="","",IF(N(tblPlan[[#This Row],[Good rate (units/h)]])&gt;0,tblPlan[[#This Row],[Production plan (units)]]/tblPlan[[#This Row],[Good rate (units/h)]],""))</f>
        <v>21.865889212828</v>
      </c>
      <c r="O44" s="43">
        <f>IF(tblPlan[[#This Row],[Month]]="","",IFERROR(tblPlan[[#This Row],[Good rate (units/h)]]*tblPlan[[#This Row],[Working days]]*INDEX(tblLines[Hours per day],MATCH(tblPlan[[#This Row],[Line]],tblLines[Line],0))*INDEX(tblLines[Uptime],MATCH(tblPlan[[#This Row],[Line]],tblLines[Line],0)),""))</f>
        <v>3918.432</v>
      </c>
      <c r="P44" s="37">
        <f>IF(tblPlan[[#This Row],[Month]]="","",IFERROR(INDEX(tblFamilies[Price (per unit)],MATCH(tblPlan[[#This Row],[Family]],tblFamilies[Family],0)),""))</f>
        <v>650</v>
      </c>
      <c r="Q44" s="43">
        <f>IF(tblPlan[[#This Row],[Month]]="","",IF(N(tblPlan[[#This Row],[Price (per unit)]])&gt;0,tblPlan[[#This Row],[Demand forecast (units)]]*tblPlan[[#This Row],[Price (per unit)]],""))</f>
        <v>65000</v>
      </c>
      <c r="R44"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44" s="28" t="s">
        <v>113</v>
      </c>
    </row>
    <row r="45" spans="2:19">
      <c r="B45" s="29">
        <v>46569</v>
      </c>
      <c r="C45" s="28" t="s">
        <v>95</v>
      </c>
      <c r="D45" s="36">
        <v>1600</v>
      </c>
      <c r="E45" s="36">
        <v>1500</v>
      </c>
      <c r="F45" s="41" t="str">
        <f>IF(tblPlan[[#This Row],[Month]]="","",IFERROR(INDEX(tblFamilies[Line],MATCH(tblPlan[[#This Row],[Family]],tblFamilies[Family],0)),""))</f>
        <v>Line B</v>
      </c>
      <c r="G45" s="42">
        <f>IF(tblPlan[[#This Row],[Month]]="","",IFERROR(INDEX($D$6:$O$6,MATCH(tblPlan[[#This Row],[Month]],$D$5:$O$5,0)),""))</f>
        <v>21</v>
      </c>
      <c r="H45" s="43">
        <f>IF(tblPlan[[#This Row],[Month]]="","",IFERROR(INDEX(tblFamilies[Opening inventory (units)],MATCH(tblPlan[[#This Row],[Family]],tblFamilies[Family],0)),""))</f>
        <v>900</v>
      </c>
      <c r="I45" s="43">
        <f>IF(tblPlan[[#This Row],[Month]]="","",tblPlan[[#This Row],[Start inv. (units)]]+SUMIFS(tblPlan[Production plan (units)],tblPlan[Family],tblPlan[[#This Row],[Family]],tblPlan[Month],"&lt;"&amp;tblPlan[[#This Row],[Month]])-SUMIFS(tblPlan[Demand forecast (units)],tblPlan[Family],tblPlan[[#This Row],[Family]],tblPlan[Month],"&lt;"&amp;tblPlan[[#This Row],[Month]]))</f>
        <v>700</v>
      </c>
      <c r="J45" s="43">
        <f>IF(tblPlan[[#This Row],[Month]]="","",tblPlan[[#This Row],[Opening inv. (units)]]+tblPlan[[#This Row],[Production plan (units)]]-tblPlan[[#This Row],[Demand forecast (units)]])</f>
        <v>600</v>
      </c>
      <c r="K45" s="42">
        <f>IF(tblPlan[[#This Row],[Month]]="","",IF(AND(tblPlan[[#This Row],[Demand forecast (units)]]&gt;0,N(tblPlan[[#This Row],[Working days]])&gt;0),tblPlan[[#This Row],[Closing inv. (units)]]/(tblPlan[[#This Row],[Demand forecast (units)]]/tblPlan[[#This Row],[Working days]]),""))</f>
        <v>7.875</v>
      </c>
      <c r="L45" s="44" t="str">
        <f>IF(tblPlan[[#This Row],[Month]]="","",IF(NOT(ISNUMBER(tblPlan[[#This Row],[Days of supply]])),"",IF(tblPlan[[#This Row],[Days of supply]]&lt;MinDOS,"Below target",IF(tblPlan[[#This Row],[Days of supply]]&gt;MaxDOS,"Above target","On target"))))</f>
        <v>Below target</v>
      </c>
      <c r="M45" s="37">
        <f>IF(tblPlan[[#This Row],[Month]]="","",IFERROR(INDEX(tblFamilies[Good rate (units/h)],MATCH(tblPlan[[#This Row],[Family]],tblFamilies[Family],0)),""))</f>
        <v>21.78</v>
      </c>
      <c r="N45" s="42">
        <f>IF(tblPlan[[#This Row],[Month]]="","",IF(N(tblPlan[[#This Row],[Good rate (units/h)]])&gt;0,tblPlan[[#This Row],[Production plan (units)]]/tblPlan[[#This Row],[Good rate (units/h)]],""))</f>
        <v>68.870523415978</v>
      </c>
      <c r="O45" s="43">
        <f>IF(tblPlan[[#This Row],[Month]]="","",IFERROR(tblPlan[[#This Row],[Good rate (units/h)]]*tblPlan[[#This Row],[Working days]]*INDEX(tblLines[Hours per day],MATCH(tblPlan[[#This Row],[Line]],tblLines[Line],0))*INDEX(tblLines[Uptime],MATCH(tblPlan[[#This Row],[Line]],tblLines[Line],0)),""))</f>
        <v>3219.9552</v>
      </c>
      <c r="P45" s="37">
        <f>IF(tblPlan[[#This Row],[Month]]="","",IFERROR(INDEX(tblFamilies[Price (per unit)],MATCH(tblPlan[[#This Row],[Family]],tblFamilies[Family],0)),""))</f>
        <v>95</v>
      </c>
      <c r="Q45" s="43">
        <f>IF(tblPlan[[#This Row],[Month]]="","",IF(N(tblPlan[[#This Row],[Price (per unit)]])&gt;0,tblPlan[[#This Row],[Demand forecast (units)]]*tblPlan[[#This Row],[Price (per unit)]],""))</f>
        <v>152000</v>
      </c>
      <c r="R45"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45" s="28" t="s">
        <v>113</v>
      </c>
    </row>
    <row r="46" spans="2:19">
      <c r="B46" s="29">
        <v>46569</v>
      </c>
      <c r="C46" s="28" t="s">
        <v>97</v>
      </c>
      <c r="D46" s="36">
        <v>900</v>
      </c>
      <c r="E46" s="36">
        <v>1000</v>
      </c>
      <c r="F46" s="41" t="str">
        <f>IF(tblPlan[[#This Row],[Month]]="","",IFERROR(INDEX(tblFamilies[Line],MATCH(tblPlan[[#This Row],[Family]],tblFamilies[Family],0)),""))</f>
        <v>Line B</v>
      </c>
      <c r="G46" s="42">
        <f>IF(tblPlan[[#This Row],[Month]]="","",IFERROR(INDEX($D$6:$O$6,MATCH(tblPlan[[#This Row],[Month]],$D$5:$O$5,0)),""))</f>
        <v>21</v>
      </c>
      <c r="H46" s="43">
        <f>IF(tblPlan[[#This Row],[Month]]="","",IFERROR(INDEX(tblFamilies[Opening inventory (units)],MATCH(tblPlan[[#This Row],[Family]],tblFamilies[Family],0)),""))</f>
        <v>1200</v>
      </c>
      <c r="I46" s="43">
        <f>IF(tblPlan[[#This Row],[Month]]="","",tblPlan[[#This Row],[Start inv. (units)]]+SUMIFS(tblPlan[Production plan (units)],tblPlan[Family],tblPlan[[#This Row],[Family]],tblPlan[Month],"&lt;"&amp;tblPlan[[#This Row],[Month]])-SUMIFS(tblPlan[Demand forecast (units)],tblPlan[Family],tblPlan[[#This Row],[Family]],tblPlan[Month],"&lt;"&amp;tblPlan[[#This Row],[Month]]))</f>
        <v>500</v>
      </c>
      <c r="J46" s="43">
        <f>IF(tblPlan[[#This Row],[Month]]="","",tblPlan[[#This Row],[Opening inv. (units)]]+tblPlan[[#This Row],[Production plan (units)]]-tblPlan[[#This Row],[Demand forecast (units)]])</f>
        <v>600</v>
      </c>
      <c r="K46" s="42">
        <f>IF(tblPlan[[#This Row],[Month]]="","",IF(AND(tblPlan[[#This Row],[Demand forecast (units)]]&gt;0,N(tblPlan[[#This Row],[Working days]])&gt;0),tblPlan[[#This Row],[Closing inv. (units)]]/(tblPlan[[#This Row],[Demand forecast (units)]]/tblPlan[[#This Row],[Working days]]),""))</f>
        <v>14</v>
      </c>
      <c r="L46" s="44" t="str">
        <f>IF(tblPlan[[#This Row],[Month]]="","",IF(NOT(ISNUMBER(tblPlan[[#This Row],[Days of supply]])),"",IF(tblPlan[[#This Row],[Days of supply]]&lt;MinDOS,"Below target",IF(tblPlan[[#This Row],[Days of supply]]&gt;MaxDOS,"Above target","On target"))))</f>
        <v>On target</v>
      </c>
      <c r="M46" s="37">
        <f>IF(tblPlan[[#This Row],[Month]]="","",IFERROR(INDEX(tblFamilies[Good rate (units/h)],MATCH(tblPlan[[#This Row],[Family]],tblFamilies[Family],0)),""))</f>
        <v>19.8</v>
      </c>
      <c r="N46" s="42">
        <f>IF(tblPlan[[#This Row],[Month]]="","",IF(N(tblPlan[[#This Row],[Good rate (units/h)]])&gt;0,tblPlan[[#This Row],[Production plan (units)]]/tblPlan[[#This Row],[Good rate (units/h)]],""))</f>
        <v>50.5050505050505</v>
      </c>
      <c r="O46" s="43">
        <f>IF(tblPlan[[#This Row],[Month]]="","",IFERROR(tblPlan[[#This Row],[Good rate (units/h)]]*tblPlan[[#This Row],[Working days]]*INDEX(tblLines[Hours per day],MATCH(tblPlan[[#This Row],[Line]],tblLines[Line],0))*INDEX(tblLines[Uptime],MATCH(tblPlan[[#This Row],[Line]],tblLines[Line],0)),""))</f>
        <v>2927.232</v>
      </c>
      <c r="P46" s="37">
        <f>IF(tblPlan[[#This Row],[Month]]="","",IFERROR(INDEX(tblFamilies[Price (per unit)],MATCH(tblPlan[[#This Row],[Family]],tblFamilies[Family],0)),""))</f>
        <v>140</v>
      </c>
      <c r="Q46" s="43">
        <f>IF(tblPlan[[#This Row],[Month]]="","",IF(N(tblPlan[[#This Row],[Price (per unit)]])&gt;0,tblPlan[[#This Row],[Demand forecast (units)]]*tblPlan[[#This Row],[Price (per unit)]],""))</f>
        <v>126000</v>
      </c>
      <c r="R46"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46" s="28" t="s">
        <v>113</v>
      </c>
    </row>
    <row r="47" spans="2:19">
      <c r="B47" s="29">
        <v>46600</v>
      </c>
      <c r="C47" s="28" t="s">
        <v>91</v>
      </c>
      <c r="D47" s="36">
        <v>1500</v>
      </c>
      <c r="E47" s="36">
        <v>1000</v>
      </c>
      <c r="F47" s="41" t="str">
        <f>IF(tblPlan[[#This Row],[Month]]="","",IFERROR(INDEX(tblFamilies[Line],MATCH(tblPlan[[#This Row],[Family]],tblFamilies[Family],0)),""))</f>
        <v>Line A</v>
      </c>
      <c r="G47" s="42">
        <f>IF(tblPlan[[#This Row],[Month]]="","",IFERROR(INDEX($D$6:$O$6,MATCH(tblPlan[[#This Row],[Month]],$D$5:$O$5,0)),""))</f>
        <v>22</v>
      </c>
      <c r="H47" s="43">
        <f>IF(tblPlan[[#This Row],[Month]]="","",IFERROR(INDEX(tblFamilies[Opening inventory (units)],MATCH(tblPlan[[#This Row],[Family]],tblFamilies[Family],0)),""))</f>
        <v>1500</v>
      </c>
      <c r="I47" s="43">
        <f>IF(tblPlan[[#This Row],[Month]]="","",tblPlan[[#This Row],[Start inv. (units)]]+SUMIFS(tblPlan[Production plan (units)],tblPlan[Family],tblPlan[[#This Row],[Family]],tblPlan[Month],"&lt;"&amp;tblPlan[[#This Row],[Month]])-SUMIFS(tblPlan[Demand forecast (units)],tblPlan[Family],tblPlan[[#This Row],[Family]],tblPlan[Month],"&lt;"&amp;tblPlan[[#This Row],[Month]]))</f>
        <v>2800</v>
      </c>
      <c r="J47" s="43">
        <f>IF(tblPlan[[#This Row],[Month]]="","",tblPlan[[#This Row],[Opening inv. (units)]]+tblPlan[[#This Row],[Production plan (units)]]-tblPlan[[#This Row],[Demand forecast (units)]])</f>
        <v>2300</v>
      </c>
      <c r="K47" s="42">
        <f>IF(tblPlan[[#This Row],[Month]]="","",IF(AND(tblPlan[[#This Row],[Demand forecast (units)]]&gt;0,N(tblPlan[[#This Row],[Working days]])&gt;0),tblPlan[[#This Row],[Closing inv. (units)]]/(tblPlan[[#This Row],[Demand forecast (units)]]/tblPlan[[#This Row],[Working days]]),""))</f>
        <v>33.7333333333333</v>
      </c>
      <c r="L47" s="44" t="str">
        <f>IF(tblPlan[[#This Row],[Month]]="","",IF(NOT(ISNUMBER(tblPlan[[#This Row],[Days of supply]])),"",IF(tblPlan[[#This Row],[Days of supply]]&lt;MinDOS,"Below target",IF(tblPlan[[#This Row],[Days of supply]]&gt;MaxDOS,"Above target","On target"))))</f>
        <v>On target</v>
      </c>
      <c r="M47" s="37">
        <f>IF(tblPlan[[#This Row],[Month]]="","",IFERROR(INDEX(tblFamilies[Good rate (units/h)],MATCH(tblPlan[[#This Row],[Family]],tblFamilies[Family],0)),""))</f>
        <v>14.7</v>
      </c>
      <c r="N47" s="42">
        <f>IF(tblPlan[[#This Row],[Month]]="","",IF(N(tblPlan[[#This Row],[Good rate (units/h)]])&gt;0,tblPlan[[#This Row],[Production plan (units)]]/tblPlan[[#This Row],[Good rate (units/h)]],""))</f>
        <v>68.0272108843538</v>
      </c>
      <c r="O47" s="43">
        <f>IF(tblPlan[[#This Row],[Month]]="","",IFERROR(tblPlan[[#This Row],[Good rate (units/h)]]*tblPlan[[#This Row],[Working days]]*INDEX(tblLines[Hours per day],MATCH(tblPlan[[#This Row],[Line]],tblLines[Line],0))*INDEX(tblLines[Uptime],MATCH(tblPlan[[#This Row],[Line]],tblLines[Line],0)),""))</f>
        <v>4398.24</v>
      </c>
      <c r="P47" s="37">
        <f>IF(tblPlan[[#This Row],[Month]]="","",IFERROR(INDEX(tblFamilies[Price (per unit)],MATCH(tblPlan[[#This Row],[Family]],tblFamilies[Family],0)),""))</f>
        <v>420</v>
      </c>
      <c r="Q47" s="43">
        <f>IF(tblPlan[[#This Row],[Month]]="","",IF(N(tblPlan[[#This Row],[Price (per unit)]])&gt;0,tblPlan[[#This Row],[Demand forecast (units)]]*tblPlan[[#This Row],[Price (per unit)]],""))</f>
        <v>630000</v>
      </c>
      <c r="R47"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47" s="28" t="s">
        <v>113</v>
      </c>
    </row>
    <row r="48" spans="2:19">
      <c r="B48" s="29">
        <v>46600</v>
      </c>
      <c r="C48" s="28" t="s">
        <v>93</v>
      </c>
      <c r="D48" s="36">
        <v>300</v>
      </c>
      <c r="E48" s="36">
        <v>600</v>
      </c>
      <c r="F48" s="41" t="str">
        <f>IF(tblPlan[[#This Row],[Month]]="","",IFERROR(INDEX(tblFamilies[Line],MATCH(tblPlan[[#This Row],[Family]],tblFamilies[Family],0)),""))</f>
        <v>Line A</v>
      </c>
      <c r="G48" s="42">
        <f>IF(tblPlan[[#This Row],[Month]]="","",IFERROR(INDEX($D$6:$O$6,MATCH(tblPlan[[#This Row],[Month]],$D$5:$O$5,0)),""))</f>
        <v>22</v>
      </c>
      <c r="H48" s="43">
        <f>IF(tblPlan[[#This Row],[Month]]="","",IFERROR(INDEX(tblFamilies[Opening inventory (units)],MATCH(tblPlan[[#This Row],[Family]],tblFamilies[Family],0)),""))</f>
        <v>1800</v>
      </c>
      <c r="I48" s="43">
        <f>IF(tblPlan[[#This Row],[Month]]="","",tblPlan[[#This Row],[Start inv. (units)]]+SUMIFS(tblPlan[Production plan (units)],tblPlan[Family],tblPlan[[#This Row],[Family]],tblPlan[Month],"&lt;"&amp;tblPlan[[#This Row],[Month]])-SUMIFS(tblPlan[Demand forecast (units)],tblPlan[Family],tblPlan[[#This Row],[Family]],tblPlan[Month],"&lt;"&amp;tblPlan[[#This Row],[Month]]))</f>
        <v>250</v>
      </c>
      <c r="J48" s="43">
        <f>IF(tblPlan[[#This Row],[Month]]="","",tblPlan[[#This Row],[Opening inv. (units)]]+tblPlan[[#This Row],[Production plan (units)]]-tblPlan[[#This Row],[Demand forecast (units)]])</f>
        <v>550</v>
      </c>
      <c r="K48" s="42">
        <f>IF(tblPlan[[#This Row],[Month]]="","",IF(AND(tblPlan[[#This Row],[Demand forecast (units)]]&gt;0,N(tblPlan[[#This Row],[Working days]])&gt;0),tblPlan[[#This Row],[Closing inv. (units)]]/(tblPlan[[#This Row],[Demand forecast (units)]]/tblPlan[[#This Row],[Working days]]),""))</f>
        <v>40.3333333333333</v>
      </c>
      <c r="L48" s="44" t="str">
        <f>IF(tblPlan[[#This Row],[Month]]="","",IF(NOT(ISNUMBER(tblPlan[[#This Row],[Days of supply]])),"",IF(tblPlan[[#This Row],[Days of supply]]&lt;MinDOS,"Below target",IF(tblPlan[[#This Row],[Days of supply]]&gt;MaxDOS,"Above target","On target"))))</f>
        <v>Above target</v>
      </c>
      <c r="M48" s="37">
        <f>IF(tblPlan[[#This Row],[Month]]="","",IFERROR(INDEX(tblFamilies[Good rate (units/h)],MATCH(tblPlan[[#This Row],[Family]],tblFamilies[Family],0)),""))</f>
        <v>13.72</v>
      </c>
      <c r="N48" s="42">
        <f>IF(tblPlan[[#This Row],[Month]]="","",IF(N(tblPlan[[#This Row],[Good rate (units/h)]])&gt;0,tblPlan[[#This Row],[Production plan (units)]]/tblPlan[[#This Row],[Good rate (units/h)]],""))</f>
        <v>43.731778425656</v>
      </c>
      <c r="O48" s="43">
        <f>IF(tblPlan[[#This Row],[Month]]="","",IFERROR(tblPlan[[#This Row],[Good rate (units/h)]]*tblPlan[[#This Row],[Working days]]*INDEX(tblLines[Hours per day],MATCH(tblPlan[[#This Row],[Line]],tblLines[Line],0))*INDEX(tblLines[Uptime],MATCH(tblPlan[[#This Row],[Line]],tblLines[Line],0)),""))</f>
        <v>4105.024</v>
      </c>
      <c r="P48" s="37">
        <f>IF(tblPlan[[#This Row],[Month]]="","",IFERROR(INDEX(tblFamilies[Price (per unit)],MATCH(tblPlan[[#This Row],[Family]],tblFamilies[Family],0)),""))</f>
        <v>650</v>
      </c>
      <c r="Q48" s="43">
        <f>IF(tblPlan[[#This Row],[Month]]="","",IF(N(tblPlan[[#This Row],[Price (per unit)]])&gt;0,tblPlan[[#This Row],[Demand forecast (units)]]*tblPlan[[#This Row],[Price (per unit)]],""))</f>
        <v>195000</v>
      </c>
      <c r="R48"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48" s="28" t="s">
        <v>113</v>
      </c>
    </row>
    <row r="49" spans="2:19">
      <c r="B49" s="29">
        <v>46600</v>
      </c>
      <c r="C49" s="28" t="s">
        <v>95</v>
      </c>
      <c r="D49" s="36">
        <v>1100</v>
      </c>
      <c r="E49" s="36">
        <v>1100</v>
      </c>
      <c r="F49" s="41" t="str">
        <f>IF(tblPlan[[#This Row],[Month]]="","",IFERROR(INDEX(tblFamilies[Line],MATCH(tblPlan[[#This Row],[Family]],tblFamilies[Family],0)),""))</f>
        <v>Line B</v>
      </c>
      <c r="G49" s="42">
        <f>IF(tblPlan[[#This Row],[Month]]="","",IFERROR(INDEX($D$6:$O$6,MATCH(tblPlan[[#This Row],[Month]],$D$5:$O$5,0)),""))</f>
        <v>22</v>
      </c>
      <c r="H49" s="43">
        <f>IF(tblPlan[[#This Row],[Month]]="","",IFERROR(INDEX(tblFamilies[Opening inventory (units)],MATCH(tblPlan[[#This Row],[Family]],tblFamilies[Family],0)),""))</f>
        <v>900</v>
      </c>
      <c r="I49" s="43">
        <f>IF(tblPlan[[#This Row],[Month]]="","",tblPlan[[#This Row],[Start inv. (units)]]+SUMIFS(tblPlan[Production plan (units)],tblPlan[Family],tblPlan[[#This Row],[Family]],tblPlan[Month],"&lt;"&amp;tblPlan[[#This Row],[Month]])-SUMIFS(tblPlan[Demand forecast (units)],tblPlan[Family],tblPlan[[#This Row],[Family]],tblPlan[Month],"&lt;"&amp;tblPlan[[#This Row],[Month]]))</f>
        <v>600</v>
      </c>
      <c r="J49" s="43">
        <f>IF(tblPlan[[#This Row],[Month]]="","",tblPlan[[#This Row],[Opening inv. (units)]]+tblPlan[[#This Row],[Production plan (units)]]-tblPlan[[#This Row],[Demand forecast (units)]])</f>
        <v>600</v>
      </c>
      <c r="K49" s="42">
        <f>IF(tblPlan[[#This Row],[Month]]="","",IF(AND(tblPlan[[#This Row],[Demand forecast (units)]]&gt;0,N(tblPlan[[#This Row],[Working days]])&gt;0),tblPlan[[#This Row],[Closing inv. (units)]]/(tblPlan[[#This Row],[Demand forecast (units)]]/tblPlan[[#This Row],[Working days]]),""))</f>
        <v>12</v>
      </c>
      <c r="L49" s="44" t="str">
        <f>IF(tblPlan[[#This Row],[Month]]="","",IF(NOT(ISNUMBER(tblPlan[[#This Row],[Days of supply]])),"",IF(tblPlan[[#This Row],[Days of supply]]&lt;MinDOS,"Below target",IF(tblPlan[[#This Row],[Days of supply]]&gt;MaxDOS,"Above target","On target"))))</f>
        <v>On target</v>
      </c>
      <c r="M49" s="37">
        <f>IF(tblPlan[[#This Row],[Month]]="","",IFERROR(INDEX(tblFamilies[Good rate (units/h)],MATCH(tblPlan[[#This Row],[Family]],tblFamilies[Family],0)),""))</f>
        <v>21.78</v>
      </c>
      <c r="N49" s="42">
        <f>IF(tblPlan[[#This Row],[Month]]="","",IF(N(tblPlan[[#This Row],[Good rate (units/h)]])&gt;0,tblPlan[[#This Row],[Production plan (units)]]/tblPlan[[#This Row],[Good rate (units/h)]],""))</f>
        <v>50.5050505050505</v>
      </c>
      <c r="O49" s="43">
        <f>IF(tblPlan[[#This Row],[Month]]="","",IFERROR(tblPlan[[#This Row],[Good rate (units/h)]]*tblPlan[[#This Row],[Working days]]*INDEX(tblLines[Hours per day],MATCH(tblPlan[[#This Row],[Line]],tblLines[Line],0))*INDEX(tblLines[Uptime],MATCH(tblPlan[[#This Row],[Line]],tblLines[Line],0)),""))</f>
        <v>3373.2864</v>
      </c>
      <c r="P49" s="37">
        <f>IF(tblPlan[[#This Row],[Month]]="","",IFERROR(INDEX(tblFamilies[Price (per unit)],MATCH(tblPlan[[#This Row],[Family]],tblFamilies[Family],0)),""))</f>
        <v>95</v>
      </c>
      <c r="Q49" s="43">
        <f>IF(tblPlan[[#This Row],[Month]]="","",IF(N(tblPlan[[#This Row],[Price (per unit)]])&gt;0,tblPlan[[#This Row],[Demand forecast (units)]]*tblPlan[[#This Row],[Price (per unit)]],""))</f>
        <v>104500</v>
      </c>
      <c r="R49"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49" s="28" t="s">
        <v>113</v>
      </c>
    </row>
    <row r="50" spans="2:19">
      <c r="B50" s="29">
        <v>46600</v>
      </c>
      <c r="C50" s="28" t="s">
        <v>97</v>
      </c>
      <c r="D50" s="36">
        <v>1300</v>
      </c>
      <c r="E50" s="36">
        <v>1400</v>
      </c>
      <c r="F50" s="41" t="str">
        <f>IF(tblPlan[[#This Row],[Month]]="","",IFERROR(INDEX(tblFamilies[Line],MATCH(tblPlan[[#This Row],[Family]],tblFamilies[Family],0)),""))</f>
        <v>Line B</v>
      </c>
      <c r="G50" s="42">
        <f>IF(tblPlan[[#This Row],[Month]]="","",IFERROR(INDEX($D$6:$O$6,MATCH(tblPlan[[#This Row],[Month]],$D$5:$O$5,0)),""))</f>
        <v>22</v>
      </c>
      <c r="H50" s="43">
        <f>IF(tblPlan[[#This Row],[Month]]="","",IFERROR(INDEX(tblFamilies[Opening inventory (units)],MATCH(tblPlan[[#This Row],[Family]],tblFamilies[Family],0)),""))</f>
        <v>1200</v>
      </c>
      <c r="I50" s="43">
        <f>IF(tblPlan[[#This Row],[Month]]="","",tblPlan[[#This Row],[Start inv. (units)]]+SUMIFS(tblPlan[Production plan (units)],tblPlan[Family],tblPlan[[#This Row],[Family]],tblPlan[Month],"&lt;"&amp;tblPlan[[#This Row],[Month]])-SUMIFS(tblPlan[Demand forecast (units)],tblPlan[Family],tblPlan[[#This Row],[Family]],tblPlan[Month],"&lt;"&amp;tblPlan[[#This Row],[Month]]))</f>
        <v>600</v>
      </c>
      <c r="J50" s="43">
        <f>IF(tblPlan[[#This Row],[Month]]="","",tblPlan[[#This Row],[Opening inv. (units)]]+tblPlan[[#This Row],[Production plan (units)]]-tblPlan[[#This Row],[Demand forecast (units)]])</f>
        <v>700</v>
      </c>
      <c r="K50" s="42">
        <f>IF(tblPlan[[#This Row],[Month]]="","",IF(AND(tblPlan[[#This Row],[Demand forecast (units)]]&gt;0,N(tblPlan[[#This Row],[Working days]])&gt;0),tblPlan[[#This Row],[Closing inv. (units)]]/(tblPlan[[#This Row],[Demand forecast (units)]]/tblPlan[[#This Row],[Working days]]),""))</f>
        <v>11.8461538461538</v>
      </c>
      <c r="L50" s="44" t="str">
        <f>IF(tblPlan[[#This Row],[Month]]="","",IF(NOT(ISNUMBER(tblPlan[[#This Row],[Days of supply]])),"",IF(tblPlan[[#This Row],[Days of supply]]&lt;MinDOS,"Below target",IF(tblPlan[[#This Row],[Days of supply]]&gt;MaxDOS,"Above target","On target"))))</f>
        <v>On target</v>
      </c>
      <c r="M50" s="37">
        <f>IF(tblPlan[[#This Row],[Month]]="","",IFERROR(INDEX(tblFamilies[Good rate (units/h)],MATCH(tblPlan[[#This Row],[Family]],tblFamilies[Family],0)),""))</f>
        <v>19.8</v>
      </c>
      <c r="N50" s="42">
        <f>IF(tblPlan[[#This Row],[Month]]="","",IF(N(tblPlan[[#This Row],[Good rate (units/h)]])&gt;0,tblPlan[[#This Row],[Production plan (units)]]/tblPlan[[#This Row],[Good rate (units/h)]],""))</f>
        <v>70.7070707070707</v>
      </c>
      <c r="O50" s="43">
        <f>IF(tblPlan[[#This Row],[Month]]="","",IFERROR(tblPlan[[#This Row],[Good rate (units/h)]]*tblPlan[[#This Row],[Working days]]*INDEX(tblLines[Hours per day],MATCH(tblPlan[[#This Row],[Line]],tblLines[Line],0))*INDEX(tblLines[Uptime],MATCH(tblPlan[[#This Row],[Line]],tblLines[Line],0)),""))</f>
        <v>3066.624</v>
      </c>
      <c r="P50" s="37">
        <f>IF(tblPlan[[#This Row],[Month]]="","",IFERROR(INDEX(tblFamilies[Price (per unit)],MATCH(tblPlan[[#This Row],[Family]],tblFamilies[Family],0)),""))</f>
        <v>140</v>
      </c>
      <c r="Q50" s="43">
        <f>IF(tblPlan[[#This Row],[Month]]="","",IF(N(tblPlan[[#This Row],[Price (per unit)]])&gt;0,tblPlan[[#This Row],[Demand forecast (units)]]*tblPlan[[#This Row],[Price (per unit)]],""))</f>
        <v>182000</v>
      </c>
      <c r="R50"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50" s="28" t="s">
        <v>113</v>
      </c>
    </row>
    <row r="51" spans="2:19">
      <c r="B51" s="29">
        <v>46631</v>
      </c>
      <c r="C51" s="28" t="s">
        <v>91</v>
      </c>
      <c r="D51" s="36">
        <v>1000</v>
      </c>
      <c r="E51" s="36">
        <v>800</v>
      </c>
      <c r="F51" s="41" t="str">
        <f>IF(tblPlan[[#This Row],[Month]]="","",IFERROR(INDEX(tblFamilies[Line],MATCH(tblPlan[[#This Row],[Family]],tblFamilies[Family],0)),""))</f>
        <v>Line A</v>
      </c>
      <c r="G51" s="42">
        <f>IF(tblPlan[[#This Row],[Month]]="","",IFERROR(INDEX($D$6:$O$6,MATCH(tblPlan[[#This Row],[Month]],$D$5:$O$5,0)),""))</f>
        <v>21</v>
      </c>
      <c r="H51" s="43">
        <f>IF(tblPlan[[#This Row],[Month]]="","",IFERROR(INDEX(tblFamilies[Opening inventory (units)],MATCH(tblPlan[[#This Row],[Family]],tblFamilies[Family],0)),""))</f>
        <v>1500</v>
      </c>
      <c r="I51" s="43">
        <f>IF(tblPlan[[#This Row],[Month]]="","",tblPlan[[#This Row],[Start inv. (units)]]+SUMIFS(tblPlan[Production plan (units)],tblPlan[Family],tblPlan[[#This Row],[Family]],tblPlan[Month],"&lt;"&amp;tblPlan[[#This Row],[Month]])-SUMIFS(tblPlan[Demand forecast (units)],tblPlan[Family],tblPlan[[#This Row],[Family]],tblPlan[Month],"&lt;"&amp;tblPlan[[#This Row],[Month]]))</f>
        <v>2300</v>
      </c>
      <c r="J51" s="43">
        <f>IF(tblPlan[[#This Row],[Month]]="","",tblPlan[[#This Row],[Opening inv. (units)]]+tblPlan[[#This Row],[Production plan (units)]]-tblPlan[[#This Row],[Demand forecast (units)]])</f>
        <v>2100</v>
      </c>
      <c r="K51" s="42">
        <f>IF(tblPlan[[#This Row],[Month]]="","",IF(AND(tblPlan[[#This Row],[Demand forecast (units)]]&gt;0,N(tblPlan[[#This Row],[Working days]])&gt;0),tblPlan[[#This Row],[Closing inv. (units)]]/(tblPlan[[#This Row],[Demand forecast (units)]]/tblPlan[[#This Row],[Working days]]),""))</f>
        <v>44.1</v>
      </c>
      <c r="L51" s="44" t="str">
        <f>IF(tblPlan[[#This Row],[Month]]="","",IF(NOT(ISNUMBER(tblPlan[[#This Row],[Days of supply]])),"",IF(tblPlan[[#This Row],[Days of supply]]&lt;MinDOS,"Below target",IF(tblPlan[[#This Row],[Days of supply]]&gt;MaxDOS,"Above target","On target"))))</f>
        <v>Above target</v>
      </c>
      <c r="M51" s="37">
        <f>IF(tblPlan[[#This Row],[Month]]="","",IFERROR(INDEX(tblFamilies[Good rate (units/h)],MATCH(tblPlan[[#This Row],[Family]],tblFamilies[Family],0)),""))</f>
        <v>14.7</v>
      </c>
      <c r="N51" s="42">
        <f>IF(tblPlan[[#This Row],[Month]]="","",IF(N(tblPlan[[#This Row],[Good rate (units/h)]])&gt;0,tblPlan[[#This Row],[Production plan (units)]]/tblPlan[[#This Row],[Good rate (units/h)]],""))</f>
        <v>54.421768707483</v>
      </c>
      <c r="O51" s="43">
        <f>IF(tblPlan[[#This Row],[Month]]="","",IFERROR(tblPlan[[#This Row],[Good rate (units/h)]]*tblPlan[[#This Row],[Working days]]*INDEX(tblLines[Hours per day],MATCH(tblPlan[[#This Row],[Line]],tblLines[Line],0))*INDEX(tblLines[Uptime],MATCH(tblPlan[[#This Row],[Line]],tblLines[Line],0)),""))</f>
        <v>4198.32</v>
      </c>
      <c r="P51" s="37">
        <f>IF(tblPlan[[#This Row],[Month]]="","",IFERROR(INDEX(tblFamilies[Price (per unit)],MATCH(tblPlan[[#This Row],[Family]],tblFamilies[Family],0)),""))</f>
        <v>420</v>
      </c>
      <c r="Q51" s="43">
        <f>IF(tblPlan[[#This Row],[Month]]="","",IF(N(tblPlan[[#This Row],[Price (per unit)]])&gt;0,tblPlan[[#This Row],[Demand forecast (units)]]*tblPlan[[#This Row],[Price (per unit)]],""))</f>
        <v>420000</v>
      </c>
      <c r="R51"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51" s="28" t="s">
        <v>113</v>
      </c>
    </row>
    <row r="52" spans="2:19">
      <c r="B52" s="29">
        <v>46631</v>
      </c>
      <c r="C52" s="28" t="s">
        <v>93</v>
      </c>
      <c r="D52" s="36">
        <v>900</v>
      </c>
      <c r="E52" s="36">
        <v>1200</v>
      </c>
      <c r="F52" s="41" t="str">
        <f>IF(tblPlan[[#This Row],[Month]]="","",IFERROR(INDEX(tblFamilies[Line],MATCH(tblPlan[[#This Row],[Family]],tblFamilies[Family],0)),""))</f>
        <v>Line A</v>
      </c>
      <c r="G52" s="42">
        <f>IF(tblPlan[[#This Row],[Month]]="","",IFERROR(INDEX($D$6:$O$6,MATCH(tblPlan[[#This Row],[Month]],$D$5:$O$5,0)),""))</f>
        <v>21</v>
      </c>
      <c r="H52" s="43">
        <f>IF(tblPlan[[#This Row],[Month]]="","",IFERROR(INDEX(tblFamilies[Opening inventory (units)],MATCH(tblPlan[[#This Row],[Family]],tblFamilies[Family],0)),""))</f>
        <v>1800</v>
      </c>
      <c r="I52" s="43">
        <f>IF(tblPlan[[#This Row],[Month]]="","",tblPlan[[#This Row],[Start inv. (units)]]+SUMIFS(tblPlan[Production plan (units)],tblPlan[Family],tblPlan[[#This Row],[Family]],tblPlan[Month],"&lt;"&amp;tblPlan[[#This Row],[Month]])-SUMIFS(tblPlan[Demand forecast (units)],tblPlan[Family],tblPlan[[#This Row],[Family]],tblPlan[Month],"&lt;"&amp;tblPlan[[#This Row],[Month]]))</f>
        <v>550</v>
      </c>
      <c r="J52" s="43">
        <f>IF(tblPlan[[#This Row],[Month]]="","",tblPlan[[#This Row],[Opening inv. (units)]]+tblPlan[[#This Row],[Production plan (units)]]-tblPlan[[#This Row],[Demand forecast (units)]])</f>
        <v>850</v>
      </c>
      <c r="K52" s="42">
        <f>IF(tblPlan[[#This Row],[Month]]="","",IF(AND(tblPlan[[#This Row],[Demand forecast (units)]]&gt;0,N(tblPlan[[#This Row],[Working days]])&gt;0),tblPlan[[#This Row],[Closing inv. (units)]]/(tblPlan[[#This Row],[Demand forecast (units)]]/tblPlan[[#This Row],[Working days]]),""))</f>
        <v>19.8333333333333</v>
      </c>
      <c r="L52" s="44" t="str">
        <f>IF(tblPlan[[#This Row],[Month]]="","",IF(NOT(ISNUMBER(tblPlan[[#This Row],[Days of supply]])),"",IF(tblPlan[[#This Row],[Days of supply]]&lt;MinDOS,"Below target",IF(tblPlan[[#This Row],[Days of supply]]&gt;MaxDOS,"Above target","On target"))))</f>
        <v>On target</v>
      </c>
      <c r="M52" s="37">
        <f>IF(tblPlan[[#This Row],[Month]]="","",IFERROR(INDEX(tblFamilies[Good rate (units/h)],MATCH(tblPlan[[#This Row],[Family]],tblFamilies[Family],0)),""))</f>
        <v>13.72</v>
      </c>
      <c r="N52" s="42">
        <f>IF(tblPlan[[#This Row],[Month]]="","",IF(N(tblPlan[[#This Row],[Good rate (units/h)]])&gt;0,tblPlan[[#This Row],[Production plan (units)]]/tblPlan[[#This Row],[Good rate (units/h)]],""))</f>
        <v>87.463556851312</v>
      </c>
      <c r="O52" s="43">
        <f>IF(tblPlan[[#This Row],[Month]]="","",IFERROR(tblPlan[[#This Row],[Good rate (units/h)]]*tblPlan[[#This Row],[Working days]]*INDEX(tblLines[Hours per day],MATCH(tblPlan[[#This Row],[Line]],tblLines[Line],0))*INDEX(tblLines[Uptime],MATCH(tblPlan[[#This Row],[Line]],tblLines[Line],0)),""))</f>
        <v>3918.432</v>
      </c>
      <c r="P52" s="37">
        <f>IF(tblPlan[[#This Row],[Month]]="","",IFERROR(INDEX(tblFamilies[Price (per unit)],MATCH(tblPlan[[#This Row],[Family]],tblFamilies[Family],0)),""))</f>
        <v>650</v>
      </c>
      <c r="Q52" s="43">
        <f>IF(tblPlan[[#This Row],[Month]]="","",IF(N(tblPlan[[#This Row],[Price (per unit)]])&gt;0,tblPlan[[#This Row],[Demand forecast (units)]]*tblPlan[[#This Row],[Price (per unit)]],""))</f>
        <v>585000</v>
      </c>
      <c r="R52"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52" s="28" t="s">
        <v>113</v>
      </c>
    </row>
    <row r="53" spans="2:19">
      <c r="B53" s="29">
        <v>46631</v>
      </c>
      <c r="C53" s="28" t="s">
        <v>95</v>
      </c>
      <c r="D53" s="36">
        <v>800</v>
      </c>
      <c r="E53" s="36">
        <v>800</v>
      </c>
      <c r="F53" s="41" t="str">
        <f>IF(tblPlan[[#This Row],[Month]]="","",IFERROR(INDEX(tblFamilies[Line],MATCH(tblPlan[[#This Row],[Family]],tblFamilies[Family],0)),""))</f>
        <v>Line B</v>
      </c>
      <c r="G53" s="42">
        <f>IF(tblPlan[[#This Row],[Month]]="","",IFERROR(INDEX($D$6:$O$6,MATCH(tblPlan[[#This Row],[Month]],$D$5:$O$5,0)),""))</f>
        <v>21</v>
      </c>
      <c r="H53" s="43">
        <f>IF(tblPlan[[#This Row],[Month]]="","",IFERROR(INDEX(tblFamilies[Opening inventory (units)],MATCH(tblPlan[[#This Row],[Family]],tblFamilies[Family],0)),""))</f>
        <v>900</v>
      </c>
      <c r="I53" s="43">
        <f>IF(tblPlan[[#This Row],[Month]]="","",tblPlan[[#This Row],[Start inv. (units)]]+SUMIFS(tblPlan[Production plan (units)],tblPlan[Family],tblPlan[[#This Row],[Family]],tblPlan[Month],"&lt;"&amp;tblPlan[[#This Row],[Month]])-SUMIFS(tblPlan[Demand forecast (units)],tblPlan[Family],tblPlan[[#This Row],[Family]],tblPlan[Month],"&lt;"&amp;tblPlan[[#This Row],[Month]]))</f>
        <v>600</v>
      </c>
      <c r="J53" s="43">
        <f>IF(tblPlan[[#This Row],[Month]]="","",tblPlan[[#This Row],[Opening inv. (units)]]+tblPlan[[#This Row],[Production plan (units)]]-tblPlan[[#This Row],[Demand forecast (units)]])</f>
        <v>600</v>
      </c>
      <c r="K53" s="42">
        <f>IF(tblPlan[[#This Row],[Month]]="","",IF(AND(tblPlan[[#This Row],[Demand forecast (units)]]&gt;0,N(tblPlan[[#This Row],[Working days]])&gt;0),tblPlan[[#This Row],[Closing inv. (units)]]/(tblPlan[[#This Row],[Demand forecast (units)]]/tblPlan[[#This Row],[Working days]]),""))</f>
        <v>15.75</v>
      </c>
      <c r="L53" s="44" t="str">
        <f>IF(tblPlan[[#This Row],[Month]]="","",IF(NOT(ISNUMBER(tblPlan[[#This Row],[Days of supply]])),"",IF(tblPlan[[#This Row],[Days of supply]]&lt;MinDOS,"Below target",IF(tblPlan[[#This Row],[Days of supply]]&gt;MaxDOS,"Above target","On target"))))</f>
        <v>On target</v>
      </c>
      <c r="M53" s="37">
        <f>IF(tblPlan[[#This Row],[Month]]="","",IFERROR(INDEX(tblFamilies[Good rate (units/h)],MATCH(tblPlan[[#This Row],[Family]],tblFamilies[Family],0)),""))</f>
        <v>21.78</v>
      </c>
      <c r="N53" s="42">
        <f>IF(tblPlan[[#This Row],[Month]]="","",IF(N(tblPlan[[#This Row],[Good rate (units/h)]])&gt;0,tblPlan[[#This Row],[Production plan (units)]]/tblPlan[[#This Row],[Good rate (units/h)]],""))</f>
        <v>36.7309458218549</v>
      </c>
      <c r="O53" s="43">
        <f>IF(tblPlan[[#This Row],[Month]]="","",IFERROR(tblPlan[[#This Row],[Good rate (units/h)]]*tblPlan[[#This Row],[Working days]]*INDEX(tblLines[Hours per day],MATCH(tblPlan[[#This Row],[Line]],tblLines[Line],0))*INDEX(tblLines[Uptime],MATCH(tblPlan[[#This Row],[Line]],tblLines[Line],0)),""))</f>
        <v>3219.9552</v>
      </c>
      <c r="P53" s="37">
        <f>IF(tblPlan[[#This Row],[Month]]="","",IFERROR(INDEX(tblFamilies[Price (per unit)],MATCH(tblPlan[[#This Row],[Family]],tblFamilies[Family],0)),""))</f>
        <v>95</v>
      </c>
      <c r="Q53" s="43">
        <f>IF(tblPlan[[#This Row],[Month]]="","",IF(N(tblPlan[[#This Row],[Price (per unit)]])&gt;0,tblPlan[[#This Row],[Demand forecast (units)]]*tblPlan[[#This Row],[Price (per unit)]],""))</f>
        <v>76000</v>
      </c>
      <c r="R53"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53" s="28" t="s">
        <v>113</v>
      </c>
    </row>
    <row r="54" spans="2:19">
      <c r="B54" s="29">
        <v>46631</v>
      </c>
      <c r="C54" s="28" t="s">
        <v>97</v>
      </c>
      <c r="D54" s="36">
        <v>1700</v>
      </c>
      <c r="E54" s="36">
        <v>1500</v>
      </c>
      <c r="F54" s="41" t="str">
        <f>IF(tblPlan[[#This Row],[Month]]="","",IFERROR(INDEX(tblFamilies[Line],MATCH(tblPlan[[#This Row],[Family]],tblFamilies[Family],0)),""))</f>
        <v>Line B</v>
      </c>
      <c r="G54" s="42">
        <f>IF(tblPlan[[#This Row],[Month]]="","",IFERROR(INDEX($D$6:$O$6,MATCH(tblPlan[[#This Row],[Month]],$D$5:$O$5,0)),""))</f>
        <v>21</v>
      </c>
      <c r="H54" s="43">
        <f>IF(tblPlan[[#This Row],[Month]]="","",IFERROR(INDEX(tblFamilies[Opening inventory (units)],MATCH(tblPlan[[#This Row],[Family]],tblFamilies[Family],0)),""))</f>
        <v>1200</v>
      </c>
      <c r="I54" s="43">
        <f>IF(tblPlan[[#This Row],[Month]]="","",tblPlan[[#This Row],[Start inv. (units)]]+SUMIFS(tblPlan[Production plan (units)],tblPlan[Family],tblPlan[[#This Row],[Family]],tblPlan[Month],"&lt;"&amp;tblPlan[[#This Row],[Month]])-SUMIFS(tblPlan[Demand forecast (units)],tblPlan[Family],tblPlan[[#This Row],[Family]],tblPlan[Month],"&lt;"&amp;tblPlan[[#This Row],[Month]]))</f>
        <v>700</v>
      </c>
      <c r="J54" s="43">
        <f>IF(tblPlan[[#This Row],[Month]]="","",tblPlan[[#This Row],[Opening inv. (units)]]+tblPlan[[#This Row],[Production plan (units)]]-tblPlan[[#This Row],[Demand forecast (units)]])</f>
        <v>500</v>
      </c>
      <c r="K54" s="42">
        <f>IF(tblPlan[[#This Row],[Month]]="","",IF(AND(tblPlan[[#This Row],[Demand forecast (units)]]&gt;0,N(tblPlan[[#This Row],[Working days]])&gt;0),tblPlan[[#This Row],[Closing inv. (units)]]/(tblPlan[[#This Row],[Demand forecast (units)]]/tblPlan[[#This Row],[Working days]]),""))</f>
        <v>6.17647058823529</v>
      </c>
      <c r="L54" s="44" t="str">
        <f>IF(tblPlan[[#This Row],[Month]]="","",IF(NOT(ISNUMBER(tblPlan[[#This Row],[Days of supply]])),"",IF(tblPlan[[#This Row],[Days of supply]]&lt;MinDOS,"Below target",IF(tblPlan[[#This Row],[Days of supply]]&gt;MaxDOS,"Above target","On target"))))</f>
        <v>Below target</v>
      </c>
      <c r="M54" s="37">
        <f>IF(tblPlan[[#This Row],[Month]]="","",IFERROR(INDEX(tblFamilies[Good rate (units/h)],MATCH(tblPlan[[#This Row],[Family]],tblFamilies[Family],0)),""))</f>
        <v>19.8</v>
      </c>
      <c r="N54" s="42">
        <f>IF(tblPlan[[#This Row],[Month]]="","",IF(N(tblPlan[[#This Row],[Good rate (units/h)]])&gt;0,tblPlan[[#This Row],[Production plan (units)]]/tblPlan[[#This Row],[Good rate (units/h)]],""))</f>
        <v>75.7575757575758</v>
      </c>
      <c r="O54" s="43">
        <f>IF(tblPlan[[#This Row],[Month]]="","",IFERROR(tblPlan[[#This Row],[Good rate (units/h)]]*tblPlan[[#This Row],[Working days]]*INDEX(tblLines[Hours per day],MATCH(tblPlan[[#This Row],[Line]],tblLines[Line],0))*INDEX(tblLines[Uptime],MATCH(tblPlan[[#This Row],[Line]],tblLines[Line],0)),""))</f>
        <v>2927.232</v>
      </c>
      <c r="P54" s="37">
        <f>IF(tblPlan[[#This Row],[Month]]="","",IFERROR(INDEX(tblFamilies[Price (per unit)],MATCH(tblPlan[[#This Row],[Family]],tblFamilies[Family],0)),""))</f>
        <v>140</v>
      </c>
      <c r="Q54" s="43">
        <f>IF(tblPlan[[#This Row],[Month]]="","",IF(N(tblPlan[[#This Row],[Price (per unit)]])&gt;0,tblPlan[[#This Row],[Demand forecast (units)]]*tblPlan[[#This Row],[Price (per unit)]],""))</f>
        <v>238000</v>
      </c>
      <c r="R54"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54" s="28" t="s">
        <v>113</v>
      </c>
    </row>
    <row r="55" spans="2:19">
      <c r="B55" s="29">
        <v>46661</v>
      </c>
      <c r="C55" s="28" t="s">
        <v>91</v>
      </c>
      <c r="D55" s="36">
        <v>900</v>
      </c>
      <c r="E55" s="36">
        <v>800</v>
      </c>
      <c r="F55" s="41" t="str">
        <f>IF(tblPlan[[#This Row],[Month]]="","",IFERROR(INDEX(tblFamilies[Line],MATCH(tblPlan[[#This Row],[Family]],tblFamilies[Family],0)),""))</f>
        <v>Line A</v>
      </c>
      <c r="G55" s="42">
        <f>IF(tblPlan[[#This Row],[Month]]="","",IFERROR(INDEX($D$6:$O$6,MATCH(tblPlan[[#This Row],[Month]],$D$5:$O$5,0)),""))</f>
        <v>21</v>
      </c>
      <c r="H55" s="43">
        <f>IF(tblPlan[[#This Row],[Month]]="","",IFERROR(INDEX(tblFamilies[Opening inventory (units)],MATCH(tblPlan[[#This Row],[Family]],tblFamilies[Family],0)),""))</f>
        <v>1500</v>
      </c>
      <c r="I55" s="43">
        <f>IF(tblPlan[[#This Row],[Month]]="","",tblPlan[[#This Row],[Start inv. (units)]]+SUMIFS(tblPlan[Production plan (units)],tblPlan[Family],tblPlan[[#This Row],[Family]],tblPlan[Month],"&lt;"&amp;tblPlan[[#This Row],[Month]])-SUMIFS(tblPlan[Demand forecast (units)],tblPlan[Family],tblPlan[[#This Row],[Family]],tblPlan[Month],"&lt;"&amp;tblPlan[[#This Row],[Month]]))</f>
        <v>2100</v>
      </c>
      <c r="J55" s="43">
        <f>IF(tblPlan[[#This Row],[Month]]="","",tblPlan[[#This Row],[Opening inv. (units)]]+tblPlan[[#This Row],[Production plan (units)]]-tblPlan[[#This Row],[Demand forecast (units)]])</f>
        <v>2000</v>
      </c>
      <c r="K55" s="42">
        <f>IF(tblPlan[[#This Row],[Month]]="","",IF(AND(tblPlan[[#This Row],[Demand forecast (units)]]&gt;0,N(tblPlan[[#This Row],[Working days]])&gt;0),tblPlan[[#This Row],[Closing inv. (units)]]/(tblPlan[[#This Row],[Demand forecast (units)]]/tblPlan[[#This Row],[Working days]]),""))</f>
        <v>46.6666666666667</v>
      </c>
      <c r="L55" s="44" t="str">
        <f>IF(tblPlan[[#This Row],[Month]]="","",IF(NOT(ISNUMBER(tblPlan[[#This Row],[Days of supply]])),"",IF(tblPlan[[#This Row],[Days of supply]]&lt;MinDOS,"Below target",IF(tblPlan[[#This Row],[Days of supply]]&gt;MaxDOS,"Above target","On target"))))</f>
        <v>Above target</v>
      </c>
      <c r="M55" s="37">
        <f>IF(tblPlan[[#This Row],[Month]]="","",IFERROR(INDEX(tblFamilies[Good rate (units/h)],MATCH(tblPlan[[#This Row],[Family]],tblFamilies[Family],0)),""))</f>
        <v>14.7</v>
      </c>
      <c r="N55" s="42">
        <f>IF(tblPlan[[#This Row],[Month]]="","",IF(N(tblPlan[[#This Row],[Good rate (units/h)]])&gt;0,tblPlan[[#This Row],[Production plan (units)]]/tblPlan[[#This Row],[Good rate (units/h)]],""))</f>
        <v>54.421768707483</v>
      </c>
      <c r="O55" s="43">
        <f>IF(tblPlan[[#This Row],[Month]]="","",IFERROR(tblPlan[[#This Row],[Good rate (units/h)]]*tblPlan[[#This Row],[Working days]]*INDEX(tblLines[Hours per day],MATCH(tblPlan[[#This Row],[Line]],tblLines[Line],0))*INDEX(tblLines[Uptime],MATCH(tblPlan[[#This Row],[Line]],tblLines[Line],0)),""))</f>
        <v>4198.32</v>
      </c>
      <c r="P55" s="37">
        <f>IF(tblPlan[[#This Row],[Month]]="","",IFERROR(INDEX(tblFamilies[Price (per unit)],MATCH(tblPlan[[#This Row],[Family]],tblFamilies[Family],0)),""))</f>
        <v>420</v>
      </c>
      <c r="Q55" s="43">
        <f>IF(tblPlan[[#This Row],[Month]]="","",IF(N(tblPlan[[#This Row],[Price (per unit)]])&gt;0,tblPlan[[#This Row],[Demand forecast (units)]]*tblPlan[[#This Row],[Price (per unit)]],""))</f>
        <v>378000</v>
      </c>
      <c r="R55"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55" s="28" t="s">
        <v>113</v>
      </c>
    </row>
    <row r="56" spans="2:19">
      <c r="B56" s="29">
        <v>46661</v>
      </c>
      <c r="C56" s="28" t="s">
        <v>93</v>
      </c>
      <c r="D56" s="36">
        <v>1800</v>
      </c>
      <c r="E56" s="36">
        <v>1800</v>
      </c>
      <c r="F56" s="41" t="str">
        <f>IF(tblPlan[[#This Row],[Month]]="","",IFERROR(INDEX(tblFamilies[Line],MATCH(tblPlan[[#This Row],[Family]],tblFamilies[Family],0)),""))</f>
        <v>Line A</v>
      </c>
      <c r="G56" s="42">
        <f>IF(tblPlan[[#This Row],[Month]]="","",IFERROR(INDEX($D$6:$O$6,MATCH(tblPlan[[#This Row],[Month]],$D$5:$O$5,0)),""))</f>
        <v>21</v>
      </c>
      <c r="H56" s="43">
        <f>IF(tblPlan[[#This Row],[Month]]="","",IFERROR(INDEX(tblFamilies[Opening inventory (units)],MATCH(tblPlan[[#This Row],[Family]],tblFamilies[Family],0)),""))</f>
        <v>1800</v>
      </c>
      <c r="I56" s="43">
        <f>IF(tblPlan[[#This Row],[Month]]="","",tblPlan[[#This Row],[Start inv. (units)]]+SUMIFS(tblPlan[Production plan (units)],tblPlan[Family],tblPlan[[#This Row],[Family]],tblPlan[Month],"&lt;"&amp;tblPlan[[#This Row],[Month]])-SUMIFS(tblPlan[Demand forecast (units)],tblPlan[Family],tblPlan[[#This Row],[Family]],tblPlan[Month],"&lt;"&amp;tblPlan[[#This Row],[Month]]))</f>
        <v>850</v>
      </c>
      <c r="J56" s="43">
        <f>IF(tblPlan[[#This Row],[Month]]="","",tblPlan[[#This Row],[Opening inv. (units)]]+tblPlan[[#This Row],[Production plan (units)]]-tblPlan[[#This Row],[Demand forecast (units)]])</f>
        <v>850</v>
      </c>
      <c r="K56" s="42">
        <f>IF(tblPlan[[#This Row],[Month]]="","",IF(AND(tblPlan[[#This Row],[Demand forecast (units)]]&gt;0,N(tblPlan[[#This Row],[Working days]])&gt;0),tblPlan[[#This Row],[Closing inv. (units)]]/(tblPlan[[#This Row],[Demand forecast (units)]]/tblPlan[[#This Row],[Working days]]),""))</f>
        <v>9.91666666666667</v>
      </c>
      <c r="L56" s="44" t="str">
        <f>IF(tblPlan[[#This Row],[Month]]="","",IF(NOT(ISNUMBER(tblPlan[[#This Row],[Days of supply]])),"",IF(tblPlan[[#This Row],[Days of supply]]&lt;MinDOS,"Below target",IF(tblPlan[[#This Row],[Days of supply]]&gt;MaxDOS,"Above target","On target"))))</f>
        <v>Below target</v>
      </c>
      <c r="M56" s="37">
        <f>IF(tblPlan[[#This Row],[Month]]="","",IFERROR(INDEX(tblFamilies[Good rate (units/h)],MATCH(tblPlan[[#This Row],[Family]],tblFamilies[Family],0)),""))</f>
        <v>13.72</v>
      </c>
      <c r="N56" s="42">
        <f>IF(tblPlan[[#This Row],[Month]]="","",IF(N(tblPlan[[#This Row],[Good rate (units/h)]])&gt;0,tblPlan[[#This Row],[Production plan (units)]]/tblPlan[[#This Row],[Good rate (units/h)]],""))</f>
        <v>131.195335276968</v>
      </c>
      <c r="O56" s="43">
        <f>IF(tblPlan[[#This Row],[Month]]="","",IFERROR(tblPlan[[#This Row],[Good rate (units/h)]]*tblPlan[[#This Row],[Working days]]*INDEX(tblLines[Hours per day],MATCH(tblPlan[[#This Row],[Line]],tblLines[Line],0))*INDEX(tblLines[Uptime],MATCH(tblPlan[[#This Row],[Line]],tblLines[Line],0)),""))</f>
        <v>3918.432</v>
      </c>
      <c r="P56" s="37">
        <f>IF(tblPlan[[#This Row],[Month]]="","",IFERROR(INDEX(tblFamilies[Price (per unit)],MATCH(tblPlan[[#This Row],[Family]],tblFamilies[Family],0)),""))</f>
        <v>650</v>
      </c>
      <c r="Q56" s="43">
        <f>IF(tblPlan[[#This Row],[Month]]="","",IF(N(tblPlan[[#This Row],[Price (per unit)]])&gt;0,tblPlan[[#This Row],[Demand forecast (units)]]*tblPlan[[#This Row],[Price (per unit)]],""))</f>
        <v>1170000</v>
      </c>
      <c r="R56"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56" s="28" t="s">
        <v>113</v>
      </c>
    </row>
    <row r="57" spans="2:19">
      <c r="B57" s="29">
        <v>46661</v>
      </c>
      <c r="C57" s="28" t="s">
        <v>95</v>
      </c>
      <c r="D57" s="36">
        <v>700</v>
      </c>
      <c r="E57" s="36">
        <v>700</v>
      </c>
      <c r="F57" s="41" t="str">
        <f>IF(tblPlan[[#This Row],[Month]]="","",IFERROR(INDEX(tblFamilies[Line],MATCH(tblPlan[[#This Row],[Family]],tblFamilies[Family],0)),""))</f>
        <v>Line B</v>
      </c>
      <c r="G57" s="42">
        <f>IF(tblPlan[[#This Row],[Month]]="","",IFERROR(INDEX($D$6:$O$6,MATCH(tblPlan[[#This Row],[Month]],$D$5:$O$5,0)),""))</f>
        <v>21</v>
      </c>
      <c r="H57" s="43">
        <f>IF(tblPlan[[#This Row],[Month]]="","",IFERROR(INDEX(tblFamilies[Opening inventory (units)],MATCH(tblPlan[[#This Row],[Family]],tblFamilies[Family],0)),""))</f>
        <v>900</v>
      </c>
      <c r="I57" s="43">
        <f>IF(tblPlan[[#This Row],[Month]]="","",tblPlan[[#This Row],[Start inv. (units)]]+SUMIFS(tblPlan[Production plan (units)],tblPlan[Family],tblPlan[[#This Row],[Family]],tblPlan[Month],"&lt;"&amp;tblPlan[[#This Row],[Month]])-SUMIFS(tblPlan[Demand forecast (units)],tblPlan[Family],tblPlan[[#This Row],[Family]],tblPlan[Month],"&lt;"&amp;tblPlan[[#This Row],[Month]]))</f>
        <v>600</v>
      </c>
      <c r="J57" s="43">
        <f>IF(tblPlan[[#This Row],[Month]]="","",tblPlan[[#This Row],[Opening inv. (units)]]+tblPlan[[#This Row],[Production plan (units)]]-tblPlan[[#This Row],[Demand forecast (units)]])</f>
        <v>600</v>
      </c>
      <c r="K57" s="42">
        <f>IF(tblPlan[[#This Row],[Month]]="","",IF(AND(tblPlan[[#This Row],[Demand forecast (units)]]&gt;0,N(tblPlan[[#This Row],[Working days]])&gt;0),tblPlan[[#This Row],[Closing inv. (units)]]/(tblPlan[[#This Row],[Demand forecast (units)]]/tblPlan[[#This Row],[Working days]]),""))</f>
        <v>18</v>
      </c>
      <c r="L57" s="44" t="str">
        <f>IF(tblPlan[[#This Row],[Month]]="","",IF(NOT(ISNUMBER(tblPlan[[#This Row],[Days of supply]])),"",IF(tblPlan[[#This Row],[Days of supply]]&lt;MinDOS,"Below target",IF(tblPlan[[#This Row],[Days of supply]]&gt;MaxDOS,"Above target","On target"))))</f>
        <v>On target</v>
      </c>
      <c r="M57" s="37">
        <f>IF(tblPlan[[#This Row],[Month]]="","",IFERROR(INDEX(tblFamilies[Good rate (units/h)],MATCH(tblPlan[[#This Row],[Family]],tblFamilies[Family],0)),""))</f>
        <v>21.78</v>
      </c>
      <c r="N57" s="42">
        <f>IF(tblPlan[[#This Row],[Month]]="","",IF(N(tblPlan[[#This Row],[Good rate (units/h)]])&gt;0,tblPlan[[#This Row],[Production plan (units)]]/tblPlan[[#This Row],[Good rate (units/h)]],""))</f>
        <v>32.1395775941231</v>
      </c>
      <c r="O57" s="43">
        <f>IF(tblPlan[[#This Row],[Month]]="","",IFERROR(tblPlan[[#This Row],[Good rate (units/h)]]*tblPlan[[#This Row],[Working days]]*INDEX(tblLines[Hours per day],MATCH(tblPlan[[#This Row],[Line]],tblLines[Line],0))*INDEX(tblLines[Uptime],MATCH(tblPlan[[#This Row],[Line]],tblLines[Line],0)),""))</f>
        <v>3219.9552</v>
      </c>
      <c r="P57" s="37">
        <f>IF(tblPlan[[#This Row],[Month]]="","",IFERROR(INDEX(tblFamilies[Price (per unit)],MATCH(tblPlan[[#This Row],[Family]],tblFamilies[Family],0)),""))</f>
        <v>95</v>
      </c>
      <c r="Q57" s="43">
        <f>IF(tblPlan[[#This Row],[Month]]="","",IF(N(tblPlan[[#This Row],[Price (per unit)]])&gt;0,tblPlan[[#This Row],[Demand forecast (units)]]*tblPlan[[#This Row],[Price (per unit)]],""))</f>
        <v>66500</v>
      </c>
      <c r="R57"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57" s="28" t="s">
        <v>113</v>
      </c>
    </row>
    <row r="58" spans="2:19">
      <c r="B58" s="29">
        <v>46661</v>
      </c>
      <c r="C58" s="28" t="s">
        <v>97</v>
      </c>
      <c r="D58" s="36">
        <v>1800</v>
      </c>
      <c r="E58" s="36">
        <v>1200</v>
      </c>
      <c r="F58" s="41" t="str">
        <f>IF(tblPlan[[#This Row],[Month]]="","",IFERROR(INDEX(tblFamilies[Line],MATCH(tblPlan[[#This Row],[Family]],tblFamilies[Family],0)),""))</f>
        <v>Line B</v>
      </c>
      <c r="G58" s="42">
        <f>IF(tblPlan[[#This Row],[Month]]="","",IFERROR(INDEX($D$6:$O$6,MATCH(tblPlan[[#This Row],[Month]],$D$5:$O$5,0)),""))</f>
        <v>21</v>
      </c>
      <c r="H58" s="43">
        <f>IF(tblPlan[[#This Row],[Month]]="","",IFERROR(INDEX(tblFamilies[Opening inventory (units)],MATCH(tblPlan[[#This Row],[Family]],tblFamilies[Family],0)),""))</f>
        <v>1200</v>
      </c>
      <c r="I58" s="43">
        <f>IF(tblPlan[[#This Row],[Month]]="","",tblPlan[[#This Row],[Start inv. (units)]]+SUMIFS(tblPlan[Production plan (units)],tblPlan[Family],tblPlan[[#This Row],[Family]],tblPlan[Month],"&lt;"&amp;tblPlan[[#This Row],[Month]])-SUMIFS(tblPlan[Demand forecast (units)],tblPlan[Family],tblPlan[[#This Row],[Family]],tblPlan[Month],"&lt;"&amp;tblPlan[[#This Row],[Month]]))</f>
        <v>500</v>
      </c>
      <c r="J58" s="43">
        <f>IF(tblPlan[[#This Row],[Month]]="","",tblPlan[[#This Row],[Opening inv. (units)]]+tblPlan[[#This Row],[Production plan (units)]]-tblPlan[[#This Row],[Demand forecast (units)]])</f>
        <v>-100</v>
      </c>
      <c r="K58" s="42">
        <f>IF(tblPlan[[#This Row],[Month]]="","",IF(AND(tblPlan[[#This Row],[Demand forecast (units)]]&gt;0,N(tblPlan[[#This Row],[Working days]])&gt;0),tblPlan[[#This Row],[Closing inv. (units)]]/(tblPlan[[#This Row],[Demand forecast (units)]]/tblPlan[[#This Row],[Working days]]),""))</f>
        <v>-1.16666666666667</v>
      </c>
      <c r="L58" s="44" t="str">
        <f>IF(tblPlan[[#This Row],[Month]]="","",IF(NOT(ISNUMBER(tblPlan[[#This Row],[Days of supply]])),"",IF(tblPlan[[#This Row],[Days of supply]]&lt;MinDOS,"Below target",IF(tblPlan[[#This Row],[Days of supply]]&gt;MaxDOS,"Above target","On target"))))</f>
        <v>Below target</v>
      </c>
      <c r="M58" s="37">
        <f>IF(tblPlan[[#This Row],[Month]]="","",IFERROR(INDEX(tblFamilies[Good rate (units/h)],MATCH(tblPlan[[#This Row],[Family]],tblFamilies[Family],0)),""))</f>
        <v>19.8</v>
      </c>
      <c r="N58" s="42">
        <f>IF(tblPlan[[#This Row],[Month]]="","",IF(N(tblPlan[[#This Row],[Good rate (units/h)]])&gt;0,tblPlan[[#This Row],[Production plan (units)]]/tblPlan[[#This Row],[Good rate (units/h)]],""))</f>
        <v>60.6060606060606</v>
      </c>
      <c r="O58" s="43">
        <f>IF(tblPlan[[#This Row],[Month]]="","",IFERROR(tblPlan[[#This Row],[Good rate (units/h)]]*tblPlan[[#This Row],[Working days]]*INDEX(tblLines[Hours per day],MATCH(tblPlan[[#This Row],[Line]],tblLines[Line],0))*INDEX(tblLines[Uptime],MATCH(tblPlan[[#This Row],[Line]],tblLines[Line],0)),""))</f>
        <v>2927.232</v>
      </c>
      <c r="P58" s="37">
        <f>IF(tblPlan[[#This Row],[Month]]="","",IFERROR(INDEX(tblFamilies[Price (per unit)],MATCH(tblPlan[[#This Row],[Family]],tblFamilies[Family],0)),""))</f>
        <v>140</v>
      </c>
      <c r="Q58" s="43">
        <f>IF(tblPlan[[#This Row],[Month]]="","",IF(N(tblPlan[[#This Row],[Price (per unit)]])&gt;0,tblPlan[[#This Row],[Demand forecast (units)]]*tblPlan[[#This Row],[Price (per unit)]],""))</f>
        <v>252000</v>
      </c>
      <c r="R58" s="45" t="str">
        <f>IF(tblPlan[[#This Row],[Month]]="","",IF(tblPlan[[#This Row],[Family]]="","Missing family",IF(tblPlan[[#This Row],[Demand forecast (units)]]="","Missing demand forecast",IF(tblPlan[[#This Row],[Production plan (units)]]="","Missing production plan",IF(tblPlan[[#This Row],[Line]]="","Family not on Setup list",IF(tblPlan[[#This Row],[Working days]]="","Month not in the calendar",IF(COUNTIFS(tblPlan[Month],tblPlan[[#This Row],[Month]],tblPlan[Family],tblPlan[[#This Row],[Family]])&gt;1,"Duplicate family month",IF(tblPlan[[#This Row],[Production plan (units)]]&gt;N(tblPlan[[#This Row],[Capacity (units)]]),"Above line capacity","OK"))))))))</f>
        <v>OK</v>
      </c>
      <c r="S58" s="28" t="s">
        <v>117</v>
      </c>
    </row>
  </sheetData>
  <mergeCells count="4">
    <mergeCell ref="A1:S1"/>
    <mergeCell ref="B2:R2"/>
    <mergeCell ref="B4:O4"/>
    <mergeCell ref="B8:S8"/>
  </mergeCells>
  <conditionalFormatting sqref="L11:L55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R11:R558">
    <cfRule type="expression" dxfId="3" priority="21">
      <formula>$R11="OK"</formula>
    </cfRule>
    <cfRule type="expression" dxfId="1" priority="22">
      <formula>AND($R11&lt;&gt;"",$R11&lt;&gt;"OK")</formula>
    </cfRule>
  </conditionalFormatting>
  <dataValidations count="17">
    <dataValidation type="decimal" allowBlank="1" showInputMessage="1" showErrorMessage="1" errorTitle="Check this entry" error="Enter a number from 0 to 31." promptTitle="Working days" prompt="Days the plant works this month (holidays and shutdowns removed). Enter a number from 0 to 31." sqref="D6">
      <formula1>0</formula1>
      <formula2>31</formula2>
    </dataValidation>
    <dataValidation type="decimal" allowBlank="1" showInputMessage="1" showErrorMessage="1" errorTitle="Check this entry" error="Enter a number from 0 to 31." promptTitle="Working days" prompt="Days the plant works this month (holidays and shutdowns removed). Enter a number from 0 to 31." sqref="E6">
      <formula1>0</formula1>
      <formula2>31</formula2>
    </dataValidation>
    <dataValidation type="decimal" allowBlank="1" showInputMessage="1" showErrorMessage="1" errorTitle="Check this entry" error="Enter a number from 0 to 31." promptTitle="Working days" prompt="Days the plant works this month (holidays and shutdowns removed). Enter a number from 0 to 31." sqref="F6">
      <formula1>0</formula1>
      <formula2>31</formula2>
    </dataValidation>
    <dataValidation type="decimal" allowBlank="1" showInputMessage="1" showErrorMessage="1" errorTitle="Check this entry" error="Enter a number from 0 to 31." promptTitle="Working days" prompt="Days the plant works this month (holidays and shutdowns removed). Enter a number from 0 to 31." sqref="G6">
      <formula1>0</formula1>
      <formula2>31</formula2>
    </dataValidation>
    <dataValidation type="decimal" allowBlank="1" showInputMessage="1" showErrorMessage="1" errorTitle="Check this entry" error="Enter a number from 0 to 31." promptTitle="Working days" prompt="Days the plant works this month (holidays and shutdowns removed). Enter a number from 0 to 31." sqref="H6">
      <formula1>0</formula1>
      <formula2>31</formula2>
    </dataValidation>
    <dataValidation type="decimal" allowBlank="1" showInputMessage="1" showErrorMessage="1" errorTitle="Check this entry" error="Enter a number from 0 to 31." promptTitle="Working days" prompt="Days the plant works this month (holidays and shutdowns removed). Enter a number from 0 to 31." sqref="I6">
      <formula1>0</formula1>
      <formula2>31</formula2>
    </dataValidation>
    <dataValidation type="decimal" allowBlank="1" showInputMessage="1" showErrorMessage="1" errorTitle="Check this entry" error="Enter a number from 0 to 31." promptTitle="Working days" prompt="Days the plant works this month (holidays and shutdowns removed). Enter a number from 0 to 31." sqref="J6">
      <formula1>0</formula1>
      <formula2>31</formula2>
    </dataValidation>
    <dataValidation type="decimal" allowBlank="1" showInputMessage="1" showErrorMessage="1" errorTitle="Check this entry" error="Enter a number from 0 to 31." promptTitle="Working days" prompt="Days the plant works this month (holidays and shutdowns removed). Enter a number from 0 to 31." sqref="K6">
      <formula1>0</formula1>
      <formula2>31</formula2>
    </dataValidation>
    <dataValidation type="decimal" allowBlank="1" showInputMessage="1" showErrorMessage="1" errorTitle="Check this entry" error="Enter a number from 0 to 31." promptTitle="Working days" prompt="Days the plant works this month (holidays and shutdowns removed). Enter a number from 0 to 31." sqref="L6">
      <formula1>0</formula1>
      <formula2>31</formula2>
    </dataValidation>
    <dataValidation type="decimal" allowBlank="1" showInputMessage="1" showErrorMessage="1" errorTitle="Check this entry" error="Enter a number from 0 to 31." promptTitle="Working days" prompt="Days the plant works this month (holidays and shutdowns removed). Enter a number from 0 to 31." sqref="M6">
      <formula1>0</formula1>
      <formula2>31</formula2>
    </dataValidation>
    <dataValidation type="decimal" allowBlank="1" showInputMessage="1" showErrorMessage="1" errorTitle="Check this entry" error="Enter a number from 0 to 31." promptTitle="Working days" prompt="Days the plant works this month (holidays and shutdowns removed). Enter a number from 0 to 31." sqref="N6">
      <formula1>0</formula1>
      <formula2>31</formula2>
    </dataValidation>
    <dataValidation type="decimal" allowBlank="1" showInputMessage="1" showErrorMessage="1" errorTitle="Check this entry" error="Enter a number from 0 to 31." promptTitle="Working days" prompt="Days the plant works this month (holidays and shutdowns removed). Enter a number from 0 to 31." sqref="O6">
      <formula1>0</formula1>
      <formula2>31</formula2>
    </dataValidation>
    <dataValidation type="date" allowBlank="1" showInputMessage="1" showErrorMessage="1" errorTitle="Check this entry" error="Enter a date between 01 Jan 2000 and 31 Dec 2100." promptTitle="Month" prompt="First day of the month (one of the plan calendar's months). Enter a date between 01 Jan 2000 and 31 Dec 2100." sqref="B11:B558">
      <formula1>36526</formula1>
      <formula2>73415</formula2>
    </dataValidation>
    <dataValidation type="list" allowBlank="1" showInputMessage="1" showErrorMessage="1" errorTitle="Check this entry" error="Pick from the list (edit the list on Setup: Families)." promptTitle="Family" prompt="Pick from the list (edit the list on Setup: Families)." sqref="C11:C558">
      <formula1>Families</formula1>
    </dataValidation>
    <dataValidation type="decimal" allowBlank="1" showInputMessage="1" showErrorMessage="1" errorTitle="Check this entry" error="Enter a number of at least 0." promptTitle="Demand forecast (units)" prompt="Consensus demand forecast for the month (orders or shipments). Enter a number of at least 0." sqref="D11:D558">
      <formula1>0</formula1>
      <formula2>1000000000.0</formula2>
    </dataValidation>
    <dataValidation type="decimal" allowBlank="1" showInputMessage="1" showErrorMessage="1" errorTitle="Check this entry" error="Enter a number of at least 0." promptTitle="Production plan (units)" prompt="Good units the plant plans to finish in the month. Enter a number of at least 0." sqref="E11:E558">
      <formula1>0</formula1>
      <formula2>1000000000.0</formula2>
    </dataValidation>
    <dataValidation type="textLength" allowBlank="1" showInputMessage="1" showErrorMessage="1" errorTitle="Check this entry" error="Text up to 255 characters." promptTitle="Notes" prompt="Text up to 255 characters." sqref="S11:S558">
      <formula1>0</formula1>
      <formula2>255</formula2>
    </dataValidation>
  </dataValidations>
  <hyperlinks>
    <hyperlink ref="S2" r:id="rId1" tooltip="Free manufacturing calculators and templates"/>
  </hyperlinks>
  <pageMargins left="0.4" right="0.4" top="0.7" bottom="0.65" header="0.3" footer="0.3"/>
  <pageSetup fitToHeight="0" orientation="landscape"/>
  <headerFooter>
    <oddHeader>&amp;L&amp;8MFG Calcs - S&amp;&amp;OP Monthly Plan&amp;R&amp;8&amp;A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sheetPr>
    <tabColor rgb="FF1BA37A"/>
    <pageSetUpPr fitToPage="1"/>
  </sheetPr>
  <dimension ref="A1:O60"/>
  <sheetViews>
    <sheetView showGridLines="0" zoomScale="90" zoomScaleNormal="90" workbookViewId="0"/>
  </sheetViews>
  <sheetFormatPr defaultRowHeight="15"/>
  <cols>
    <col min="1" max="1" width="2.7109375" customWidth="1"/>
    <col min="2" max="2" width="20.7109375" customWidth="1"/>
    <col min="3" max="15" width="9.28515625" customWidth="1"/>
  </cols>
  <sheetData>
    <row r="1" spans="1:15" ht="30" customHeight="1">
      <c r="A1" s="1" t="s">
        <v>0</v>
      </c>
      <c r="B1" s="1"/>
      <c r="C1" s="1"/>
      <c r="D1" s="1"/>
      <c r="E1" s="1"/>
      <c r="F1" s="1"/>
      <c r="G1" s="1"/>
      <c r="H1" s="1"/>
      <c r="I1" s="1"/>
      <c r="J1" s="1"/>
      <c r="K1" s="1"/>
      <c r="L1" s="1"/>
      <c r="M1" s="1"/>
      <c r="N1" s="1"/>
      <c r="O1" s="1"/>
    </row>
    <row r="2" spans="1:15" ht="21" customHeight="1">
      <c r="B2" s="2" t="s">
        <v>22</v>
      </c>
      <c r="C2" s="2"/>
      <c r="D2" s="2"/>
      <c r="E2" s="2"/>
      <c r="F2" s="2"/>
      <c r="G2" s="2"/>
      <c r="H2" s="2"/>
      <c r="I2" s="2"/>
      <c r="J2" s="2"/>
      <c r="K2" s="2"/>
      <c r="L2" s="2"/>
      <c r="M2" s="2"/>
      <c r="N2" s="3" t="s">
        <v>2</v>
      </c>
      <c r="O2" s="3"/>
    </row>
    <row r="3" spans="1:15" ht="6" customHeight="1"/>
    <row r="4" spans="1:15" ht="18" customHeight="1">
      <c r="B4" s="46" t="str">
        <f>"REVENUE PLAN ("&amp;Currency&amp;")"</f>
        <v>REVENUE PLAN (USD)</v>
      </c>
      <c r="C4" s="46"/>
      <c r="D4" s="46"/>
      <c r="E4" s="46" t="s">
        <v>118</v>
      </c>
      <c r="F4" s="46"/>
      <c r="G4" s="46"/>
      <c r="H4" s="46" t="s">
        <v>119</v>
      </c>
      <c r="I4" s="46"/>
      <c r="J4" s="46"/>
      <c r="K4" s="46"/>
      <c r="L4" s="46" t="s">
        <v>120</v>
      </c>
      <c r="M4" s="46"/>
      <c r="N4" s="46"/>
      <c r="O4" s="46"/>
    </row>
    <row r="5" spans="1:15" ht="21" customHeight="1">
      <c r="B5" s="47">
        <f>SUM($K$44:$K$47)</f>
        <v>21748500</v>
      </c>
      <c r="C5" s="47"/>
      <c r="D5" s="47"/>
      <c r="E5" s="48">
        <f>IF((SUM($D$44:$D$47))=0,"",(SUM($E$44:$E$47))/(SUM($D$44:$D$47)))</f>
        <v>0.9679186228482</v>
      </c>
      <c r="F5" s="48"/>
      <c r="G5" s="48"/>
      <c r="H5" s="49">
        <f>MAX($C$28:$N$29)</f>
        <v>1.04587289461239</v>
      </c>
      <c r="I5" s="49"/>
      <c r="J5" s="49"/>
      <c r="K5" s="49"/>
      <c r="L5" s="47">
        <f>COUNTIFS(tblPlan[Closing inv. (units)],"&lt;0")</f>
        <v>1</v>
      </c>
      <c r="M5" s="47"/>
      <c r="N5" s="47"/>
      <c r="O5" s="47"/>
    </row>
    <row r="6" spans="1:15" ht="21" customHeight="1">
      <c r="B6" s="47"/>
      <c r="C6" s="47"/>
      <c r="D6" s="47"/>
      <c r="E6" s="48"/>
      <c r="F6" s="48"/>
      <c r="G6" s="48"/>
      <c r="H6" s="49"/>
      <c r="I6" s="49"/>
      <c r="J6" s="49"/>
      <c r="K6" s="49"/>
      <c r="L6" s="47"/>
      <c r="M6" s="47"/>
      <c r="N6" s="47"/>
      <c r="O6" s="47"/>
    </row>
    <row r="7" spans="1:15">
      <c r="B7" s="50" t="s">
        <v>121</v>
      </c>
      <c r="C7" s="50"/>
      <c r="D7" s="50"/>
      <c r="E7" s="50" t="s">
        <v>122</v>
      </c>
      <c r="F7" s="50"/>
      <c r="G7" s="50"/>
      <c r="H7" s="51">
        <f>OverAt</f>
        <v>1</v>
      </c>
      <c r="I7" s="51"/>
      <c r="J7" s="51"/>
      <c r="K7" s="51"/>
      <c r="L7" s="52">
        <f>0</f>
        <v>0</v>
      </c>
      <c r="M7" s="52"/>
      <c r="N7" s="52"/>
      <c r="O7" s="52"/>
    </row>
    <row r="8" spans="1:15" ht="18" customHeight="1">
      <c r="B8" s="53"/>
      <c r="C8" s="53"/>
      <c r="D8" s="53"/>
      <c r="E8" s="53"/>
      <c r="F8" s="53"/>
      <c r="G8" s="53"/>
      <c r="H8" s="53" t="str">
        <f>IF(NOT(ISNUMBER(KpiPeak)),"No data",IF(KpiPeak&lt;=(NearAt),"Under capacity",IF(KpiPeak&lt;=(OverAt),"Near capacity","Over capacity")))</f>
        <v>Over capacity</v>
      </c>
      <c r="I8" s="53"/>
      <c r="J8" s="53"/>
      <c r="K8" s="53"/>
      <c r="L8" s="53" t="str">
        <f>IF(NOT(ISNUMBER(KpiShort)),"No data",IF(KpiShort&lt;=(0),"OK",IF(KpiShort&lt;=(0),"Check","Below target")))</f>
        <v>Below target</v>
      </c>
      <c r="M8" s="53"/>
      <c r="N8" s="53"/>
      <c r="O8" s="53"/>
    </row>
    <row r="26" spans="2:14">
      <c r="B26" s="32" t="s">
        <v>123</v>
      </c>
      <c r="C26" s="32"/>
      <c r="D26" s="32"/>
      <c r="E26" s="32"/>
      <c r="F26" s="32"/>
      <c r="G26" s="32"/>
      <c r="H26" s="32"/>
      <c r="I26" s="32"/>
      <c r="J26" s="32"/>
      <c r="K26" s="32"/>
      <c r="L26" s="32"/>
      <c r="M26" s="32"/>
      <c r="N26" s="32"/>
    </row>
    <row r="27" spans="2:14">
      <c r="B27" s="38" t="s">
        <v>124</v>
      </c>
      <c r="C27" s="54">
        <f>INDEX(Plan!$D$5:$O$5,1)</f>
        <v>46327</v>
      </c>
      <c r="D27" s="54">
        <f>INDEX(Plan!$D$5:$O$5,2)</f>
        <v>46357</v>
      </c>
      <c r="E27" s="54">
        <f>INDEX(Plan!$D$5:$O$5,3)</f>
        <v>46388</v>
      </c>
      <c r="F27" s="54">
        <f>INDEX(Plan!$D$5:$O$5,4)</f>
        <v>46419</v>
      </c>
      <c r="G27" s="54">
        <f>INDEX(Plan!$D$5:$O$5,5)</f>
        <v>46447</v>
      </c>
      <c r="H27" s="54">
        <f>INDEX(Plan!$D$5:$O$5,6)</f>
        <v>46478</v>
      </c>
      <c r="I27" s="54">
        <f>INDEX(Plan!$D$5:$O$5,7)</f>
        <v>46508</v>
      </c>
      <c r="J27" s="54">
        <f>INDEX(Plan!$D$5:$O$5,8)</f>
        <v>46539</v>
      </c>
      <c r="K27" s="54">
        <f>INDEX(Plan!$D$5:$O$5,9)</f>
        <v>46569</v>
      </c>
      <c r="L27" s="54">
        <f>INDEX(Plan!$D$5:$O$5,10)</f>
        <v>46600</v>
      </c>
      <c r="M27" s="54">
        <f>INDEX(Plan!$D$5:$O$5,11)</f>
        <v>46631</v>
      </c>
      <c r="N27" s="54">
        <f>INDEX(Plan!$D$5:$O$5,12)</f>
        <v>46661</v>
      </c>
    </row>
    <row r="28" spans="2:14">
      <c r="B28" s="55" t="str">
        <f>IFERROR(INDEX(tblLines[Line],1)&amp;"","")</f>
        <v>Line A</v>
      </c>
      <c r="C28" s="56">
        <f>IF($B$28="","",IF($C$56&gt;0,$C$51/$C$56,""))</f>
        <v>0.943234436631796</v>
      </c>
      <c r="D28" s="56">
        <f>IF($B$28="","",IF($D$56&gt;0,$D$51/$D$56,""))</f>
        <v>0.942106165774581</v>
      </c>
      <c r="E28" s="56">
        <f>IF($B$28="","",IF($E$56&gt;0,$E$51/$E$56,""))</f>
        <v>0.83247584748185</v>
      </c>
      <c r="F28" s="56">
        <f>IF($B$28="","",IF($F$56&gt;0,$F$51/$F$56,""))</f>
        <v>0.764591550906077</v>
      </c>
      <c r="G28" s="56">
        <f>IF($B$28="","",IF($G$56&gt;0,$G$51/$G$56,""))</f>
        <v>0.866029641670333</v>
      </c>
      <c r="H28" s="56">
        <f>IF($B$28="","",IF($H$56&gt;0,$H$51/$H$56,""))</f>
        <v>1.04587289461239</v>
      </c>
      <c r="I28" s="56">
        <f>IF($B$28="","",IF($I$56&gt;0,$I$51/$I$56,""))</f>
        <v>1.00040016006403</v>
      </c>
      <c r="J28" s="56">
        <f>IF($B$28="","",IF($J$56&gt;0,$J$51/$J$56,""))</f>
        <v>0.727563752773837</v>
      </c>
      <c r="K28" s="56">
        <f>IF($B$28="","",IF($K$56&gt;0,$K$51/$K$56,""))</f>
        <v>0.505304162481319</v>
      </c>
      <c r="L28" s="56">
        <f>IF($B$28="","",IF($L$56&gt;0,$L$51/$L$56,""))</f>
        <v>0.37352603379014</v>
      </c>
      <c r="M28" s="56">
        <f>IF($B$28="","",IF($M$56&gt;0,$M$51/$M$56,""))</f>
        <v>0.496797358399142</v>
      </c>
      <c r="N28" s="56">
        <f>IF($B$28="","",IF($N$56&gt;0,$N$51/$N$56,""))</f>
        <v>0.64991983187833</v>
      </c>
    </row>
    <row r="29" spans="2:14">
      <c r="B29" s="55" t="str">
        <f>IFERROR(INDEX(tblLines[Line],2)&amp;"","")</f>
        <v>Line B</v>
      </c>
      <c r="C29" s="56">
        <f>IF($B$29="","",IF($C$57&gt;0,$C$52/$C$57,""))</f>
        <v>0.515224559646047</v>
      </c>
      <c r="D29" s="56">
        <f>IF($B$29="","",IF($D$57&gt;0,$D$52/$D$57,""))</f>
        <v>0.391309792136238</v>
      </c>
      <c r="E29" s="56">
        <f>IF($B$29="","",IF($E$57&gt;0,$E$52/$E$57,""))</f>
        <v>0.401092536939644</v>
      </c>
      <c r="F29" s="56">
        <f>IF($B$29="","",IF($F$57&gt;0,$F$52/$F$57,""))</f>
        <v>0.567399198597546</v>
      </c>
      <c r="G29" s="56">
        <f>IF($B$29="","",IF($G$57&gt;0,$G$52/$G$57,""))</f>
        <v>0.638005095874302</v>
      </c>
      <c r="H29" s="56">
        <f>IF($B$29="","",IF($H$57&gt;0,$H$52/$H$57,""))</f>
        <v>0.758903839294523</v>
      </c>
      <c r="I29" s="56">
        <f>IF($B$29="","",IF($I$57&gt;0,$I$52/$I$57,""))</f>
        <v>0.867403372568662</v>
      </c>
      <c r="J29" s="56">
        <f>IF($B$29="","",IF($J$57&gt;0,$J$52/$J$57,""))</f>
        <v>0.79151298863921</v>
      </c>
      <c r="K29" s="56">
        <f>IF($B$29="","",IF($K$57&gt;0,$K$52/$K$57,""))</f>
        <v>0.807464650439857</v>
      </c>
      <c r="L29" s="56">
        <f>IF($B$29="","",IF($L$57&gt;0,$L$52/$L$57,""))</f>
        <v>0.782619584272477</v>
      </c>
      <c r="M29" s="56">
        <f>IF($B$29="","",IF($M$57&gt;0,$M$52/$M$57,""))</f>
        <v>0.760880151376019</v>
      </c>
      <c r="N29" s="56">
        <f>IF($B$29="","",IF($N$57&gt;0,$N$52/$N$57,""))</f>
        <v>0.62733792072635</v>
      </c>
    </row>
    <row r="31" spans="2:14">
      <c r="B31" s="32" t="s">
        <v>125</v>
      </c>
      <c r="C31" s="32"/>
      <c r="D31" s="32"/>
      <c r="E31" s="32"/>
      <c r="F31" s="32"/>
      <c r="G31" s="32"/>
      <c r="H31" s="32"/>
      <c r="I31" s="32"/>
      <c r="J31" s="32"/>
      <c r="K31" s="32"/>
      <c r="L31" s="32"/>
      <c r="M31" s="32"/>
      <c r="N31" s="32"/>
    </row>
    <row r="32" spans="2:14">
      <c r="B32" s="38" t="s">
        <v>126</v>
      </c>
      <c r="C32" s="39">
        <f>INDEX(Plan!$D$5:$O$5,1)</f>
        <v>46327</v>
      </c>
      <c r="D32" s="39">
        <f>INDEX(Plan!$D$5:$O$5,2)</f>
        <v>46357</v>
      </c>
      <c r="E32" s="39">
        <f>INDEX(Plan!$D$5:$O$5,3)</f>
        <v>46388</v>
      </c>
      <c r="F32" s="39">
        <f>INDEX(Plan!$D$5:$O$5,4)</f>
        <v>46419</v>
      </c>
      <c r="G32" s="39">
        <f>INDEX(Plan!$D$5:$O$5,5)</f>
        <v>46447</v>
      </c>
      <c r="H32" s="39">
        <f>INDEX(Plan!$D$5:$O$5,6)</f>
        <v>46478</v>
      </c>
      <c r="I32" s="39">
        <f>INDEX(Plan!$D$5:$O$5,7)</f>
        <v>46508</v>
      </c>
      <c r="J32" s="39">
        <f>INDEX(Plan!$D$5:$O$5,8)</f>
        <v>46539</v>
      </c>
      <c r="K32" s="39">
        <f>INDEX(Plan!$D$5:$O$5,9)</f>
        <v>46569</v>
      </c>
      <c r="L32" s="39">
        <f>INDEX(Plan!$D$5:$O$5,10)</f>
        <v>46600</v>
      </c>
      <c r="M32" s="39">
        <f>INDEX(Plan!$D$5:$O$5,11)</f>
        <v>46631</v>
      </c>
      <c r="N32" s="39">
        <f>INDEX(Plan!$D$5:$O$5,12)</f>
        <v>46661</v>
      </c>
    </row>
    <row r="33" spans="2:14">
      <c r="B33" s="27" t="s">
        <v>127</v>
      </c>
      <c r="C33" s="43">
        <f>SUMIFS(tblPlan[Demand forecast (units)],tblPlan[Month],$C$32)</f>
        <v>5500</v>
      </c>
      <c r="D33" s="43">
        <f>SUMIFS(tblPlan[Demand forecast (units)],tblPlan[Month],$D$32)</f>
        <v>4700</v>
      </c>
      <c r="E33" s="43">
        <f>SUMIFS(tblPlan[Demand forecast (units)],tblPlan[Month],$E$32)</f>
        <v>4000</v>
      </c>
      <c r="F33" s="43">
        <f>SUMIFS(tblPlan[Demand forecast (units)],tblPlan[Month],$F$32)</f>
        <v>4000</v>
      </c>
      <c r="G33" s="43">
        <f>SUMIFS(tblPlan[Demand forecast (units)],tblPlan[Month],$G$32)</f>
        <v>5800</v>
      </c>
      <c r="H33" s="43">
        <f>SUMIFS(tblPlan[Demand forecast (units)],tblPlan[Month],$H$32)</f>
        <v>7100</v>
      </c>
      <c r="I33" s="43">
        <f>SUMIFS(tblPlan[Demand forecast (units)],tblPlan[Month],$I$32)</f>
        <v>7550</v>
      </c>
      <c r="J33" s="43">
        <f>SUMIFS(tblPlan[Demand forecast (units)],tblPlan[Month],$J$32)</f>
        <v>6450</v>
      </c>
      <c r="K33" s="43">
        <f>SUMIFS(tblPlan[Demand forecast (units)],tblPlan[Month],$K$32)</f>
        <v>5000</v>
      </c>
      <c r="L33" s="43">
        <f>SUMIFS(tblPlan[Demand forecast (units)],tblPlan[Month],$L$32)</f>
        <v>4200</v>
      </c>
      <c r="M33" s="43">
        <f>SUMIFS(tblPlan[Demand forecast (units)],tblPlan[Month],$M$32)</f>
        <v>4400</v>
      </c>
      <c r="N33" s="43">
        <f>SUMIFS(tblPlan[Demand forecast (units)],tblPlan[Month],$N$32)</f>
        <v>5200</v>
      </c>
    </row>
    <row r="34" spans="2:14">
      <c r="B34" s="27" t="s">
        <v>128</v>
      </c>
      <c r="C34" s="43">
        <f>SUMIFS(tblPlan[Production plan (units)],tblPlan[Month],$C$32)</f>
        <v>5100</v>
      </c>
      <c r="D34" s="43">
        <f>SUMIFS(tblPlan[Production plan (units)],tblPlan[Month],$D$32)</f>
        <v>4500</v>
      </c>
      <c r="E34" s="43">
        <f>SUMIFS(tblPlan[Production plan (units)],tblPlan[Month],$E$32)</f>
        <v>4400</v>
      </c>
      <c r="F34" s="43">
        <f>SUMIFS(tblPlan[Production plan (units)],tblPlan[Month],$F$32)</f>
        <v>4700</v>
      </c>
      <c r="G34" s="43">
        <f>SUMIFS(tblPlan[Production plan (units)],tblPlan[Month],$G$32)</f>
        <v>6150</v>
      </c>
      <c r="H34" s="43">
        <f>SUMIFS(tblPlan[Production plan (units)],tblPlan[Month],$H$32)</f>
        <v>7100</v>
      </c>
      <c r="I34" s="43">
        <f>SUMIFS(tblPlan[Production plan (units)],tblPlan[Month],$I$32)</f>
        <v>6600</v>
      </c>
      <c r="J34" s="43">
        <f>SUMIFS(tblPlan[Production plan (units)],tblPlan[Month],$J$32)</f>
        <v>5800</v>
      </c>
      <c r="K34" s="43">
        <f>SUMIFS(tblPlan[Production plan (units)],tblPlan[Month],$K$32)</f>
        <v>4600</v>
      </c>
      <c r="L34" s="43">
        <f>SUMIFS(tblPlan[Production plan (units)],tblPlan[Month],$L$32)</f>
        <v>4100</v>
      </c>
      <c r="M34" s="43">
        <f>SUMIFS(tblPlan[Production plan (units)],tblPlan[Month],$M$32)</f>
        <v>4300</v>
      </c>
      <c r="N34" s="43">
        <f>SUMIFS(tblPlan[Production plan (units)],tblPlan[Month],$N$32)</f>
        <v>4500</v>
      </c>
    </row>
    <row r="35" spans="2:14">
      <c r="B35" s="27" t="s">
        <v>129</v>
      </c>
      <c r="C35" s="57">
        <f>SUMIFS(tblPlan[Closing inv. (units)],tblPlan[Month],$C$32)</f>
        <v>5000</v>
      </c>
      <c r="D35" s="57">
        <f>SUMIFS(tblPlan[Closing inv. (units)],tblPlan[Month],$D$32)</f>
        <v>4800</v>
      </c>
      <c r="E35" s="57">
        <f>SUMIFS(tblPlan[Closing inv. (units)],tblPlan[Month],$E$32)</f>
        <v>5200</v>
      </c>
      <c r="F35" s="57">
        <f>SUMIFS(tblPlan[Closing inv. (units)],tblPlan[Month],$F$32)</f>
        <v>5900</v>
      </c>
      <c r="G35" s="57">
        <f>SUMIFS(tblPlan[Closing inv. (units)],tblPlan[Month],$G$32)</f>
        <v>6250</v>
      </c>
      <c r="H35" s="57">
        <f>SUMIFS(tblPlan[Closing inv. (units)],tblPlan[Month],$H$32)</f>
        <v>6250</v>
      </c>
      <c r="I35" s="57">
        <f>SUMIFS(tblPlan[Closing inv. (units)],tblPlan[Month],$I$32)</f>
        <v>5300</v>
      </c>
      <c r="J35" s="57">
        <f>SUMIFS(tblPlan[Closing inv. (units)],tblPlan[Month],$J$32)</f>
        <v>4650</v>
      </c>
      <c r="K35" s="57">
        <f>SUMIFS(tblPlan[Closing inv. (units)],tblPlan[Month],$K$32)</f>
        <v>4250</v>
      </c>
      <c r="L35" s="57">
        <f>SUMIFS(tblPlan[Closing inv. (units)],tblPlan[Month],$L$32)</f>
        <v>4150</v>
      </c>
      <c r="M35" s="57">
        <f>SUMIFS(tblPlan[Closing inv. (units)],tblPlan[Month],$M$32)</f>
        <v>4050</v>
      </c>
      <c r="N35" s="57">
        <f>SUMIFS(tblPlan[Closing inv. (units)],tblPlan[Month],$N$32)</f>
        <v>3350</v>
      </c>
    </row>
    <row r="36" spans="2:14">
      <c r="B36" s="27" t="s">
        <v>130</v>
      </c>
      <c r="C36" s="43">
        <f>SUMIFS(tblPlan[Revenue],tblPlan[Month],$C$32)/1000</f>
        <v>2288.5</v>
      </c>
      <c r="D36" s="43">
        <f>SUMIFS(tblPlan[Revenue],tblPlan[Month],$D$32)/1000</f>
        <v>2333.5</v>
      </c>
      <c r="E36" s="43">
        <f>SUMIFS(tblPlan[Revenue],tblPlan[Month],$E$32)/1000</f>
        <v>1953</v>
      </c>
      <c r="F36" s="43">
        <f>SUMIFS(tblPlan[Revenue],tblPlan[Month],$F$32)/1000</f>
        <v>1547</v>
      </c>
      <c r="G36" s="43">
        <f>SUMIFS(tblPlan[Revenue],tblPlan[Month],$G$32)/1000</f>
        <v>1780</v>
      </c>
      <c r="H36" s="43">
        <f>SUMIFS(tblPlan[Revenue],tblPlan[Month],$H$32)/1000</f>
        <v>2122</v>
      </c>
      <c r="I36" s="43">
        <f>SUMIFS(tblPlan[Revenue],tblPlan[Month],$I$32)/1000</f>
        <v>2234.5</v>
      </c>
      <c r="J36" s="43">
        <f>SUMIFS(tblPlan[Revenue],tblPlan[Month],$J$32)/1000</f>
        <v>1842</v>
      </c>
      <c r="K36" s="43">
        <f>SUMIFS(tblPlan[Revenue],tblPlan[Month],$K$32)/1000</f>
        <v>1351</v>
      </c>
      <c r="L36" s="43">
        <f>SUMIFS(tblPlan[Revenue],tblPlan[Month],$L$32)/1000</f>
        <v>1111.5</v>
      </c>
      <c r="M36" s="43">
        <f>SUMIFS(tblPlan[Revenue],tblPlan[Month],$M$32)/1000</f>
        <v>1319</v>
      </c>
      <c r="N36" s="43">
        <f>SUMIFS(tblPlan[Revenue],tblPlan[Month],$N$32)/1000</f>
        <v>1866.5</v>
      </c>
    </row>
    <row r="37" spans="2:14">
      <c r="B37" s="27" t="s">
        <v>131</v>
      </c>
      <c r="C37" s="43">
        <f>COUNTIFS(tblPlan[Month],$C$32,tblPlan[Closing inv. (units)],"&lt;0")</f>
        <v>0</v>
      </c>
      <c r="D37" s="43">
        <f>COUNTIFS(tblPlan[Month],$D$32,tblPlan[Closing inv. (units)],"&lt;0")</f>
        <v>0</v>
      </c>
      <c r="E37" s="43">
        <f>COUNTIFS(tblPlan[Month],$E$32,tblPlan[Closing inv. (units)],"&lt;0")</f>
        <v>0</v>
      </c>
      <c r="F37" s="43">
        <f>COUNTIFS(tblPlan[Month],$F$32,tblPlan[Closing inv. (units)],"&lt;0")</f>
        <v>0</v>
      </c>
      <c r="G37" s="43">
        <f>COUNTIFS(tblPlan[Month],$G$32,tblPlan[Closing inv. (units)],"&lt;0")</f>
        <v>0</v>
      </c>
      <c r="H37" s="43">
        <f>COUNTIFS(tblPlan[Month],$H$32,tblPlan[Closing inv. (units)],"&lt;0")</f>
        <v>0</v>
      </c>
      <c r="I37" s="43">
        <f>COUNTIFS(tblPlan[Month],$I$32,tblPlan[Closing inv. (units)],"&lt;0")</f>
        <v>0</v>
      </c>
      <c r="J37" s="43">
        <f>COUNTIFS(tblPlan[Month],$J$32,tblPlan[Closing inv. (units)],"&lt;0")</f>
        <v>0</v>
      </c>
      <c r="K37" s="43">
        <f>COUNTIFS(tblPlan[Month],$K$32,tblPlan[Closing inv. (units)],"&lt;0")</f>
        <v>0</v>
      </c>
      <c r="L37" s="43">
        <f>COUNTIFS(tblPlan[Month],$L$32,tblPlan[Closing inv. (units)],"&lt;0")</f>
        <v>0</v>
      </c>
      <c r="M37" s="43">
        <f>COUNTIFS(tblPlan[Month],$M$32,tblPlan[Closing inv. (units)],"&lt;0")</f>
        <v>0</v>
      </c>
      <c r="N37" s="43">
        <f>COUNTIFS(tblPlan[Month],$N$32,tblPlan[Closing inv. (units)],"&lt;0")</f>
        <v>1</v>
      </c>
    </row>
    <row r="38" spans="2:14">
      <c r="B38" s="27" t="s">
        <v>132</v>
      </c>
      <c r="C38" s="58">
        <f>NearAt</f>
        <v>0.85</v>
      </c>
      <c r="D38" s="58">
        <f>NearAt</f>
        <v>0.85</v>
      </c>
      <c r="E38" s="58">
        <f>NearAt</f>
        <v>0.85</v>
      </c>
      <c r="F38" s="58">
        <f>NearAt</f>
        <v>0.85</v>
      </c>
      <c r="G38" s="58">
        <f>NearAt</f>
        <v>0.85</v>
      </c>
      <c r="H38" s="58">
        <f>NearAt</f>
        <v>0.85</v>
      </c>
      <c r="I38" s="58">
        <f>NearAt</f>
        <v>0.85</v>
      </c>
      <c r="J38" s="58">
        <f>NearAt</f>
        <v>0.85</v>
      </c>
      <c r="K38" s="58">
        <f>NearAt</f>
        <v>0.85</v>
      </c>
      <c r="L38" s="58">
        <f>NearAt</f>
        <v>0.85</v>
      </c>
      <c r="M38" s="58">
        <f>NearAt</f>
        <v>0.85</v>
      </c>
      <c r="N38" s="58">
        <f>NearAt</f>
        <v>0.85</v>
      </c>
    </row>
    <row r="39" spans="2:14">
      <c r="B39" s="27" t="s">
        <v>133</v>
      </c>
      <c r="C39" s="58">
        <f>OverAt</f>
        <v>1</v>
      </c>
      <c r="D39" s="58">
        <f>OverAt</f>
        <v>1</v>
      </c>
      <c r="E39" s="58">
        <f>OverAt</f>
        <v>1</v>
      </c>
      <c r="F39" s="58">
        <f>OverAt</f>
        <v>1</v>
      </c>
      <c r="G39" s="58">
        <f>OverAt</f>
        <v>1</v>
      </c>
      <c r="H39" s="58">
        <f>OverAt</f>
        <v>1</v>
      </c>
      <c r="I39" s="58">
        <f>OverAt</f>
        <v>1</v>
      </c>
      <c r="J39" s="58">
        <f>OverAt</f>
        <v>1</v>
      </c>
      <c r="K39" s="58">
        <f>OverAt</f>
        <v>1</v>
      </c>
      <c r="L39" s="58">
        <f>OverAt</f>
        <v>1</v>
      </c>
      <c r="M39" s="58">
        <f>OverAt</f>
        <v>1</v>
      </c>
      <c r="N39" s="58">
        <f>OverAt</f>
        <v>1</v>
      </c>
    </row>
    <row r="41" spans="2:14">
      <c r="B41" s="32" t="s">
        <v>134</v>
      </c>
      <c r="C41" s="32"/>
      <c r="D41" s="32"/>
      <c r="E41" s="32"/>
      <c r="F41" s="32"/>
      <c r="G41" s="32"/>
      <c r="H41" s="32"/>
      <c r="I41" s="32"/>
      <c r="J41" s="32"/>
      <c r="K41" s="32"/>
      <c r="L41" s="32"/>
      <c r="M41" s="32"/>
    </row>
    <row r="42" spans="2:14" ht="45.5" customHeight="1">
      <c r="B42" s="38" t="s">
        <v>65</v>
      </c>
      <c r="C42" s="33" t="s">
        <v>60</v>
      </c>
      <c r="D42" s="33" t="s">
        <v>135</v>
      </c>
      <c r="E42" s="33" t="s">
        <v>136</v>
      </c>
      <c r="F42" s="33" t="s">
        <v>137</v>
      </c>
      <c r="G42" s="33" t="s">
        <v>138</v>
      </c>
      <c r="H42" s="33" t="s">
        <v>139</v>
      </c>
      <c r="I42" s="33" t="s">
        <v>140</v>
      </c>
      <c r="J42" s="33" t="s">
        <v>141</v>
      </c>
      <c r="K42" s="33" t="s">
        <v>110</v>
      </c>
      <c r="L42" s="33" t="s">
        <v>142</v>
      </c>
      <c r="M42" s="33"/>
    </row>
    <row r="43" spans="2:14" ht="14" customHeight="1">
      <c r="B43" s="34"/>
      <c r="C43" s="34"/>
      <c r="D43" s="34"/>
      <c r="E43" s="34"/>
      <c r="F43" s="34"/>
      <c r="G43" s="34"/>
      <c r="H43" s="34"/>
      <c r="I43" s="34"/>
      <c r="J43" s="34"/>
      <c r="K43" s="34" t="str">
        <f>Currency</f>
        <v>USD</v>
      </c>
      <c r="L43" s="34"/>
      <c r="M43" s="34"/>
    </row>
    <row r="44" spans="2:14">
      <c r="B44" s="55" t="str">
        <f>IFERROR(INDEX(tblFamilies[Family],1)&amp;"","")</f>
        <v>Mowers</v>
      </c>
      <c r="C44" s="44" t="str">
        <f>IF($B$44="","",INDEX(tblFamilies[Line],MATCH($B$44,tblFamilies[Family],0)))</f>
        <v>Line A</v>
      </c>
      <c r="D44" s="43">
        <f>IF($B$44="","",SUMIFS(tblPlan[Demand forecast (units)],tblPlan[Family],$B$44))</f>
        <v>24900</v>
      </c>
      <c r="E44" s="43">
        <f>IF($B$44="","",SUMIFS(tblPlan[Production plan (units)],tblPlan[Family],$B$44))</f>
        <v>25400</v>
      </c>
      <c r="F44" s="59">
        <f>IF($B$44="","",IF(($D$44)=0,"",($E$44)/($D$44)))</f>
        <v>1.02008032128514</v>
      </c>
      <c r="G44" s="43">
        <f>IF($B$44="","",SUMIFS(tblPlan[Closing inv. (units)],tblPlan[Family],$B$44,tblPlan[Month],INDEX(Plan!$D$5:$O$5,12)))</f>
        <v>2000</v>
      </c>
      <c r="H44" s="43">
        <f>IF($B$44="","",COUNTIFS(tblPlan[Family],$B$44,tblPlan[Inventory status],"Below target"))</f>
        <v>0</v>
      </c>
      <c r="I44" s="43">
        <f>IF($B$44="","",COUNTIFS(tblPlan[Family],$B$44,tblPlan[Inventory status],"Above target"))</f>
        <v>6</v>
      </c>
      <c r="J44" s="43">
        <f>IF($B$44="","",COUNTIFS(tblPlan[Family],$B$44,tblPlan[Closing inv. (units)],"&lt;0"))</f>
        <v>0</v>
      </c>
      <c r="K44" s="43">
        <f>IF($B$44="","",SUMIFS(tblPlan[Revenue],tblPlan[Family],$B$44))</f>
        <v>10458000</v>
      </c>
      <c r="L44" s="44" t="str">
        <f>IF($B$44="","",IF($J$44&gt;0,"Below target",IF($H$44+$I$44&gt;0,"Check","On target")))</f>
        <v>Check</v>
      </c>
      <c r="M44" s="44"/>
    </row>
    <row r="45" spans="2:14">
      <c r="B45" s="55" t="str">
        <f>IFERROR(INDEX(tblFamilies[Family],2)&amp;"","")</f>
        <v>Snow blowers</v>
      </c>
      <c r="C45" s="44" t="str">
        <f>IF($B$45="","",INDEX(tblFamilies[Line],MATCH($B$45,tblFamilies[Family],0)))</f>
        <v>Line A</v>
      </c>
      <c r="D45" s="43">
        <f>IF($B$45="","",SUMIFS(tblPlan[Demand forecast (units)],tblPlan[Family],$B$45))</f>
        <v>12800</v>
      </c>
      <c r="E45" s="43">
        <f>IF($B$45="","",SUMIFS(tblPlan[Production plan (units)],tblPlan[Family],$B$45))</f>
        <v>11850</v>
      </c>
      <c r="F45" s="59">
        <f>IF($B$45="","",IF(($D$45)=0,"",($E$45)/($D$45)))</f>
        <v>0.92578125</v>
      </c>
      <c r="G45" s="43">
        <f>IF($B$45="","",SUMIFS(tblPlan[Closing inv. (units)],tblPlan[Family],$B$45,tblPlan[Month],INDEX(Plan!$D$5:$O$5,12)))</f>
        <v>850</v>
      </c>
      <c r="H45" s="43">
        <f>IF($B$45="","",COUNTIFS(tblPlan[Family],$B$45,tblPlan[Inventory status],"Below target"))</f>
        <v>4</v>
      </c>
      <c r="I45" s="43">
        <f>IF($B$45="","",COUNTIFS(tblPlan[Family],$B$45,tblPlan[Inventory status],"Above target"))</f>
        <v>2</v>
      </c>
      <c r="J45" s="43">
        <f>IF($B$45="","",COUNTIFS(tblPlan[Family],$B$45,tblPlan[Closing inv. (units)],"&lt;0"))</f>
        <v>0</v>
      </c>
      <c r="K45" s="43">
        <f>IF($B$45="","",SUMIFS(tblPlan[Revenue],tblPlan[Family],$B$45))</f>
        <v>8320000</v>
      </c>
      <c r="L45" s="44" t="str">
        <f>IF($B$45="","",IF($J$45&gt;0,"Below target",IF($H$45+$I$45&gt;0,"Check","On target")))</f>
        <v>Check</v>
      </c>
      <c r="M45" s="44"/>
    </row>
    <row r="46" spans="2:14">
      <c r="B46" s="55" t="str">
        <f>IFERROR(INDEX(tblFamilies[Family],3)&amp;"","")</f>
        <v>Trimmers</v>
      </c>
      <c r="C46" s="44" t="str">
        <f>IF($B$46="","",INDEX(tblFamilies[Line],MATCH($B$46,tblFamilies[Family],0)))</f>
        <v>Line B</v>
      </c>
      <c r="D46" s="43">
        <f>IF($B$46="","",SUMIFS(tblPlan[Demand forecast (units)],tblPlan[Family],$B$46))</f>
        <v>15500</v>
      </c>
      <c r="E46" s="43">
        <f>IF($B$46="","",SUMIFS(tblPlan[Production plan (units)],tblPlan[Family],$B$46))</f>
        <v>15200</v>
      </c>
      <c r="F46" s="59">
        <f>IF($B$46="","",IF(($D$46)=0,"",($E$46)/($D$46)))</f>
        <v>0.980645161290323</v>
      </c>
      <c r="G46" s="43">
        <f>IF($B$46="","",SUMIFS(tblPlan[Closing inv. (units)],tblPlan[Family],$B$46,tblPlan[Month],INDEX(Plan!$D$5:$O$5,12)))</f>
        <v>600</v>
      </c>
      <c r="H46" s="43">
        <f>IF($B$46="","",COUNTIFS(tblPlan[Family],$B$46,tblPlan[Inventory status],"Below target"))</f>
        <v>3</v>
      </c>
      <c r="I46" s="43">
        <f>IF($B$46="","",COUNTIFS(tblPlan[Family],$B$46,tblPlan[Inventory status],"Above target"))</f>
        <v>2</v>
      </c>
      <c r="J46" s="43">
        <f>IF($B$46="","",COUNTIFS(tblPlan[Family],$B$46,tblPlan[Closing inv. (units)],"&lt;0"))</f>
        <v>0</v>
      </c>
      <c r="K46" s="43">
        <f>IF($B$46="","",SUMIFS(tblPlan[Revenue],tblPlan[Family],$B$46))</f>
        <v>1472500</v>
      </c>
      <c r="L46" s="44" t="str">
        <f>IF($B$46="","",IF($J$46&gt;0,"Below target",IF($H$46+$I$46&gt;0,"Check","On target")))</f>
        <v>Check</v>
      </c>
      <c r="M46" s="44"/>
    </row>
    <row r="47" spans="2:14">
      <c r="B47" s="55" t="str">
        <f>IFERROR(INDEX(tblFamilies[Family],4)&amp;"","")</f>
        <v>Leaf blowers</v>
      </c>
      <c r="C47" s="44" t="str">
        <f>IF($B$47="","",INDEX(tblFamilies[Line],MATCH($B$47,tblFamilies[Family],0)))</f>
        <v>Line B</v>
      </c>
      <c r="D47" s="43">
        <f>IF($B$47="","",SUMIFS(tblPlan[Demand forecast (units)],tblPlan[Family],$B$47))</f>
        <v>10700</v>
      </c>
      <c r="E47" s="43">
        <f>IF($B$47="","",SUMIFS(tblPlan[Production plan (units)],tblPlan[Family],$B$47))</f>
        <v>9400</v>
      </c>
      <c r="F47" s="59">
        <f>IF($B$47="","",IF(($D$47)=0,"",($E$47)/($D$47)))</f>
        <v>0.878504672897196</v>
      </c>
      <c r="G47" s="43">
        <f>IF($B$47="","",SUMIFS(tblPlan[Closing inv. (units)],tblPlan[Family],$B$47,tblPlan[Month],INDEX(Plan!$D$5:$O$5,12)))</f>
        <v>-100</v>
      </c>
      <c r="H47" s="43">
        <f>IF($B$47="","",COUNTIFS(tblPlan[Family],$B$47,tblPlan[Inventory status],"Below target"))</f>
        <v>3</v>
      </c>
      <c r="I47" s="43">
        <f>IF($B$47="","",COUNTIFS(tblPlan[Family],$B$47,tblPlan[Inventory status],"Above target"))</f>
        <v>0</v>
      </c>
      <c r="J47" s="43">
        <f>IF($B$47="","",COUNTIFS(tblPlan[Family],$B$47,tblPlan[Closing inv. (units)],"&lt;0"))</f>
        <v>1</v>
      </c>
      <c r="K47" s="43">
        <f>IF($B$47="","",SUMIFS(tblPlan[Revenue],tblPlan[Family],$B$47))</f>
        <v>1498000</v>
      </c>
      <c r="L47" s="44" t="str">
        <f>IF($B$47="","",IF($J$47&gt;0,"Below target",IF($H$47+$I$47&gt;0,"Check","On target")))</f>
        <v>Below target</v>
      </c>
      <c r="M47" s="44"/>
    </row>
    <row r="49" spans="2:15">
      <c r="B49" s="32" t="s">
        <v>143</v>
      </c>
      <c r="C49" s="32"/>
      <c r="D49" s="32"/>
      <c r="E49" s="32"/>
      <c r="F49" s="32"/>
      <c r="G49" s="32"/>
      <c r="H49" s="32"/>
      <c r="I49" s="32"/>
      <c r="J49" s="32"/>
      <c r="K49" s="32"/>
      <c r="L49" s="32"/>
      <c r="M49" s="32"/>
      <c r="N49" s="32"/>
      <c r="O49" s="32"/>
    </row>
    <row r="50" spans="2:15">
      <c r="B50" s="38" t="s">
        <v>108</v>
      </c>
      <c r="C50" s="54">
        <f>INDEX(Plan!$D$5:$O$5,1)</f>
        <v>46327</v>
      </c>
      <c r="D50" s="54">
        <f>INDEX(Plan!$D$5:$O$5,2)</f>
        <v>46357</v>
      </c>
      <c r="E50" s="54">
        <f>INDEX(Plan!$D$5:$O$5,3)</f>
        <v>46388</v>
      </c>
      <c r="F50" s="54">
        <f>INDEX(Plan!$D$5:$O$5,4)</f>
        <v>46419</v>
      </c>
      <c r="G50" s="54">
        <f>INDEX(Plan!$D$5:$O$5,5)</f>
        <v>46447</v>
      </c>
      <c r="H50" s="54">
        <f>INDEX(Plan!$D$5:$O$5,6)</f>
        <v>46478</v>
      </c>
      <c r="I50" s="54">
        <f>INDEX(Plan!$D$5:$O$5,7)</f>
        <v>46508</v>
      </c>
      <c r="J50" s="54">
        <f>INDEX(Plan!$D$5:$O$5,8)</f>
        <v>46539</v>
      </c>
      <c r="K50" s="54">
        <f>INDEX(Plan!$D$5:$O$5,9)</f>
        <v>46569</v>
      </c>
      <c r="L50" s="54">
        <f>INDEX(Plan!$D$5:$O$5,10)</f>
        <v>46600</v>
      </c>
      <c r="M50" s="54">
        <f>INDEX(Plan!$D$5:$O$5,11)</f>
        <v>46631</v>
      </c>
      <c r="N50" s="54">
        <f>INDEX(Plan!$D$5:$O$5,12)</f>
        <v>46661</v>
      </c>
      <c r="O50" s="33" t="s">
        <v>144</v>
      </c>
    </row>
    <row r="51" spans="2:15">
      <c r="B51" s="55" t="str">
        <f>IFERROR(INDEX(tblLines[Line],1)&amp;"","")</f>
        <v>Line A</v>
      </c>
      <c r="C51" s="60">
        <f>IF($B$51="","",SUMIFS(tblPlan[Load (h)],tblPlan[Line],$B$51,tblPlan[Month],$C$50))</f>
        <v>256.559766763848</v>
      </c>
      <c r="D51" s="60">
        <f>IF($B$51="","",SUMIFS(tblPlan[Load (h)],tblPlan[Line],$B$51,tblPlan[Month],$D$50))</f>
        <v>243.440233236152</v>
      </c>
      <c r="E51" s="60">
        <f>IF($B$51="","",SUMIFS(tblPlan[Load (h)],tblPlan[Line],$B$51,tblPlan[Month],$E$50))</f>
        <v>226.433430515063</v>
      </c>
      <c r="F51" s="60">
        <f>IF($B$51="","",SUMIFS(tblPlan[Load (h)],tblPlan[Line],$B$51,tblPlan[Month],$F$50))</f>
        <v>207.968901846453</v>
      </c>
      <c r="G51" s="60">
        <f>IF($B$51="","",SUMIFS(tblPlan[Load (h)],tblPlan[Line],$B$51,tblPlan[Month],$G$50))</f>
        <v>270.89407191448</v>
      </c>
      <c r="H51" s="60">
        <f>IF($B$51="","",SUMIFS(tblPlan[Load (h)],tblPlan[Line],$B$51,tblPlan[Month],$H$50))</f>
        <v>312.925170068027</v>
      </c>
      <c r="I51" s="60">
        <f>IF($B$51="","",SUMIFS(tblPlan[Load (h)],tblPlan[Line],$B$51,tblPlan[Month],$I$50))</f>
        <v>272.108843537415</v>
      </c>
      <c r="J51" s="60">
        <f>IF($B$51="","",SUMIFS(tblPlan[Load (h)],tblPlan[Line],$B$51,tblPlan[Month],$J$50))</f>
        <v>217.687074829932</v>
      </c>
      <c r="K51" s="60">
        <f>IF($B$51="","",SUMIFS(tblPlan[Load (h)],tblPlan[Line],$B$51,tblPlan[Month],$K$50))</f>
        <v>144.314868804665</v>
      </c>
      <c r="L51" s="60">
        <f>IF($B$51="","",SUMIFS(tblPlan[Load (h)],tblPlan[Line],$B$51,tblPlan[Month],$L$50))</f>
        <v>111.75898931001</v>
      </c>
      <c r="M51" s="60">
        <f>IF($B$51="","",SUMIFS(tblPlan[Load (h)],tblPlan[Line],$B$51,tblPlan[Month],$M$50))</f>
        <v>141.885325558795</v>
      </c>
      <c r="N51" s="60">
        <f>IF($B$51="","",SUMIFS(tblPlan[Load (h)],tblPlan[Line],$B$51,tblPlan[Month],$N$50))</f>
        <v>185.617103984451</v>
      </c>
      <c r="O51" s="57">
        <f>IF($B$51="","",SUM($C$51:$N$51))</f>
        <v>2591.59378036929</v>
      </c>
    </row>
    <row r="52" spans="2:15">
      <c r="B52" s="55" t="str">
        <f>IFERROR(INDEX(tblLines[Line],2)&amp;"","")</f>
        <v>Line B</v>
      </c>
      <c r="C52" s="60">
        <f>IF($B$52="","",SUMIFS(tblPlan[Load (h)],tblPlan[Line],$B$52,tblPlan[Month],$C$50))</f>
        <v>72.5436179981635</v>
      </c>
      <c r="D52" s="60">
        <f>IF($B$52="","",SUMIFS(tblPlan[Load (h)],tblPlan[Line],$B$52,tblPlan[Month],$D$50))</f>
        <v>52.3415977961433</v>
      </c>
      <c r="E52" s="60">
        <f>IF($B$52="","",SUMIFS(tblPlan[Load (h)],tblPlan[Line],$B$52,tblPlan[Month],$E$50))</f>
        <v>56.4738292011019</v>
      </c>
      <c r="F52" s="60">
        <f>IF($B$52="","",SUMIFS(tblPlan[Load (h)],tblPlan[Line],$B$52,tblPlan[Month],$F$50))</f>
        <v>79.8898071625344</v>
      </c>
      <c r="G52" s="60">
        <f>IF($B$52="","",SUMIFS(tblPlan[Load (h)],tblPlan[Line],$B$52,tblPlan[Month],$G$50))</f>
        <v>103.305785123967</v>
      </c>
      <c r="H52" s="60">
        <f>IF($B$52="","",SUMIFS(tblPlan[Load (h)],tblPlan[Line],$B$52,tblPlan[Month],$H$50))</f>
        <v>117.539026629936</v>
      </c>
      <c r="I52" s="60">
        <f>IF($B$52="","",SUMIFS(tblPlan[Load (h)],tblPlan[Line],$B$52,tblPlan[Month],$I$50))</f>
        <v>122.130394857668</v>
      </c>
      <c r="J52" s="60">
        <f>IF($B$52="","",SUMIFS(tblPlan[Load (h)],tblPlan[Line],$B$52,tblPlan[Month],$J$50))</f>
        <v>122.589531680441</v>
      </c>
      <c r="K52" s="60">
        <f>IF($B$52="","",SUMIFS(tblPlan[Load (h)],tblPlan[Line],$B$52,tblPlan[Month],$K$50))</f>
        <v>119.375573921028</v>
      </c>
      <c r="L52" s="60">
        <f>IF($B$52="","",SUMIFS(tblPlan[Load (h)],tblPlan[Line],$B$52,tblPlan[Month],$L$50))</f>
        <v>121.212121212121</v>
      </c>
      <c r="M52" s="60">
        <f>IF($B$52="","",SUMIFS(tblPlan[Load (h)],tblPlan[Line],$B$52,tblPlan[Month],$M$50))</f>
        <v>112.488521579431</v>
      </c>
      <c r="N52" s="60">
        <f>IF($B$52="","",SUMIFS(tblPlan[Load (h)],tblPlan[Line],$B$52,tblPlan[Month],$N$50))</f>
        <v>92.7456382001837</v>
      </c>
      <c r="O52" s="57">
        <f>IF($B$52="","",SUM($C$52:$N$52))</f>
        <v>1172.63544536272</v>
      </c>
    </row>
    <row r="54" spans="2:15">
      <c r="B54" s="32" t="s">
        <v>145</v>
      </c>
      <c r="C54" s="32"/>
      <c r="D54" s="32"/>
      <c r="E54" s="32"/>
      <c r="F54" s="32"/>
      <c r="G54" s="32"/>
      <c r="H54" s="32"/>
      <c r="I54" s="32"/>
      <c r="J54" s="32"/>
      <c r="K54" s="32"/>
      <c r="L54" s="32"/>
      <c r="M54" s="32"/>
      <c r="N54" s="32"/>
      <c r="O54" s="32"/>
    </row>
    <row r="55" spans="2:15">
      <c r="B55" s="38" t="s">
        <v>146</v>
      </c>
      <c r="C55" s="54">
        <f>INDEX(Plan!$D$5:$O$5,1)</f>
        <v>46327</v>
      </c>
      <c r="D55" s="54">
        <f>INDEX(Plan!$D$5:$O$5,2)</f>
        <v>46357</v>
      </c>
      <c r="E55" s="54">
        <f>INDEX(Plan!$D$5:$O$5,3)</f>
        <v>46388</v>
      </c>
      <c r="F55" s="54">
        <f>INDEX(Plan!$D$5:$O$5,4)</f>
        <v>46419</v>
      </c>
      <c r="G55" s="54">
        <f>INDEX(Plan!$D$5:$O$5,5)</f>
        <v>46447</v>
      </c>
      <c r="H55" s="54">
        <f>INDEX(Plan!$D$5:$O$5,6)</f>
        <v>46478</v>
      </c>
      <c r="I55" s="54">
        <f>INDEX(Plan!$D$5:$O$5,7)</f>
        <v>46508</v>
      </c>
      <c r="J55" s="54">
        <f>INDEX(Plan!$D$5:$O$5,8)</f>
        <v>46539</v>
      </c>
      <c r="K55" s="54">
        <f>INDEX(Plan!$D$5:$O$5,9)</f>
        <v>46569</v>
      </c>
      <c r="L55" s="54">
        <f>INDEX(Plan!$D$5:$O$5,10)</f>
        <v>46600</v>
      </c>
      <c r="M55" s="54">
        <f>INDEX(Plan!$D$5:$O$5,11)</f>
        <v>46631</v>
      </c>
      <c r="N55" s="54">
        <f>INDEX(Plan!$D$5:$O$5,12)</f>
        <v>46661</v>
      </c>
      <c r="O55" s="33" t="s">
        <v>144</v>
      </c>
    </row>
    <row r="56" spans="2:15">
      <c r="B56" s="55" t="str">
        <f>IFERROR(INDEX(tblLines[Line],1)&amp;"","")</f>
        <v>Line A</v>
      </c>
      <c r="C56" s="60">
        <f>IF($B$56="","",IFERROR(INDEX(tblLines[Hours per day],MATCH($B$56,tblLines[Line],0))*INDEX(tblLines[Uptime],MATCH($B$56,tblLines[Line],0)),0)*INDEX(Plan!$D$6:$O$6,1))</f>
        <v>272</v>
      </c>
      <c r="D56" s="60">
        <f>IF($B$56="","",IFERROR(INDEX(tblLines[Hours per day],MATCH($B$56,tblLines[Line],0))*INDEX(tblLines[Uptime],MATCH($B$56,tblLines[Line],0)),0)*INDEX(Plan!$D$6:$O$6,2))</f>
        <v>258.4</v>
      </c>
      <c r="E56" s="60">
        <f>IF($B$56="","",IFERROR(INDEX(tblLines[Hours per day],MATCH($B$56,tblLines[Line],0))*INDEX(tblLines[Uptime],MATCH($B$56,tblLines[Line],0)),0)*INDEX(Plan!$D$6:$O$6,3))</f>
        <v>272</v>
      </c>
      <c r="F56" s="60">
        <f>IF($B$56="","",IFERROR(INDEX(tblLines[Hours per day],MATCH($B$56,tblLines[Line],0))*INDEX(tblLines[Uptime],MATCH($B$56,tblLines[Line],0)),0)*INDEX(Plan!$D$6:$O$6,4))</f>
        <v>272</v>
      </c>
      <c r="G56" s="60">
        <f>IF($B$56="","",IFERROR(INDEX(tblLines[Hours per day],MATCH($B$56,tblLines[Line],0))*INDEX(tblLines[Uptime],MATCH($B$56,tblLines[Line],0)),0)*INDEX(Plan!$D$6:$O$6,5))</f>
        <v>312.8</v>
      </c>
      <c r="H56" s="60">
        <f>IF($B$56="","",IFERROR(INDEX(tblLines[Hours per day],MATCH($B$56,tblLines[Line],0))*INDEX(tblLines[Uptime],MATCH($B$56,tblLines[Line],0)),0)*INDEX(Plan!$D$6:$O$6,6))</f>
        <v>299.2</v>
      </c>
      <c r="I56" s="60">
        <f>IF($B$56="","",IFERROR(INDEX(tblLines[Hours per day],MATCH($B$56,tblLines[Line],0))*INDEX(tblLines[Uptime],MATCH($B$56,tblLines[Line],0)),0)*INDEX(Plan!$D$6:$O$6,7))</f>
        <v>272</v>
      </c>
      <c r="J56" s="60">
        <f>IF($B$56="","",IFERROR(INDEX(tblLines[Hours per day],MATCH($B$56,tblLines[Line],0))*INDEX(tblLines[Uptime],MATCH($B$56,tblLines[Line],0)),0)*INDEX(Plan!$D$6:$O$6,8))</f>
        <v>299.2</v>
      </c>
      <c r="K56" s="60">
        <f>IF($B$56="","",IFERROR(INDEX(tblLines[Hours per day],MATCH($B$56,tblLines[Line],0))*INDEX(tblLines[Uptime],MATCH($B$56,tblLines[Line],0)),0)*INDEX(Plan!$D$6:$O$6,9))</f>
        <v>285.6</v>
      </c>
      <c r="L56" s="60">
        <f>IF($B$56="","",IFERROR(INDEX(tblLines[Hours per day],MATCH($B$56,tblLines[Line],0))*INDEX(tblLines[Uptime],MATCH($B$56,tblLines[Line],0)),0)*INDEX(Plan!$D$6:$O$6,10))</f>
        <v>299.2</v>
      </c>
      <c r="M56" s="60">
        <f>IF($B$56="","",IFERROR(INDEX(tblLines[Hours per day],MATCH($B$56,tblLines[Line],0))*INDEX(tblLines[Uptime],MATCH($B$56,tblLines[Line],0)),0)*INDEX(Plan!$D$6:$O$6,11))</f>
        <v>285.6</v>
      </c>
      <c r="N56" s="60">
        <f>IF($B$56="","",IFERROR(INDEX(tblLines[Hours per day],MATCH($B$56,tblLines[Line],0))*INDEX(tblLines[Uptime],MATCH($B$56,tblLines[Line],0)),0)*INDEX(Plan!$D$6:$O$6,12))</f>
        <v>285.6</v>
      </c>
      <c r="O56" s="57">
        <f>IF($B$56="","",SUM($C$56:$N$56))</f>
        <v>3413.6</v>
      </c>
    </row>
    <row r="57" spans="2:15">
      <c r="B57" s="55" t="str">
        <f>IFERROR(INDEX(tblLines[Line],2)&amp;"","")</f>
        <v>Line B</v>
      </c>
      <c r="C57" s="60">
        <f>IF($B$57="","",IFERROR(INDEX(tblLines[Hours per day],MATCH($B$57,tblLines[Line],0))*INDEX(tblLines[Uptime],MATCH($B$57,tblLines[Line],0)),0)*INDEX(Plan!$D$6:$O$6,1))</f>
        <v>140.8</v>
      </c>
      <c r="D57" s="60">
        <f>IF($B$57="","",IFERROR(INDEX(tblLines[Hours per day],MATCH($B$57,tblLines[Line],0))*INDEX(tblLines[Uptime],MATCH($B$57,tblLines[Line],0)),0)*INDEX(Plan!$D$6:$O$6,2))</f>
        <v>133.76</v>
      </c>
      <c r="E57" s="60">
        <f>IF($B$57="","",IFERROR(INDEX(tblLines[Hours per day],MATCH($B$57,tblLines[Line],0))*INDEX(tblLines[Uptime],MATCH($B$57,tblLines[Line],0)),0)*INDEX(Plan!$D$6:$O$6,3))</f>
        <v>140.8</v>
      </c>
      <c r="F57" s="60">
        <f>IF($B$57="","",IFERROR(INDEX(tblLines[Hours per day],MATCH($B$57,tblLines[Line],0))*INDEX(tblLines[Uptime],MATCH($B$57,tblLines[Line],0)),0)*INDEX(Plan!$D$6:$O$6,4))</f>
        <v>140.8</v>
      </c>
      <c r="G57" s="60">
        <f>IF($B$57="","",IFERROR(INDEX(tblLines[Hours per day],MATCH($B$57,tblLines[Line],0))*INDEX(tblLines[Uptime],MATCH($B$57,tblLines[Line],0)),0)*INDEX(Plan!$D$6:$O$6,5))</f>
        <v>161.92</v>
      </c>
      <c r="H57" s="60">
        <f>IF($B$57="","",IFERROR(INDEX(tblLines[Hours per day],MATCH($B$57,tblLines[Line],0))*INDEX(tblLines[Uptime],MATCH($B$57,tblLines[Line],0)),0)*INDEX(Plan!$D$6:$O$6,6))</f>
        <v>154.88</v>
      </c>
      <c r="I57" s="60">
        <f>IF($B$57="","",IFERROR(INDEX(tblLines[Hours per day],MATCH($B$57,tblLines[Line],0))*INDEX(tblLines[Uptime],MATCH($B$57,tblLines[Line],0)),0)*INDEX(Plan!$D$6:$O$6,7))</f>
        <v>140.8</v>
      </c>
      <c r="J57" s="60">
        <f>IF($B$57="","",IFERROR(INDEX(tblLines[Hours per day],MATCH($B$57,tblLines[Line],0))*INDEX(tblLines[Uptime],MATCH($B$57,tblLines[Line],0)),0)*INDEX(Plan!$D$6:$O$6,8))</f>
        <v>154.88</v>
      </c>
      <c r="K57" s="60">
        <f>IF($B$57="","",IFERROR(INDEX(tblLines[Hours per day],MATCH($B$57,tblLines[Line],0))*INDEX(tblLines[Uptime],MATCH($B$57,tblLines[Line],0)),0)*INDEX(Plan!$D$6:$O$6,9))</f>
        <v>147.84</v>
      </c>
      <c r="L57" s="60">
        <f>IF($B$57="","",IFERROR(INDEX(tblLines[Hours per day],MATCH($B$57,tblLines[Line],0))*INDEX(tblLines[Uptime],MATCH($B$57,tblLines[Line],0)),0)*INDEX(Plan!$D$6:$O$6,10))</f>
        <v>154.88</v>
      </c>
      <c r="M57" s="60">
        <f>IF($B$57="","",IFERROR(INDEX(tblLines[Hours per day],MATCH($B$57,tblLines[Line],0))*INDEX(tblLines[Uptime],MATCH($B$57,tblLines[Line],0)),0)*INDEX(Plan!$D$6:$O$6,11))</f>
        <v>147.84</v>
      </c>
      <c r="N57" s="60">
        <f>IF($B$57="","",IFERROR(INDEX(tblLines[Hours per day],MATCH($B$57,tblLines[Line],0))*INDEX(tblLines[Uptime],MATCH($B$57,tblLines[Line],0)),0)*INDEX(Plan!$D$6:$O$6,12))</f>
        <v>147.84</v>
      </c>
      <c r="O57" s="57">
        <f>IF($B$57="","",SUM($C$57:$N$57))</f>
        <v>1767.04</v>
      </c>
    </row>
    <row r="58" spans="2:15" ht="8" customHeight="1"/>
    <row r="59" spans="2:15" ht="26.76" customHeight="1">
      <c r="B59" s="21" t="s">
        <v>147</v>
      </c>
      <c r="C59" s="21"/>
      <c r="D59" s="21"/>
      <c r="E59" s="21"/>
      <c r="F59" s="21"/>
      <c r="G59" s="21"/>
      <c r="H59" s="21"/>
      <c r="I59" s="21"/>
      <c r="J59" s="21"/>
      <c r="K59" s="21"/>
      <c r="L59" s="21"/>
      <c r="M59" s="21"/>
      <c r="N59" s="21"/>
      <c r="O59" s="21"/>
    </row>
    <row r="60" spans="2:15">
      <c r="B60" s="61">
        <f>IF(OR(COUNTA(tblLines[Line])&gt;2,COUNTA(tblFamilies[Family])&gt;4),"Setup lists are longer than the Dashboard blocks: some lines or families are not shown.","")</f>
        <v/>
      </c>
      <c r="C60" s="61"/>
      <c r="D60" s="61"/>
      <c r="E60" s="61"/>
      <c r="F60" s="61"/>
      <c r="G60" s="61"/>
      <c r="H60" s="61"/>
      <c r="I60" s="61"/>
      <c r="J60" s="61"/>
      <c r="K60" s="61"/>
      <c r="L60" s="61"/>
      <c r="M60" s="61"/>
      <c r="N60" s="61"/>
      <c r="O60" s="61"/>
    </row>
  </sheetData>
  <sheetProtection sheet="1" formatColumns="0" formatRows="0"/>
  <mergeCells count="32">
    <mergeCell ref="A1:O1"/>
    <mergeCell ref="B2:M2"/>
    <mergeCell ref="N2:O2"/>
    <mergeCell ref="B4:D4"/>
    <mergeCell ref="B5:D6"/>
    <mergeCell ref="B7:D7"/>
    <mergeCell ref="B8:D8"/>
    <mergeCell ref="E4:G4"/>
    <mergeCell ref="E5:G6"/>
    <mergeCell ref="E7:G7"/>
    <mergeCell ref="E8:G8"/>
    <mergeCell ref="H4:K4"/>
    <mergeCell ref="H5:K6"/>
    <mergeCell ref="H7:K7"/>
    <mergeCell ref="H8:K8"/>
    <mergeCell ref="L4:O4"/>
    <mergeCell ref="L5:O6"/>
    <mergeCell ref="L7:O7"/>
    <mergeCell ref="L8:O8"/>
    <mergeCell ref="B26:N26"/>
    <mergeCell ref="B31:N31"/>
    <mergeCell ref="B41:M41"/>
    <mergeCell ref="L42:M42"/>
    <mergeCell ref="L43:M43"/>
    <mergeCell ref="L44:M44"/>
    <mergeCell ref="L45:M45"/>
    <mergeCell ref="L46:M46"/>
    <mergeCell ref="L47:M47"/>
    <mergeCell ref="B49:O49"/>
    <mergeCell ref="B54:O54"/>
    <mergeCell ref="B59:O59"/>
    <mergeCell ref="B60:O60"/>
  </mergeCells>
  <conditionalFormatting sqref="C28:N29">
    <cfRule type="expression" dxfId="2" priority="41" stopIfTrue="1">
      <formula>AND(ISNUMBER(C28),C28&gt;1.0)</formula>
    </cfRule>
    <cfRule type="expression" dxfId="1" priority="42" stopIfTrue="1">
      <formula>AND(ISNUMBER(C28),C28&gt;0.85)</formula>
    </cfRule>
    <cfRule type="expression" dxfId="0" priority="43">
      <formula>ISNUMBER(C28)</formula>
    </cfRule>
  </conditionalFormatting>
  <conditionalFormatting sqref="H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L44:L47">
    <cfRule type="cellIs" dxfId="0" priority="44" operator="equal">
      <formula>"On target"</formula>
    </cfRule>
    <cfRule type="cellIs" dxfId="0" priority="45" operator="equal">
      <formula>"PASS"</formula>
    </cfRule>
    <cfRule type="cellIs" dxfId="0" priority="46" operator="equal">
      <formula>"OK"</formula>
    </cfRule>
    <cfRule type="cellIs" dxfId="0" priority="47" operator="equal">
      <formula>"Within limits"</formula>
    </cfRule>
    <cfRule type="cellIs" dxfId="0" priority="48" operator="equal">
      <formula>"Under capacity"</formula>
    </cfRule>
    <cfRule type="cellIs" dxfId="0" priority="49" operator="equal">
      <formula>"Complete"</formula>
    </cfRule>
    <cfRule type="cellIs" dxfId="0" priority="50" operator="equal">
      <formula>"Yes"</formula>
    </cfRule>
    <cfRule type="cellIs" dxfId="1" priority="51" operator="equal">
      <formula>"Near target"</formula>
    </cfRule>
    <cfRule type="cellIs" dxfId="1" priority="52" operator="equal">
      <formula>"Check"</formula>
    </cfRule>
    <cfRule type="cellIs" dxfId="1" priority="53" operator="equal">
      <formula>"Due soon"</formula>
    </cfRule>
    <cfRule type="cellIs" dxfId="1" priority="54" operator="equal">
      <formula>"Near capacity"</formula>
    </cfRule>
    <cfRule type="cellIs" dxfId="1" priority="55" operator="equal">
      <formula>"In progress"</formula>
    </cfRule>
    <cfRule type="cellIs" dxfId="1" priority="56" operator="equal">
      <formula>"Partial"</formula>
    </cfRule>
    <cfRule type="cellIs" dxfId="2" priority="57" operator="equal">
      <formula>"Below target"</formula>
    </cfRule>
    <cfRule type="cellIs" dxfId="2" priority="58" operator="equal">
      <formula>"Above target"</formula>
    </cfRule>
    <cfRule type="cellIs" dxfId="2" priority="59" operator="equal">
      <formula>"FAIL"</formula>
    </cfRule>
    <cfRule type="cellIs" dxfId="2" priority="60" operator="equal">
      <formula>"Over capacity"</formula>
    </cfRule>
    <cfRule type="cellIs" dxfId="2" priority="61" operator="equal">
      <formula>"Overdue"</formula>
    </cfRule>
    <cfRule type="cellIs" dxfId="2" priority="62" operator="equal">
      <formula>"Out of limits"</formula>
    </cfRule>
    <cfRule type="cellIs" dxfId="2" priority="63" operator="equal">
      <formula>"No"</formula>
    </cfRule>
  </conditionalFormatting>
  <conditionalFormatting sqref="L8">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hyperlinks>
    <hyperlink ref="N2" r:id="rId1" tooltip="Free manufacturing calculators and templates"/>
  </hyperlinks>
  <pageMargins left="0.4" right="0.4" top="0.7" bottom="0.65" header="0.3" footer="0.3"/>
  <pageSetup fitToHeight="0" orientation="landscape"/>
  <headerFooter>
    <oddHeader>&amp;L&amp;8MFG Calcs - S&amp;&amp;OP Monthly Plan&amp;R&amp;8&amp;A</oddHeader>
    <oddFooter>&amp;L&amp;8mfgcalcs.com - free manufacturing templates&amp;R&amp;8Page &amp;P of &amp;N</oddFooter>
  </headerFooter>
  <rowBreaks count="1" manualBreakCount="1">
    <brk id="30" max="16383" man="1"/>
  </rowBreaks>
  <drawing r:id="rId2"/>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9"/>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24</v>
      </c>
      <c r="C2" s="2"/>
      <c r="D2" s="3" t="s">
        <v>2</v>
      </c>
    </row>
    <row r="3" spans="1:4" ht="6" customHeight="1"/>
    <row r="4" spans="1:4" ht="21" customHeight="1">
      <c r="B4" s="8" t="s">
        <v>148</v>
      </c>
      <c r="C4" s="8"/>
      <c r="D4" s="8"/>
    </row>
    <row r="5" spans="1:4" ht="5" customHeight="1"/>
    <row r="6" spans="1:4" ht="55.8" customHeight="1">
      <c r="B6" s="10" t="s">
        <v>149</v>
      </c>
      <c r="C6" s="10"/>
      <c r="D6" s="10"/>
    </row>
    <row r="8" spans="1:4" ht="21" customHeight="1">
      <c r="B8" s="8" t="s">
        <v>150</v>
      </c>
      <c r="C8" s="8"/>
      <c r="D8" s="8"/>
    </row>
    <row r="9" spans="1:4" ht="5" customHeight="1"/>
    <row r="10" spans="1:4" ht="20" customHeight="1">
      <c r="B10" s="38" t="s">
        <v>151</v>
      </c>
      <c r="C10" s="38" t="s">
        <v>152</v>
      </c>
      <c r="D10" s="33" t="s">
        <v>153</v>
      </c>
    </row>
    <row r="11" spans="1:4" ht="17.2" customHeight="1">
      <c r="B11" s="62" t="s">
        <v>154</v>
      </c>
      <c r="C11" s="63" t="s">
        <v>155</v>
      </c>
      <c r="D11" s="64" t="s">
        <v>156</v>
      </c>
    </row>
    <row r="12" spans="1:4" ht="30.4" customHeight="1">
      <c r="B12" s="62" t="s">
        <v>157</v>
      </c>
      <c r="C12" s="63" t="s">
        <v>158</v>
      </c>
      <c r="D12" s="64" t="s">
        <v>159</v>
      </c>
    </row>
    <row r="13" spans="1:4" ht="30.4" customHeight="1">
      <c r="B13" s="62" t="s">
        <v>129</v>
      </c>
      <c r="C13" s="63" t="s">
        <v>160</v>
      </c>
      <c r="D13" s="64" t="s">
        <v>159</v>
      </c>
    </row>
    <row r="14" spans="1:4" ht="17.2" customHeight="1">
      <c r="B14" s="62" t="s">
        <v>106</v>
      </c>
      <c r="C14" s="63" t="s">
        <v>161</v>
      </c>
      <c r="D14" s="64" t="s">
        <v>77</v>
      </c>
    </row>
    <row r="15" spans="1:4" ht="30.4" customHeight="1">
      <c r="B15" s="62" t="s">
        <v>107</v>
      </c>
      <c r="C15" s="63" t="s">
        <v>162</v>
      </c>
      <c r="D15" s="64" t="s">
        <v>163</v>
      </c>
    </row>
    <row r="16" spans="1:4" ht="17.2" customHeight="1">
      <c r="B16" s="62" t="s">
        <v>164</v>
      </c>
      <c r="C16" s="63" t="s">
        <v>165</v>
      </c>
      <c r="D16" s="64" t="s">
        <v>166</v>
      </c>
    </row>
    <row r="17" spans="2:4" ht="17.2" customHeight="1">
      <c r="B17" s="62" t="s">
        <v>167</v>
      </c>
      <c r="C17" s="63" t="s">
        <v>168</v>
      </c>
      <c r="D17" s="64" t="s">
        <v>166</v>
      </c>
    </row>
    <row r="18" spans="2:4" ht="30.4" customHeight="1">
      <c r="B18" s="62" t="s">
        <v>124</v>
      </c>
      <c r="C18" s="63" t="s">
        <v>169</v>
      </c>
      <c r="D18" s="64" t="s">
        <v>80</v>
      </c>
    </row>
    <row r="19" spans="2:4" ht="30.4" customHeight="1">
      <c r="B19" s="62" t="s">
        <v>170</v>
      </c>
      <c r="C19" s="63" t="s">
        <v>171</v>
      </c>
      <c r="D19" s="64" t="s">
        <v>159</v>
      </c>
    </row>
    <row r="20" spans="2:4" ht="30.4" customHeight="1">
      <c r="B20" s="62" t="s">
        <v>110</v>
      </c>
      <c r="C20" s="63" t="s">
        <v>172</v>
      </c>
      <c r="D20" s="64" t="s">
        <v>173</v>
      </c>
    </row>
    <row r="21" spans="2:4" ht="30.4" customHeight="1">
      <c r="B21" s="62" t="s">
        <v>174</v>
      </c>
      <c r="C21" s="63" t="s">
        <v>175</v>
      </c>
      <c r="D21" s="64" t="s">
        <v>163</v>
      </c>
    </row>
    <row r="23" spans="2:4" ht="21" customHeight="1">
      <c r="B23" s="8" t="s">
        <v>176</v>
      </c>
      <c r="C23" s="8"/>
      <c r="D23" s="8"/>
    </row>
    <row r="24" spans="2:4" ht="5" customHeight="1"/>
    <row r="25" spans="2:4" ht="16.2" customHeight="1">
      <c r="B25" s="26" t="s">
        <v>53</v>
      </c>
      <c r="C25" s="10" t="s">
        <v>177</v>
      </c>
      <c r="D25" s="10"/>
    </row>
    <row r="26" spans="2:4" ht="16.2" customHeight="1">
      <c r="B26" s="26" t="s">
        <v>53</v>
      </c>
      <c r="C26" s="10" t="s">
        <v>178</v>
      </c>
      <c r="D26" s="10"/>
    </row>
    <row r="27" spans="2:4" ht="29.4" customHeight="1">
      <c r="B27" s="26" t="s">
        <v>53</v>
      </c>
      <c r="C27" s="10" t="s">
        <v>179</v>
      </c>
      <c r="D27" s="10"/>
    </row>
    <row r="28" spans="2:4" ht="16.2" customHeight="1">
      <c r="B28" s="26" t="s">
        <v>53</v>
      </c>
      <c r="C28" s="10" t="s">
        <v>180</v>
      </c>
      <c r="D28" s="10"/>
    </row>
    <row r="30" spans="2:4" ht="21" customHeight="1">
      <c r="B30" s="8" t="s">
        <v>181</v>
      </c>
      <c r="C30" s="8"/>
      <c r="D30" s="8"/>
    </row>
    <row r="31" spans="2:4" ht="5" customHeight="1"/>
    <row r="32" spans="2:4" ht="29.4" customHeight="1">
      <c r="B32" s="26" t="s">
        <v>53</v>
      </c>
      <c r="C32" s="10" t="s">
        <v>182</v>
      </c>
      <c r="D32" s="10"/>
    </row>
    <row r="33" spans="2:4" ht="29.4" customHeight="1">
      <c r="B33" s="26" t="s">
        <v>53</v>
      </c>
      <c r="C33" s="10" t="s">
        <v>183</v>
      </c>
      <c r="D33" s="10"/>
    </row>
    <row r="34" spans="2:4" ht="16.2" customHeight="1">
      <c r="B34" s="26" t="s">
        <v>53</v>
      </c>
      <c r="C34" s="10" t="s">
        <v>184</v>
      </c>
      <c r="D34" s="10"/>
    </row>
    <row r="35" spans="2:4" ht="29.4" customHeight="1">
      <c r="B35" s="26" t="s">
        <v>53</v>
      </c>
      <c r="C35" s="10" t="s">
        <v>185</v>
      </c>
      <c r="D35" s="10"/>
    </row>
    <row r="37" spans="2:4" ht="21" customHeight="1">
      <c r="B37" s="8" t="s">
        <v>186</v>
      </c>
      <c r="C37" s="8"/>
      <c r="D37" s="8"/>
    </row>
    <row r="38" spans="2:4" ht="5" customHeight="1"/>
    <row r="39" spans="2:4" ht="55.8" customHeight="1">
      <c r="B39" s="10" t="s">
        <v>187</v>
      </c>
      <c r="C39" s="10"/>
      <c r="D39" s="10"/>
    </row>
    <row r="40" spans="2:4">
      <c r="B40" s="24" t="s">
        <v>188</v>
      </c>
      <c r="C40" s="24"/>
      <c r="D40" s="24"/>
    </row>
    <row r="42" spans="2:4" ht="21" customHeight="1">
      <c r="B42" s="8" t="s">
        <v>40</v>
      </c>
      <c r="C42" s="8"/>
      <c r="D42" s="8"/>
    </row>
    <row r="43" spans="2:4" ht="5" customHeight="1"/>
    <row r="44" spans="2:4" ht="42.6" customHeight="1">
      <c r="B44" s="10" t="s">
        <v>189</v>
      </c>
      <c r="C44" s="10"/>
      <c r="D44" s="10"/>
    </row>
    <row r="46" spans="2:4" ht="21" customHeight="1">
      <c r="B46" s="8" t="s">
        <v>190</v>
      </c>
      <c r="C46" s="8"/>
      <c r="D46" s="8"/>
    </row>
    <row r="47" spans="2:4" ht="5" customHeight="1"/>
    <row r="48" spans="2:4" ht="16.2" customHeight="1">
      <c r="B48" s="26" t="s">
        <v>53</v>
      </c>
      <c r="C48" s="10" t="s">
        <v>191</v>
      </c>
      <c r="D48" s="10"/>
    </row>
    <row r="49" spans="2:4" ht="29.4" customHeight="1">
      <c r="B49" s="26" t="s">
        <v>53</v>
      </c>
      <c r="C49" s="10" t="s">
        <v>192</v>
      </c>
      <c r="D49" s="10"/>
    </row>
    <row r="50" spans="2:4" ht="29.4" customHeight="1">
      <c r="B50" s="26" t="s">
        <v>53</v>
      </c>
      <c r="C50" s="10" t="s">
        <v>193</v>
      </c>
      <c r="D50" s="10"/>
    </row>
    <row r="51" spans="2:4" ht="29.4" customHeight="1">
      <c r="B51" s="26" t="s">
        <v>53</v>
      </c>
      <c r="C51" s="10" t="s">
        <v>194</v>
      </c>
      <c r="D51" s="10"/>
    </row>
    <row r="52" spans="2:4">
      <c r="B52" s="21" t="s">
        <v>195</v>
      </c>
      <c r="C52" s="21"/>
      <c r="D52" s="21"/>
    </row>
    <row r="54" spans="2:4" ht="21" customHeight="1">
      <c r="B54" s="8" t="s">
        <v>196</v>
      </c>
      <c r="C54" s="8"/>
      <c r="D54" s="8"/>
    </row>
    <row r="55" spans="2:4" ht="5" customHeight="1"/>
    <row r="56" spans="2:4">
      <c r="B56" s="38" t="s">
        <v>48</v>
      </c>
      <c r="C56" s="38" t="s">
        <v>197</v>
      </c>
      <c r="D56" s="33" t="s">
        <v>198</v>
      </c>
    </row>
    <row r="57" spans="2:4" ht="16.2" customHeight="1">
      <c r="B57" s="65" t="s">
        <v>199</v>
      </c>
      <c r="C57" s="66" t="s">
        <v>200</v>
      </c>
      <c r="D57" s="67" t="s">
        <v>201</v>
      </c>
    </row>
    <row r="59" spans="2:4">
      <c r="B59" s="21" t="s">
        <v>59</v>
      </c>
      <c r="C59" s="21"/>
      <c r="D59" s="21"/>
    </row>
  </sheetData>
  <sheetProtection sheet="1" formatColumns="0" formatRows="0"/>
  <mergeCells count="28">
    <mergeCell ref="A1:D1"/>
    <mergeCell ref="B2:C2"/>
    <mergeCell ref="B4:D4"/>
    <mergeCell ref="B6:D6"/>
    <mergeCell ref="B8:D8"/>
    <mergeCell ref="B23:D23"/>
    <mergeCell ref="C25:D25"/>
    <mergeCell ref="C26:D26"/>
    <mergeCell ref="C27:D27"/>
    <mergeCell ref="C28:D28"/>
    <mergeCell ref="B30:D30"/>
    <mergeCell ref="C32:D32"/>
    <mergeCell ref="C33:D33"/>
    <mergeCell ref="C34:D34"/>
    <mergeCell ref="C35:D35"/>
    <mergeCell ref="B37:D37"/>
    <mergeCell ref="B39:D39"/>
    <mergeCell ref="B40:D40"/>
    <mergeCell ref="B42:D42"/>
    <mergeCell ref="B44:D44"/>
    <mergeCell ref="B46:D46"/>
    <mergeCell ref="C48:D48"/>
    <mergeCell ref="C49:D49"/>
    <mergeCell ref="C50:D50"/>
    <mergeCell ref="C51:D51"/>
    <mergeCell ref="B52:D52"/>
    <mergeCell ref="B54:D54"/>
    <mergeCell ref="B59:D59"/>
  </mergeCells>
  <hyperlinks>
    <hyperlink ref="D2" r:id="rId1" tooltip="Free manufacturing calculators and templates"/>
    <hyperlink ref="B40" r:id="rId2"/>
  </hyperlinks>
  <printOptions horizontalCentered="1"/>
  <pageMargins left="0.4" right="0.4" top="0.7" bottom="0.65" header="0.3" footer="0.3"/>
  <pageSetup fitToHeight="0" orientation="portrait"/>
  <headerFooter>
    <oddHeader>&amp;L&amp;8MFG Calcs - S&amp;&amp;OP Monthly Plan&amp;R&amp;8&amp;A</oddHeader>
    <oddFooter>&amp;L&amp;8mfgcalcs.com - free manufacturing templates&amp;R&amp;8Page &amp;P of &amp;N</oddFooter>
  </headerFooter>
  <rowBreaks count="1" manualBreakCount="1">
    <brk id="29"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S75"/>
  <sheetViews>
    <sheetView showGridLines="0" workbookViewId="0"/>
  </sheetViews>
  <sheetFormatPr defaultRowHeight="15"/>
  <cols>
    <col min="1" max="1" width="2.7109375" customWidth="1"/>
    <col min="2" max="19" width="12.7109375" customWidth="1"/>
  </cols>
  <sheetData>
    <row r="1" spans="1:19" ht="30" customHeight="1">
      <c r="A1" s="1" t="s">
        <v>0</v>
      </c>
      <c r="B1" s="1"/>
      <c r="C1" s="1"/>
      <c r="D1" s="1"/>
      <c r="E1" s="1"/>
      <c r="F1" s="1"/>
      <c r="G1" s="1"/>
      <c r="H1" s="1"/>
      <c r="I1" s="1"/>
      <c r="J1" s="1"/>
      <c r="K1" s="1"/>
      <c r="L1" s="1"/>
      <c r="M1" s="1"/>
      <c r="N1" s="1"/>
      <c r="O1" s="1"/>
      <c r="P1" s="1"/>
      <c r="Q1" s="1"/>
      <c r="R1" s="1"/>
      <c r="S1" s="1"/>
    </row>
    <row r="2" spans="1:19" ht="21" customHeight="1">
      <c r="B2" s="2" t="s">
        <v>26</v>
      </c>
      <c r="C2" s="2"/>
      <c r="D2" s="2"/>
      <c r="E2" s="2"/>
      <c r="F2" s="2"/>
      <c r="G2" s="2"/>
      <c r="H2" s="2"/>
      <c r="I2" s="2"/>
      <c r="J2" s="2"/>
      <c r="K2" s="2"/>
      <c r="L2" s="2"/>
      <c r="M2" s="2"/>
      <c r="N2" s="2"/>
      <c r="O2" s="2"/>
      <c r="P2" s="2"/>
      <c r="Q2" s="2"/>
      <c r="R2" s="2"/>
      <c r="S2" s="3" t="s">
        <v>2</v>
      </c>
    </row>
    <row r="3" spans="1:19" ht="6" customHeight="1"/>
    <row r="4" spans="1:19" ht="30" customHeight="1">
      <c r="B4" s="68" t="s">
        <v>202</v>
      </c>
      <c r="C4" s="68"/>
      <c r="D4" s="22" t="str">
        <f>IF(COUNTIF($K$11:$K$23,"PASS")=13,"PASS","FAIL")</f>
        <v>PASS</v>
      </c>
      <c r="E4" s="22"/>
      <c r="F4" s="23" t="str">
        <f>COUNTIF($K$11:$K$23,"PASS")&amp;" of 13 checks pass"</f>
        <v>13 of 13 checks pass</v>
      </c>
      <c r="G4" s="23"/>
      <c r="H4" s="23"/>
      <c r="I4" s="23"/>
      <c r="J4" s="23"/>
    </row>
    <row r="6" spans="1:19" ht="29.4" customHeight="1">
      <c r="B6" s="10" t="s">
        <v>203</v>
      </c>
      <c r="C6" s="10"/>
      <c r="D6" s="10"/>
      <c r="E6" s="10"/>
      <c r="F6" s="10"/>
      <c r="G6" s="10"/>
      <c r="H6" s="10"/>
      <c r="I6" s="10"/>
      <c r="J6" s="10"/>
      <c r="K6" s="10"/>
      <c r="L6" s="10"/>
    </row>
    <row r="8" spans="1:19" ht="21" customHeight="1">
      <c r="B8" s="8" t="s">
        <v>204</v>
      </c>
      <c r="C8" s="8"/>
      <c r="D8" s="8"/>
      <c r="E8" s="8"/>
      <c r="F8" s="8"/>
      <c r="G8" s="8"/>
      <c r="H8" s="8"/>
      <c r="I8" s="8"/>
      <c r="J8" s="8"/>
      <c r="K8" s="8"/>
      <c r="L8" s="8"/>
    </row>
    <row r="9" spans="1:19" ht="5" customHeight="1"/>
    <row r="10" spans="1:19" ht="30" customHeight="1">
      <c r="B10" s="33" t="s">
        <v>205</v>
      </c>
      <c r="C10" s="38" t="s">
        <v>111</v>
      </c>
      <c r="D10" s="38"/>
      <c r="E10" s="38"/>
      <c r="F10" s="38"/>
      <c r="G10" s="33" t="s">
        <v>206</v>
      </c>
      <c r="H10" s="33" t="s">
        <v>207</v>
      </c>
      <c r="I10" s="33" t="s">
        <v>208</v>
      </c>
      <c r="J10" s="33" t="s">
        <v>209</v>
      </c>
      <c r="K10" s="33" t="s">
        <v>210</v>
      </c>
    </row>
    <row r="11" spans="1:19" ht="16.2" customHeight="1">
      <c r="B11" s="69">
        <v>1</v>
      </c>
      <c r="C11" s="66" t="s">
        <v>211</v>
      </c>
      <c r="D11" s="66"/>
      <c r="E11" s="66"/>
      <c r="F11" s="66"/>
      <c r="G11" s="70">
        <v>80</v>
      </c>
      <c r="H11" s="43">
        <f>$I$54</f>
        <v>80</v>
      </c>
      <c r="I11" s="71">
        <f>IF(AND(ISNUMBER($G$11),ISNUMBER($H$11)),ABS($H$11-$G$11),"")</f>
        <v>0</v>
      </c>
      <c r="J11" s="72">
        <v>1E-09</v>
      </c>
      <c r="K11" s="44" t="str">
        <f>IF(AND(ISNUMBER($G$11),ISNUMBER($H$11)),IF(ABS($H$11-$G$11)&lt;=$J$11,"PASS","FAIL"),"FAIL")</f>
        <v>PASS</v>
      </c>
    </row>
    <row r="12" spans="1:19" ht="16.2" customHeight="1">
      <c r="B12" s="69">
        <v>2</v>
      </c>
      <c r="C12" s="66" t="s">
        <v>212</v>
      </c>
      <c r="D12" s="66"/>
      <c r="E12" s="66"/>
      <c r="F12" s="66"/>
      <c r="G12" s="70">
        <v>-20</v>
      </c>
      <c r="H12" s="43">
        <f>$J$54</f>
        <v>-20</v>
      </c>
      <c r="I12" s="71">
        <f>IF(AND(ISNUMBER($G$12),ISNUMBER($H$12)),ABS($H$12-$G$12),"")</f>
        <v>0</v>
      </c>
      <c r="J12" s="72">
        <v>1E-09</v>
      </c>
      <c r="K12" s="44" t="str">
        <f>IF(AND(ISNUMBER($G$12),ISNUMBER($H$12)),IF(ABS($H$12-$G$12)&lt;=$J$12,"PASS","FAIL"),"FAIL")</f>
        <v>PASS</v>
      </c>
    </row>
    <row r="13" spans="1:19" ht="16.2" customHeight="1">
      <c r="B13" s="69">
        <v>3</v>
      </c>
      <c r="C13" s="66" t="s">
        <v>213</v>
      </c>
      <c r="D13" s="66"/>
      <c r="E13" s="66"/>
      <c r="F13" s="66"/>
      <c r="G13" s="73">
        <v>-0.72</v>
      </c>
      <c r="H13" s="37">
        <f>$K$54</f>
        <v>-0.72</v>
      </c>
      <c r="I13" s="71">
        <f>IF(AND(ISNUMBER($G$13),ISNUMBER($H$13)),ABS($H$13-$G$13),"")</f>
        <v>0</v>
      </c>
      <c r="J13" s="72">
        <v>1E-09</v>
      </c>
      <c r="K13" s="44" t="str">
        <f>IF(AND(ISNUMBER($G$13),ISNUMBER($H$13)),IF(ABS($H$13-$G$13)&lt;=$J$13,"PASS","FAIL"),"FAIL")</f>
        <v>PASS</v>
      </c>
    </row>
    <row r="14" spans="1:19" ht="16.2" customHeight="1">
      <c r="B14" s="69">
        <v>4</v>
      </c>
      <c r="C14" s="66" t="s">
        <v>214</v>
      </c>
      <c r="D14" s="66"/>
      <c r="E14" s="66"/>
      <c r="F14" s="66"/>
      <c r="G14" s="65" t="s">
        <v>215</v>
      </c>
      <c r="H14" s="41" t="str">
        <f>$L$54</f>
        <v>Below target</v>
      </c>
      <c r="I14" s="41"/>
      <c r="J14" s="67" t="s">
        <v>216</v>
      </c>
      <c r="K14" s="44" t="str">
        <f>IF($H$14&amp;""=$G$14&amp;"","PASS","FAIL")</f>
        <v>PASS</v>
      </c>
    </row>
    <row r="15" spans="1:19" ht="16.2" customHeight="1">
      <c r="B15" s="69">
        <v>5</v>
      </c>
      <c r="C15" s="66" t="s">
        <v>217</v>
      </c>
      <c r="D15" s="66"/>
      <c r="E15" s="66"/>
      <c r="F15" s="66"/>
      <c r="G15" s="65" t="s">
        <v>218</v>
      </c>
      <c r="H15" s="41" t="str">
        <f>$L$56</f>
        <v>On target</v>
      </c>
      <c r="I15" s="41"/>
      <c r="J15" s="67" t="s">
        <v>216</v>
      </c>
      <c r="K15" s="44" t="str">
        <f>IF($H$15&amp;""=$G$15&amp;"","PASS","FAIL")</f>
        <v>PASS</v>
      </c>
    </row>
    <row r="16" spans="1:19" ht="16.2" customHeight="1">
      <c r="B16" s="69">
        <v>6</v>
      </c>
      <c r="C16" s="66" t="s">
        <v>219</v>
      </c>
      <c r="D16" s="66"/>
      <c r="E16" s="66"/>
      <c r="F16" s="66"/>
      <c r="G16" s="65" t="s">
        <v>113</v>
      </c>
      <c r="H16" s="41">
        <f>$K$55</f>
        <v/>
      </c>
      <c r="I16" s="41"/>
      <c r="J16" s="67" t="s">
        <v>216</v>
      </c>
      <c r="K16" s="44" t="str">
        <f>IF($H$16&amp;""=$G$16&amp;"","PASS","FAIL")</f>
        <v>PASS</v>
      </c>
    </row>
    <row r="17" spans="2:12" ht="16.2" customHeight="1">
      <c r="B17" s="69">
        <v>7</v>
      </c>
      <c r="C17" s="66" t="s">
        <v>220</v>
      </c>
      <c r="D17" s="66"/>
      <c r="E17" s="66"/>
      <c r="F17" s="66"/>
      <c r="G17" s="73">
        <v>100</v>
      </c>
      <c r="H17" s="37">
        <f>$N$52</f>
        <v>100</v>
      </c>
      <c r="I17" s="71">
        <f>IF(AND(ISNUMBER($G$17),ISNUMBER($H$17)),ABS($H$17-$G$17),"")</f>
        <v>0</v>
      </c>
      <c r="J17" s="72">
        <v>1E-09</v>
      </c>
      <c r="K17" s="44" t="str">
        <f>IF(AND(ISNUMBER($G$17),ISNUMBER($H$17)),IF(ABS($H$17-$G$17)&lt;=$J$17,"PASS","FAIL"),"FAIL")</f>
        <v>PASS</v>
      </c>
    </row>
    <row r="18" spans="2:12" ht="16.2" customHeight="1">
      <c r="B18" s="69">
        <v>8</v>
      </c>
      <c r="C18" s="66" t="s">
        <v>221</v>
      </c>
      <c r="D18" s="66"/>
      <c r="E18" s="66"/>
      <c r="F18" s="66"/>
      <c r="G18" s="73">
        <v>547.1999999999999</v>
      </c>
      <c r="H18" s="37">
        <f>$O$52</f>
        <v>547.2</v>
      </c>
      <c r="I18" s="71">
        <f>IF(AND(ISNUMBER($G$18),ISNUMBER($H$18)),ABS($H$18-$G$18),"")</f>
        <v>0</v>
      </c>
      <c r="J18" s="72">
        <v>1E-09</v>
      </c>
      <c r="K18" s="44" t="str">
        <f>IF(AND(ISNUMBER($G$18),ISNUMBER($H$18)),IF(ABS($H$18-$G$18)&lt;=$J$18,"PASS","FAIL"),"FAIL")</f>
        <v>PASS</v>
      </c>
    </row>
    <row r="19" spans="2:12" ht="16.2" customHeight="1">
      <c r="B19" s="69">
        <v>9</v>
      </c>
      <c r="C19" s="66" t="s">
        <v>222</v>
      </c>
      <c r="D19" s="66"/>
      <c r="E19" s="66"/>
      <c r="F19" s="66"/>
      <c r="G19" s="73">
        <v>20000</v>
      </c>
      <c r="H19" s="37">
        <f>$Q$52</f>
        <v>20000</v>
      </c>
      <c r="I19" s="71">
        <f>IF(AND(ISNUMBER($G$19),ISNUMBER($H$19)),ABS($H$19-$G$19),"")</f>
        <v>0</v>
      </c>
      <c r="J19" s="72">
        <v>1E-09</v>
      </c>
      <c r="K19" s="44" t="str">
        <f>IF(AND(ISNUMBER($G$19),ISNUMBER($H$19)),IF(ABS($H$19-$G$19)&lt;=$J$19,"PASS","FAIL"),"FAIL")</f>
        <v>PASS</v>
      </c>
    </row>
    <row r="20" spans="2:12" ht="16.2" customHeight="1">
      <c r="B20" s="69">
        <v>10</v>
      </c>
      <c r="C20" s="66" t="s">
        <v>223</v>
      </c>
      <c r="D20" s="66"/>
      <c r="E20" s="66"/>
      <c r="F20" s="66"/>
      <c r="G20" s="65" t="s">
        <v>224</v>
      </c>
      <c r="H20" s="41" t="str">
        <f>$R$56</f>
        <v>Above line capacity</v>
      </c>
      <c r="I20" s="41"/>
      <c r="J20" s="67" t="s">
        <v>216</v>
      </c>
      <c r="K20" s="44" t="str">
        <f>IF($H$20&amp;""=$G$20&amp;"","PASS","FAIL")</f>
        <v>PASS</v>
      </c>
    </row>
    <row r="21" spans="2:12" ht="16.2" customHeight="1">
      <c r="B21" s="69">
        <v>11</v>
      </c>
      <c r="C21" s="66" t="s">
        <v>225</v>
      </c>
      <c r="D21" s="66"/>
      <c r="E21" s="66"/>
      <c r="F21" s="66"/>
      <c r="G21" s="65" t="s">
        <v>226</v>
      </c>
      <c r="H21" s="41" t="str">
        <f>$R$57</f>
        <v>Family not on Setup list</v>
      </c>
      <c r="I21" s="41"/>
      <c r="J21" s="67" t="s">
        <v>216</v>
      </c>
      <c r="K21" s="44" t="str">
        <f>IF($H$21&amp;""=$G$21&amp;"","PASS","FAIL")</f>
        <v>PASS</v>
      </c>
    </row>
    <row r="22" spans="2:12" ht="16.2" customHeight="1">
      <c r="B22" s="69">
        <v>12</v>
      </c>
      <c r="C22" s="66" t="s">
        <v>227</v>
      </c>
      <c r="D22" s="66"/>
      <c r="E22" s="66"/>
      <c r="F22" s="66"/>
      <c r="G22" s="74">
        <v>0.935672514619883</v>
      </c>
      <c r="H22" s="75">
        <f>$C$74</f>
        <v>0.935672514619883</v>
      </c>
      <c r="I22" s="71">
        <f>IF(AND(ISNUMBER($G$22),ISNUMBER($H$22)),ABS($H$22-$G$22),"")</f>
        <v>0</v>
      </c>
      <c r="J22" s="72">
        <v>1E-09</v>
      </c>
      <c r="K22" s="44" t="str">
        <f>IF(AND(ISNUMBER($G$22),ISNUMBER($H$22)),IF(ABS($H$22-$G$22)&lt;=$J$22,"PASS","FAIL"),"FAIL")</f>
        <v>PASS</v>
      </c>
    </row>
    <row r="23" spans="2:12" ht="16.2" customHeight="1">
      <c r="B23" s="69">
        <v>13</v>
      </c>
      <c r="C23" s="66" t="s">
        <v>228</v>
      </c>
      <c r="D23" s="66"/>
      <c r="E23" s="66"/>
      <c r="F23" s="66"/>
      <c r="G23" s="74">
        <v>0.893437296946069</v>
      </c>
      <c r="H23" s="75">
        <f>$D$74</f>
        <v>0.893437296946069</v>
      </c>
      <c r="I23" s="71">
        <f>IF(AND(ISNUMBER($G$23),ISNUMBER($H$23)),ABS($H$23-$G$23),"")</f>
        <v>0</v>
      </c>
      <c r="J23" s="72">
        <v>1E-09</v>
      </c>
      <c r="K23" s="44" t="str">
        <f>IF(AND(ISNUMBER($G$23),ISNUMBER($H$23)),IF(ABS($H$23-$G$23)&lt;=$J$23,"PASS","FAIL"),"FAIL")</f>
        <v>PASS</v>
      </c>
    </row>
    <row r="25" spans="2:12" ht="21" customHeight="1">
      <c r="B25" s="8" t="s">
        <v>229</v>
      </c>
      <c r="C25" s="8"/>
      <c r="D25" s="8"/>
      <c r="E25" s="8"/>
      <c r="F25" s="8"/>
      <c r="G25" s="8"/>
      <c r="H25" s="8"/>
      <c r="I25" s="8"/>
      <c r="J25" s="8"/>
      <c r="K25" s="8"/>
      <c r="L25" s="8"/>
    </row>
    <row r="26" spans="2:12" ht="5" customHeight="1"/>
    <row r="27" spans="2:12">
      <c r="B27" s="21" t="s">
        <v>230</v>
      </c>
      <c r="C27" s="21"/>
      <c r="D27" s="21"/>
      <c r="E27" s="21"/>
      <c r="F27" s="21"/>
      <c r="G27" s="21"/>
      <c r="H27" s="21"/>
      <c r="I27" s="21"/>
      <c r="J27" s="21"/>
      <c r="K27" s="21"/>
      <c r="L27" s="21"/>
    </row>
    <row r="28" spans="2:12">
      <c r="B28" s="32" t="s">
        <v>231</v>
      </c>
      <c r="C28" s="32"/>
      <c r="D28" s="32"/>
      <c r="E28" s="32"/>
      <c r="F28" s="32"/>
    </row>
    <row r="29" spans="2:12">
      <c r="B29" s="27" t="s">
        <v>232</v>
      </c>
      <c r="C29" s="27"/>
      <c r="D29" s="27"/>
      <c r="E29" s="76">
        <v>46388</v>
      </c>
      <c r="F29" s="7"/>
    </row>
    <row r="30" spans="2:12">
      <c r="B30" s="27" t="s">
        <v>76</v>
      </c>
      <c r="C30" s="27"/>
      <c r="D30" s="27"/>
      <c r="E30" s="77">
        <v>10</v>
      </c>
      <c r="F30" s="7"/>
    </row>
    <row r="31" spans="2:12">
      <c r="B31" s="27" t="s">
        <v>78</v>
      </c>
      <c r="C31" s="27"/>
      <c r="D31" s="27"/>
      <c r="E31" s="77">
        <v>40</v>
      </c>
      <c r="F31" s="7"/>
    </row>
    <row r="32" spans="2:12">
      <c r="B32" s="27" t="s">
        <v>233</v>
      </c>
      <c r="C32" s="27"/>
      <c r="D32" s="27"/>
      <c r="E32" s="78">
        <v>0.85</v>
      </c>
      <c r="F32" s="7"/>
    </row>
    <row r="33" spans="2:17">
      <c r="B33" s="27" t="s">
        <v>234</v>
      </c>
      <c r="C33" s="27"/>
      <c r="D33" s="27"/>
      <c r="E33" s="78">
        <v>1</v>
      </c>
      <c r="F33" s="7"/>
    </row>
    <row r="35" spans="2:17">
      <c r="B35" s="32" t="s">
        <v>235</v>
      </c>
      <c r="C35" s="32"/>
      <c r="D35" s="32"/>
      <c r="E35" s="32"/>
      <c r="F35" s="32"/>
      <c r="G35" s="32"/>
      <c r="H35" s="32"/>
      <c r="I35" s="32"/>
      <c r="J35" s="32"/>
      <c r="K35" s="32"/>
      <c r="L35" s="32"/>
    </row>
    <row r="36" spans="2:17" ht="32" customHeight="1">
      <c r="B36" s="33" t="s">
        <v>60</v>
      </c>
      <c r="C36" s="33" t="s">
        <v>61</v>
      </c>
      <c r="D36" s="33" t="s">
        <v>62</v>
      </c>
      <c r="E36" s="33" t="s">
        <v>63</v>
      </c>
      <c r="F36" s="33" t="s">
        <v>64</v>
      </c>
    </row>
    <row r="37" spans="2:17">
      <c r="B37" s="65" t="s">
        <v>236</v>
      </c>
      <c r="C37" s="77">
        <v>8</v>
      </c>
      <c r="D37" s="78">
        <v>0.9</v>
      </c>
      <c r="E37" s="78">
        <v>0.95</v>
      </c>
      <c r="F37" s="65" t="s">
        <v>113</v>
      </c>
    </row>
    <row r="39" spans="2:17">
      <c r="B39" s="32" t="s">
        <v>237</v>
      </c>
      <c r="C39" s="32"/>
      <c r="D39" s="32"/>
      <c r="E39" s="32"/>
      <c r="F39" s="32"/>
      <c r="G39" s="32"/>
      <c r="H39" s="32"/>
      <c r="I39" s="32"/>
      <c r="J39" s="32"/>
      <c r="K39" s="32"/>
      <c r="L39" s="32"/>
    </row>
    <row r="40" spans="2:17" ht="14" customHeight="1">
      <c r="B40" s="34"/>
      <c r="C40" s="34"/>
      <c r="D40" s="34"/>
      <c r="E40" s="34" t="str">
        <f>Currency</f>
        <v>USD</v>
      </c>
      <c r="F40" s="34"/>
      <c r="G40" s="34"/>
      <c r="H40" s="34"/>
    </row>
    <row r="41" spans="2:17" ht="32" customHeight="1">
      <c r="B41" s="33" t="s">
        <v>65</v>
      </c>
      <c r="C41" s="33" t="s">
        <v>60</v>
      </c>
      <c r="D41" s="33" t="s">
        <v>66</v>
      </c>
      <c r="E41" s="33" t="s">
        <v>67</v>
      </c>
      <c r="F41" s="33" t="s">
        <v>68</v>
      </c>
      <c r="G41" s="33" t="s">
        <v>69</v>
      </c>
      <c r="H41" s="33" t="s">
        <v>64</v>
      </c>
    </row>
    <row r="42" spans="2:17">
      <c r="B42" s="65" t="s">
        <v>238</v>
      </c>
      <c r="C42" s="65" t="s">
        <v>236</v>
      </c>
      <c r="D42" s="77">
        <v>4</v>
      </c>
      <c r="E42" s="73">
        <v>50</v>
      </c>
      <c r="F42" s="70">
        <v>100</v>
      </c>
      <c r="G42" s="37">
        <f>tblVerifyFamilies[[#This Row],[Rate (units/h)]]*IFERROR(INDEX(tblVerifyLines[Yield],MATCH(tblVerifyFamilies[[#This Row],[Line]],tblVerifyLines[Line],0)),0)</f>
        <v>3.8</v>
      </c>
      <c r="H42" s="65" t="s">
        <v>113</v>
      </c>
    </row>
    <row r="43" spans="2:17">
      <c r="B43" s="65" t="s">
        <v>239</v>
      </c>
      <c r="C43" s="65" t="s">
        <v>236</v>
      </c>
      <c r="D43" s="77">
        <v>10</v>
      </c>
      <c r="E43" s="73">
        <v>20</v>
      </c>
      <c r="F43" s="70">
        <v>0</v>
      </c>
      <c r="G43" s="37">
        <f>tblVerifyFamilies[[#This Row],[Rate (units/h)]]*IFERROR(INDEX(tblVerifyLines[Yield],MATCH(tblVerifyFamilies[[#This Row],[Line]],tblVerifyLines[Line],0)),0)</f>
        <v>9.5</v>
      </c>
      <c r="H43" s="65" t="s">
        <v>113</v>
      </c>
    </row>
    <row r="45" spans="2:17">
      <c r="B45" s="32" t="s">
        <v>240</v>
      </c>
      <c r="C45" s="32"/>
      <c r="D45" s="32"/>
      <c r="E45" s="32"/>
      <c r="F45" s="32"/>
      <c r="G45" s="32"/>
      <c r="H45" s="32"/>
      <c r="I45" s="32"/>
      <c r="J45" s="32"/>
      <c r="K45" s="32"/>
      <c r="L45" s="32"/>
    </row>
    <row r="46" spans="2:17">
      <c r="B46" s="38" t="s">
        <v>99</v>
      </c>
      <c r="C46" s="38"/>
      <c r="D46" s="38"/>
      <c r="E46" s="33" t="s">
        <v>113</v>
      </c>
      <c r="F46" s="39">
        <f>$E$29</f>
        <v>46388</v>
      </c>
      <c r="G46" s="39">
        <f>EDATE($F$46,1)</f>
        <v>46419</v>
      </c>
      <c r="H46" s="39">
        <f>EDATE($G$46,1)</f>
        <v>46447</v>
      </c>
      <c r="I46" s="39">
        <f>EDATE($H$46,1)</f>
        <v>46478</v>
      </c>
      <c r="J46" s="39">
        <f>EDATE($I$46,1)</f>
        <v>46508</v>
      </c>
      <c r="K46" s="39">
        <f>EDATE($J$46,1)</f>
        <v>46539</v>
      </c>
      <c r="L46" s="39">
        <f>EDATE($K$46,1)</f>
        <v>46569</v>
      </c>
      <c r="M46" s="39">
        <f>EDATE($L$46,1)</f>
        <v>46600</v>
      </c>
      <c r="N46" s="39">
        <f>EDATE($M$46,1)</f>
        <v>46631</v>
      </c>
      <c r="O46" s="39">
        <f>EDATE($N$46,1)</f>
        <v>46661</v>
      </c>
      <c r="P46" s="39">
        <f>EDATE($O$46,1)</f>
        <v>46692</v>
      </c>
      <c r="Q46" s="39">
        <f>EDATE($P$46,1)</f>
        <v>46722</v>
      </c>
    </row>
    <row r="47" spans="2:17">
      <c r="B47" s="27" t="s">
        <v>102</v>
      </c>
      <c r="C47" s="27"/>
      <c r="D47" s="27"/>
      <c r="E47" s="7"/>
      <c r="F47" s="77">
        <v>20</v>
      </c>
      <c r="G47" s="77">
        <v>18</v>
      </c>
      <c r="H47" s="77">
        <v>21</v>
      </c>
      <c r="I47" s="77">
        <v>20</v>
      </c>
      <c r="J47" s="77">
        <v>20</v>
      </c>
      <c r="K47" s="77">
        <v>20</v>
      </c>
      <c r="L47" s="77">
        <v>20</v>
      </c>
      <c r="M47" s="77">
        <v>20</v>
      </c>
      <c r="N47" s="77">
        <v>20</v>
      </c>
      <c r="O47" s="77">
        <v>20</v>
      </c>
      <c r="P47" s="77">
        <v>20</v>
      </c>
      <c r="Q47" s="77">
        <v>20</v>
      </c>
    </row>
    <row r="49" spans="2:19">
      <c r="B49" s="32" t="s">
        <v>241</v>
      </c>
      <c r="C49" s="32"/>
      <c r="D49" s="32"/>
      <c r="E49" s="32"/>
      <c r="F49" s="32"/>
      <c r="G49" s="32"/>
      <c r="H49" s="32"/>
      <c r="I49" s="32"/>
      <c r="J49" s="32"/>
      <c r="K49" s="32"/>
      <c r="L49" s="32"/>
    </row>
    <row r="50" spans="2:19" ht="14" customHeight="1">
      <c r="B50" s="34"/>
      <c r="C50" s="34"/>
      <c r="D50" s="34"/>
      <c r="E50" s="34"/>
      <c r="F50" s="34"/>
      <c r="G50" s="34"/>
      <c r="H50" s="34"/>
      <c r="I50" s="34"/>
      <c r="J50" s="34"/>
      <c r="K50" s="34"/>
      <c r="L50" s="34"/>
      <c r="M50" s="34"/>
      <c r="N50" s="34"/>
      <c r="O50" s="34"/>
      <c r="P50" s="34" t="str">
        <f>Currency</f>
        <v>USD</v>
      </c>
      <c r="Q50" s="34" t="str">
        <f>Currency</f>
        <v>USD</v>
      </c>
      <c r="R50" s="34"/>
      <c r="S50" s="34"/>
    </row>
    <row r="51" spans="2:19" ht="45.5" customHeight="1">
      <c r="B51" s="33" t="s">
        <v>99</v>
      </c>
      <c r="C51" s="33" t="s">
        <v>65</v>
      </c>
      <c r="D51" s="33" t="s">
        <v>100</v>
      </c>
      <c r="E51" s="33" t="s">
        <v>101</v>
      </c>
      <c r="F51" s="33" t="s">
        <v>60</v>
      </c>
      <c r="G51" s="33" t="s">
        <v>102</v>
      </c>
      <c r="H51" s="33" t="s">
        <v>103</v>
      </c>
      <c r="I51" s="33" t="s">
        <v>104</v>
      </c>
      <c r="J51" s="33" t="s">
        <v>105</v>
      </c>
      <c r="K51" s="33" t="s">
        <v>106</v>
      </c>
      <c r="L51" s="33" t="s">
        <v>107</v>
      </c>
      <c r="M51" s="33" t="s">
        <v>69</v>
      </c>
      <c r="N51" s="33" t="s">
        <v>108</v>
      </c>
      <c r="O51" s="33" t="s">
        <v>109</v>
      </c>
      <c r="P51" s="33" t="s">
        <v>67</v>
      </c>
      <c r="Q51" s="33" t="s">
        <v>110</v>
      </c>
      <c r="R51" s="33" t="s">
        <v>111</v>
      </c>
      <c r="S51" s="33" t="s">
        <v>64</v>
      </c>
    </row>
    <row r="52" spans="2:19">
      <c r="B52" s="76">
        <v>46388</v>
      </c>
      <c r="C52" s="65" t="s">
        <v>238</v>
      </c>
      <c r="D52" s="70">
        <v>400</v>
      </c>
      <c r="E52" s="70">
        <v>380</v>
      </c>
      <c r="F52" s="65" t="s">
        <v>236</v>
      </c>
      <c r="G52" s="42">
        <f>IF(tblVerifyPlan[[#This Row],[Month]]="","",IFERROR(INDEX($F$47:$Q$47,MATCH(tblVerifyPlan[[#This Row],[Month]],$F$46:$Q$46,0)),""))</f>
        <v>20</v>
      </c>
      <c r="H52" s="70">
        <v>100</v>
      </c>
      <c r="I52" s="43">
        <f>IF(tblVerifyPlan[[#This Row],[Month]]="","",tblVerifyPlan[[#This Row],[Start inv. (units)]]+SUMIFS(tblVerifyPlan[Production plan (units)],tblVerifyPlan[Family],tblVerifyPlan[[#This Row],[Family]],tblVerifyPlan[Month],"&lt;"&amp;tblVerifyPlan[[#This Row],[Month]])-SUMIFS(tblVerifyPlan[Demand forecast (units)],tblVerifyPlan[Family],tblVerifyPlan[[#This Row],[Family]],tblVerifyPlan[Month],"&lt;"&amp;tblVerifyPlan[[#This Row],[Month]]))</f>
        <v>100</v>
      </c>
      <c r="J52" s="43">
        <f>IF(tblVerifyPlan[[#This Row],[Month]]="","",tblVerifyPlan[[#This Row],[Opening inv. (units)]]+tblVerifyPlan[[#This Row],[Production plan (units)]]-tblVerifyPlan[[#This Row],[Demand forecast (units)]])</f>
        <v>80</v>
      </c>
      <c r="K52" s="42">
        <f>IF(tblVerifyPlan[[#This Row],[Month]]="","",IF(AND(tblVerifyPlan[[#This Row],[Demand forecast (units)]]&gt;0,N(tblVerifyPlan[[#This Row],[Working days]])&gt;0),tblVerifyPlan[[#This Row],[Closing inv. (units)]]/(tblVerifyPlan[[#This Row],[Demand forecast (units)]]/tblVerifyPlan[[#This Row],[Working days]]),""))</f>
        <v>4</v>
      </c>
      <c r="L52" s="44" t="str">
        <f>IF(tblVerifyPlan[[#This Row],[Month]]="","",IF(NOT(ISNUMBER(tblVerifyPlan[[#This Row],[Days of supply]])),"",IF(tblVerifyPlan[[#This Row],[Days of supply]]&lt;$E$30,"Below target",IF(tblVerifyPlan[[#This Row],[Days of supply]]&gt;$E$31,"Above target","On target"))))</f>
        <v>Below target</v>
      </c>
      <c r="M52" s="73">
        <v>3.8</v>
      </c>
      <c r="N52" s="42">
        <f>IF(tblVerifyPlan[[#This Row],[Month]]="","",IF(N(tblVerifyPlan[[#This Row],[Good rate (units/h)]])&gt;0,tblVerifyPlan[[#This Row],[Production plan (units)]]/tblVerifyPlan[[#This Row],[Good rate (units/h)]],""))</f>
        <v>100</v>
      </c>
      <c r="O52" s="43">
        <f>IF(tblVerifyPlan[[#This Row],[Month]]="","",IFERROR(tblVerifyPlan[[#This Row],[Good rate (units/h)]]*tblVerifyPlan[[#This Row],[Working days]]*INDEX(tblVerifyLines[Hours per day],MATCH(tblVerifyPlan[[#This Row],[Line]],tblVerifyLines[Line],0))*INDEX(tblVerifyLines[Uptime],MATCH(tblVerifyPlan[[#This Row],[Line]],tblVerifyLines[Line],0)),""))</f>
        <v>547.2</v>
      </c>
      <c r="P52" s="73">
        <v>50</v>
      </c>
      <c r="Q52" s="43">
        <f>IF(tblVerifyPlan[[#This Row],[Month]]="","",IF(N(tblVerifyPlan[[#This Row],[Price (per unit)]])&gt;0,tblVerifyPlan[[#This Row],[Demand forecast (units)]]*tblVerifyPlan[[#This Row],[Price (per unit)]],""))</f>
        <v>20000</v>
      </c>
      <c r="R52" s="45" t="str">
        <f>IF(tblVerifyPlan[[#This Row],[Month]]="","",IF(tblVerifyPlan[[#This Row],[Family]]="","Missing family",IF(tblVerifyPlan[[#This Row],[Demand forecast (units)]]="","Missing demand forecast",IF(tblVerifyPlan[[#This Row],[Production plan (units)]]="","Missing production plan",IF(tblVerifyPlan[[#This Row],[Line]]="","Family not on Setup list",IF(tblVerifyPlan[[#This Row],[Working days]]="","Month not in the calendar",IF(COUNTIFS(tblVerifyPlan[Month],tblVerifyPlan[[#This Row],[Month]],tblVerifyPlan[Family],tblVerifyPlan[[#This Row],[Family]])&gt;1,"Duplicate family month",IF(tblVerifyPlan[[#This Row],[Production plan (units)]]&gt;N(tblVerifyPlan[[#This Row],[Capacity (units)]]),"Above line capacity","OK"))))))))</f>
        <v>OK</v>
      </c>
      <c r="S52" s="65"/>
    </row>
    <row r="53" spans="2:19">
      <c r="B53" s="76">
        <v>46388</v>
      </c>
      <c r="C53" s="65" t="s">
        <v>239</v>
      </c>
      <c r="D53" s="70">
        <v>300</v>
      </c>
      <c r="E53" s="70">
        <v>330</v>
      </c>
      <c r="F53" s="65" t="s">
        <v>236</v>
      </c>
      <c r="G53" s="42">
        <f>IF(tblVerifyPlan[[#This Row],[Month]]="","",IFERROR(INDEX($F$47:$Q$47,MATCH(tblVerifyPlan[[#This Row],[Month]],$F$46:$Q$46,0)),""))</f>
        <v>20</v>
      </c>
      <c r="H53" s="70">
        <v>0</v>
      </c>
      <c r="I53" s="43">
        <f>IF(tblVerifyPlan[[#This Row],[Month]]="","",tblVerifyPlan[[#This Row],[Start inv. (units)]]+SUMIFS(tblVerifyPlan[Production plan (units)],tblVerifyPlan[Family],tblVerifyPlan[[#This Row],[Family]],tblVerifyPlan[Month],"&lt;"&amp;tblVerifyPlan[[#This Row],[Month]])-SUMIFS(tblVerifyPlan[Demand forecast (units)],tblVerifyPlan[Family],tblVerifyPlan[[#This Row],[Family]],tblVerifyPlan[Month],"&lt;"&amp;tblVerifyPlan[[#This Row],[Month]]))</f>
        <v>0</v>
      </c>
      <c r="J53" s="43">
        <f>IF(tblVerifyPlan[[#This Row],[Month]]="","",tblVerifyPlan[[#This Row],[Opening inv. (units)]]+tblVerifyPlan[[#This Row],[Production plan (units)]]-tblVerifyPlan[[#This Row],[Demand forecast (units)]])</f>
        <v>30</v>
      </c>
      <c r="K53" s="42">
        <f>IF(tblVerifyPlan[[#This Row],[Month]]="","",IF(AND(tblVerifyPlan[[#This Row],[Demand forecast (units)]]&gt;0,N(tblVerifyPlan[[#This Row],[Working days]])&gt;0),tblVerifyPlan[[#This Row],[Closing inv. (units)]]/(tblVerifyPlan[[#This Row],[Demand forecast (units)]]/tblVerifyPlan[[#This Row],[Working days]]),""))</f>
        <v>2</v>
      </c>
      <c r="L53" s="44" t="str">
        <f>IF(tblVerifyPlan[[#This Row],[Month]]="","",IF(NOT(ISNUMBER(tblVerifyPlan[[#This Row],[Days of supply]])),"",IF(tblVerifyPlan[[#This Row],[Days of supply]]&lt;$E$30,"Below target",IF(tblVerifyPlan[[#This Row],[Days of supply]]&gt;$E$31,"Above target","On target"))))</f>
        <v>Below target</v>
      </c>
      <c r="M53" s="73">
        <v>9.5</v>
      </c>
      <c r="N53" s="42">
        <f>IF(tblVerifyPlan[[#This Row],[Month]]="","",IF(N(tblVerifyPlan[[#This Row],[Good rate (units/h)]])&gt;0,tblVerifyPlan[[#This Row],[Production plan (units)]]/tblVerifyPlan[[#This Row],[Good rate (units/h)]],""))</f>
        <v>34.7368421052632</v>
      </c>
      <c r="O53" s="43">
        <f>IF(tblVerifyPlan[[#This Row],[Month]]="","",IFERROR(tblVerifyPlan[[#This Row],[Good rate (units/h)]]*tblVerifyPlan[[#This Row],[Working days]]*INDEX(tblVerifyLines[Hours per day],MATCH(tblVerifyPlan[[#This Row],[Line]],tblVerifyLines[Line],0))*INDEX(tblVerifyLines[Uptime],MATCH(tblVerifyPlan[[#This Row],[Line]],tblVerifyLines[Line],0)),""))</f>
        <v>1368</v>
      </c>
      <c r="P53" s="73">
        <v>20</v>
      </c>
      <c r="Q53" s="43">
        <f>IF(tblVerifyPlan[[#This Row],[Month]]="","",IF(N(tblVerifyPlan[[#This Row],[Price (per unit)]])&gt;0,tblVerifyPlan[[#This Row],[Demand forecast (units)]]*tblVerifyPlan[[#This Row],[Price (per unit)]],""))</f>
        <v>6000</v>
      </c>
      <c r="R53" s="45" t="str">
        <f>IF(tblVerifyPlan[[#This Row],[Month]]="","",IF(tblVerifyPlan[[#This Row],[Family]]="","Missing family",IF(tblVerifyPlan[[#This Row],[Demand forecast (units)]]="","Missing demand forecast",IF(tblVerifyPlan[[#This Row],[Production plan (units)]]="","Missing production plan",IF(tblVerifyPlan[[#This Row],[Line]]="","Family not on Setup list",IF(tblVerifyPlan[[#This Row],[Working days]]="","Month not in the calendar",IF(COUNTIFS(tblVerifyPlan[Month],tblVerifyPlan[[#This Row],[Month]],tblVerifyPlan[Family],tblVerifyPlan[[#This Row],[Family]])&gt;1,"Duplicate family month",IF(tblVerifyPlan[[#This Row],[Production plan (units)]]&gt;N(tblVerifyPlan[[#This Row],[Capacity (units)]]),"Above line capacity","OK"))))))))</f>
        <v>OK</v>
      </c>
      <c r="S53" s="65"/>
    </row>
    <row r="54" spans="2:19">
      <c r="B54" s="76">
        <v>46419</v>
      </c>
      <c r="C54" s="65" t="s">
        <v>238</v>
      </c>
      <c r="D54" s="70">
        <v>500</v>
      </c>
      <c r="E54" s="70">
        <v>400</v>
      </c>
      <c r="F54" s="65" t="s">
        <v>236</v>
      </c>
      <c r="G54" s="42">
        <f>IF(tblVerifyPlan[[#This Row],[Month]]="","",IFERROR(INDEX($F$47:$Q$47,MATCH(tblVerifyPlan[[#This Row],[Month]],$F$46:$Q$46,0)),""))</f>
        <v>18</v>
      </c>
      <c r="H54" s="70">
        <v>100</v>
      </c>
      <c r="I54" s="43">
        <f>IF(tblVerifyPlan[[#This Row],[Month]]="","",tblVerifyPlan[[#This Row],[Start inv. (units)]]+SUMIFS(tblVerifyPlan[Production plan (units)],tblVerifyPlan[Family],tblVerifyPlan[[#This Row],[Family]],tblVerifyPlan[Month],"&lt;"&amp;tblVerifyPlan[[#This Row],[Month]])-SUMIFS(tblVerifyPlan[Demand forecast (units)],tblVerifyPlan[Family],tblVerifyPlan[[#This Row],[Family]],tblVerifyPlan[Month],"&lt;"&amp;tblVerifyPlan[[#This Row],[Month]]))</f>
        <v>80</v>
      </c>
      <c r="J54" s="43">
        <f>IF(tblVerifyPlan[[#This Row],[Month]]="","",tblVerifyPlan[[#This Row],[Opening inv. (units)]]+tblVerifyPlan[[#This Row],[Production plan (units)]]-tblVerifyPlan[[#This Row],[Demand forecast (units)]])</f>
        <v>-20</v>
      </c>
      <c r="K54" s="42">
        <f>IF(tblVerifyPlan[[#This Row],[Month]]="","",IF(AND(tblVerifyPlan[[#This Row],[Demand forecast (units)]]&gt;0,N(tblVerifyPlan[[#This Row],[Working days]])&gt;0),tblVerifyPlan[[#This Row],[Closing inv. (units)]]/(tblVerifyPlan[[#This Row],[Demand forecast (units)]]/tblVerifyPlan[[#This Row],[Working days]]),""))</f>
        <v>-0.72</v>
      </c>
      <c r="L54" s="44" t="str">
        <f>IF(tblVerifyPlan[[#This Row],[Month]]="","",IF(NOT(ISNUMBER(tblVerifyPlan[[#This Row],[Days of supply]])),"",IF(tblVerifyPlan[[#This Row],[Days of supply]]&lt;$E$30,"Below target",IF(tblVerifyPlan[[#This Row],[Days of supply]]&gt;$E$31,"Above target","On target"))))</f>
        <v>Below target</v>
      </c>
      <c r="M54" s="73">
        <v>3.8</v>
      </c>
      <c r="N54" s="42">
        <f>IF(tblVerifyPlan[[#This Row],[Month]]="","",IF(N(tblVerifyPlan[[#This Row],[Good rate (units/h)]])&gt;0,tblVerifyPlan[[#This Row],[Production plan (units)]]/tblVerifyPlan[[#This Row],[Good rate (units/h)]],""))</f>
        <v>105.263157894737</v>
      </c>
      <c r="O54" s="43">
        <f>IF(tblVerifyPlan[[#This Row],[Month]]="","",IFERROR(tblVerifyPlan[[#This Row],[Good rate (units/h)]]*tblVerifyPlan[[#This Row],[Working days]]*INDEX(tblVerifyLines[Hours per day],MATCH(tblVerifyPlan[[#This Row],[Line]],tblVerifyLines[Line],0))*INDEX(tblVerifyLines[Uptime],MATCH(tblVerifyPlan[[#This Row],[Line]],tblVerifyLines[Line],0)),""))</f>
        <v>492.48</v>
      </c>
      <c r="P54" s="73">
        <v>50</v>
      </c>
      <c r="Q54" s="43">
        <f>IF(tblVerifyPlan[[#This Row],[Month]]="","",IF(N(tblVerifyPlan[[#This Row],[Price (per unit)]])&gt;0,tblVerifyPlan[[#This Row],[Demand forecast (units)]]*tblVerifyPlan[[#This Row],[Price (per unit)]],""))</f>
        <v>25000</v>
      </c>
      <c r="R54" s="45" t="str">
        <f>IF(tblVerifyPlan[[#This Row],[Month]]="","",IF(tblVerifyPlan[[#This Row],[Family]]="","Missing family",IF(tblVerifyPlan[[#This Row],[Demand forecast (units)]]="","Missing demand forecast",IF(tblVerifyPlan[[#This Row],[Production plan (units)]]="","Missing production plan",IF(tblVerifyPlan[[#This Row],[Line]]="","Family not on Setup list",IF(tblVerifyPlan[[#This Row],[Working days]]="","Month not in the calendar",IF(COUNTIFS(tblVerifyPlan[Month],tblVerifyPlan[[#This Row],[Month]],tblVerifyPlan[Family],tblVerifyPlan[[#This Row],[Family]])&gt;1,"Duplicate family month",IF(tblVerifyPlan[[#This Row],[Production plan (units)]]&gt;N(tblVerifyPlan[[#This Row],[Capacity (units)]]),"Above line capacity","OK"))))))))</f>
        <v>OK</v>
      </c>
      <c r="S54" s="65"/>
    </row>
    <row r="55" spans="2:19">
      <c r="B55" s="76">
        <v>46419</v>
      </c>
      <c r="C55" s="65" t="s">
        <v>239</v>
      </c>
      <c r="D55" s="70">
        <v>0</v>
      </c>
      <c r="E55" s="70">
        <v>100</v>
      </c>
      <c r="F55" s="65" t="s">
        <v>236</v>
      </c>
      <c r="G55" s="42">
        <f>IF(tblVerifyPlan[[#This Row],[Month]]="","",IFERROR(INDEX($F$47:$Q$47,MATCH(tblVerifyPlan[[#This Row],[Month]],$F$46:$Q$46,0)),""))</f>
        <v>18</v>
      </c>
      <c r="H55" s="70">
        <v>0</v>
      </c>
      <c r="I55" s="43">
        <f>IF(tblVerifyPlan[[#This Row],[Month]]="","",tblVerifyPlan[[#This Row],[Start inv. (units)]]+SUMIFS(tblVerifyPlan[Production plan (units)],tblVerifyPlan[Family],tblVerifyPlan[[#This Row],[Family]],tblVerifyPlan[Month],"&lt;"&amp;tblVerifyPlan[[#This Row],[Month]])-SUMIFS(tblVerifyPlan[Demand forecast (units)],tblVerifyPlan[Family],tblVerifyPlan[[#This Row],[Family]],tblVerifyPlan[Month],"&lt;"&amp;tblVerifyPlan[[#This Row],[Month]]))</f>
        <v>30</v>
      </c>
      <c r="J55" s="43">
        <f>IF(tblVerifyPlan[[#This Row],[Month]]="","",tblVerifyPlan[[#This Row],[Opening inv. (units)]]+tblVerifyPlan[[#This Row],[Production plan (units)]]-tblVerifyPlan[[#This Row],[Demand forecast (units)]])</f>
        <v>130</v>
      </c>
      <c r="K55" s="42">
        <f>IF(tblVerifyPlan[[#This Row],[Month]]="","",IF(AND(tblVerifyPlan[[#This Row],[Demand forecast (units)]]&gt;0,N(tblVerifyPlan[[#This Row],[Working days]])&gt;0),tblVerifyPlan[[#This Row],[Closing inv. (units)]]/(tblVerifyPlan[[#This Row],[Demand forecast (units)]]/tblVerifyPlan[[#This Row],[Working days]]),""))</f>
        <v/>
      </c>
      <c r="L55" s="44">
        <f>IF(tblVerifyPlan[[#This Row],[Month]]="","",IF(NOT(ISNUMBER(tblVerifyPlan[[#This Row],[Days of supply]])),"",IF(tblVerifyPlan[[#This Row],[Days of supply]]&lt;$E$30,"Below target",IF(tblVerifyPlan[[#This Row],[Days of supply]]&gt;$E$31,"Above target","On target"))))</f>
        <v/>
      </c>
      <c r="M55" s="73">
        <v>9.5</v>
      </c>
      <c r="N55" s="42">
        <f>IF(tblVerifyPlan[[#This Row],[Month]]="","",IF(N(tblVerifyPlan[[#This Row],[Good rate (units/h)]])&gt;0,tblVerifyPlan[[#This Row],[Production plan (units)]]/tblVerifyPlan[[#This Row],[Good rate (units/h)]],""))</f>
        <v>10.5263157894737</v>
      </c>
      <c r="O55" s="43">
        <f>IF(tblVerifyPlan[[#This Row],[Month]]="","",IFERROR(tblVerifyPlan[[#This Row],[Good rate (units/h)]]*tblVerifyPlan[[#This Row],[Working days]]*INDEX(tblVerifyLines[Hours per day],MATCH(tblVerifyPlan[[#This Row],[Line]],tblVerifyLines[Line],0))*INDEX(tblVerifyLines[Uptime],MATCH(tblVerifyPlan[[#This Row],[Line]],tblVerifyLines[Line],0)),""))</f>
        <v>1231.2</v>
      </c>
      <c r="P55" s="73">
        <v>20</v>
      </c>
      <c r="Q55" s="43">
        <f>IF(tblVerifyPlan[[#This Row],[Month]]="","",IF(N(tblVerifyPlan[[#This Row],[Price (per unit)]])&gt;0,tblVerifyPlan[[#This Row],[Demand forecast (units)]]*tblVerifyPlan[[#This Row],[Price (per unit)]],""))</f>
        <v>0</v>
      </c>
      <c r="R55" s="45" t="str">
        <f>IF(tblVerifyPlan[[#This Row],[Month]]="","",IF(tblVerifyPlan[[#This Row],[Family]]="","Missing family",IF(tblVerifyPlan[[#This Row],[Demand forecast (units)]]="","Missing demand forecast",IF(tblVerifyPlan[[#This Row],[Production plan (units)]]="","Missing production plan",IF(tblVerifyPlan[[#This Row],[Line]]="","Family not on Setup list",IF(tblVerifyPlan[[#This Row],[Working days]]="","Month not in the calendar",IF(COUNTIFS(tblVerifyPlan[Month],tblVerifyPlan[[#This Row],[Month]],tblVerifyPlan[Family],tblVerifyPlan[[#This Row],[Family]])&gt;1,"Duplicate family month",IF(tblVerifyPlan[[#This Row],[Production plan (units)]]&gt;N(tblVerifyPlan[[#This Row],[Capacity (units)]]),"Above line capacity","OK"))))))))</f>
        <v>OK</v>
      </c>
      <c r="S55" s="65"/>
    </row>
    <row r="56" spans="2:19">
      <c r="B56" s="76">
        <v>46447</v>
      </c>
      <c r="C56" s="65" t="s">
        <v>238</v>
      </c>
      <c r="D56" s="70">
        <v>300</v>
      </c>
      <c r="E56" s="70">
        <v>700</v>
      </c>
      <c r="F56" s="65" t="s">
        <v>236</v>
      </c>
      <c r="G56" s="42">
        <f>IF(tblVerifyPlan[[#This Row],[Month]]="","",IFERROR(INDEX($F$47:$Q$47,MATCH(tblVerifyPlan[[#This Row],[Month]],$F$46:$Q$46,0)),""))</f>
        <v>21</v>
      </c>
      <c r="H56" s="70">
        <v>100</v>
      </c>
      <c r="I56" s="43">
        <f>IF(tblVerifyPlan[[#This Row],[Month]]="","",tblVerifyPlan[[#This Row],[Start inv. (units)]]+SUMIFS(tblVerifyPlan[Production plan (units)],tblVerifyPlan[Family],tblVerifyPlan[[#This Row],[Family]],tblVerifyPlan[Month],"&lt;"&amp;tblVerifyPlan[[#This Row],[Month]])-SUMIFS(tblVerifyPlan[Demand forecast (units)],tblVerifyPlan[Family],tblVerifyPlan[[#This Row],[Family]],tblVerifyPlan[Month],"&lt;"&amp;tblVerifyPlan[[#This Row],[Month]]))</f>
        <v>-20</v>
      </c>
      <c r="J56" s="43">
        <f>IF(tblVerifyPlan[[#This Row],[Month]]="","",tblVerifyPlan[[#This Row],[Opening inv. (units)]]+tblVerifyPlan[[#This Row],[Production plan (units)]]-tblVerifyPlan[[#This Row],[Demand forecast (units)]])</f>
        <v>380</v>
      </c>
      <c r="K56" s="42">
        <f>IF(tblVerifyPlan[[#This Row],[Month]]="","",IF(AND(tblVerifyPlan[[#This Row],[Demand forecast (units)]]&gt;0,N(tblVerifyPlan[[#This Row],[Working days]])&gt;0),tblVerifyPlan[[#This Row],[Closing inv. (units)]]/(tblVerifyPlan[[#This Row],[Demand forecast (units)]]/tblVerifyPlan[[#This Row],[Working days]]),""))</f>
        <v>26.6</v>
      </c>
      <c r="L56" s="44" t="str">
        <f>IF(tblVerifyPlan[[#This Row],[Month]]="","",IF(NOT(ISNUMBER(tblVerifyPlan[[#This Row],[Days of supply]])),"",IF(tblVerifyPlan[[#This Row],[Days of supply]]&lt;$E$30,"Below target",IF(tblVerifyPlan[[#This Row],[Days of supply]]&gt;$E$31,"Above target","On target"))))</f>
        <v>On target</v>
      </c>
      <c r="M56" s="73">
        <v>3.8</v>
      </c>
      <c r="N56" s="42">
        <f>IF(tblVerifyPlan[[#This Row],[Month]]="","",IF(N(tblVerifyPlan[[#This Row],[Good rate (units/h)]])&gt;0,tblVerifyPlan[[#This Row],[Production plan (units)]]/tblVerifyPlan[[#This Row],[Good rate (units/h)]],""))</f>
        <v>184.210526315789</v>
      </c>
      <c r="O56" s="43">
        <f>IF(tblVerifyPlan[[#This Row],[Month]]="","",IFERROR(tblVerifyPlan[[#This Row],[Good rate (units/h)]]*tblVerifyPlan[[#This Row],[Working days]]*INDEX(tblVerifyLines[Hours per day],MATCH(tblVerifyPlan[[#This Row],[Line]],tblVerifyLines[Line],0))*INDEX(tblVerifyLines[Uptime],MATCH(tblVerifyPlan[[#This Row],[Line]],tblVerifyLines[Line],0)),""))</f>
        <v>574.56</v>
      </c>
      <c r="P56" s="73">
        <v>50</v>
      </c>
      <c r="Q56" s="43">
        <f>IF(tblVerifyPlan[[#This Row],[Month]]="","",IF(N(tblVerifyPlan[[#This Row],[Price (per unit)]])&gt;0,tblVerifyPlan[[#This Row],[Demand forecast (units)]]*tblVerifyPlan[[#This Row],[Price (per unit)]],""))</f>
        <v>15000</v>
      </c>
      <c r="R56" s="45" t="str">
        <f>IF(tblVerifyPlan[[#This Row],[Month]]="","",IF(tblVerifyPlan[[#This Row],[Family]]="","Missing family",IF(tblVerifyPlan[[#This Row],[Demand forecast (units)]]="","Missing demand forecast",IF(tblVerifyPlan[[#This Row],[Production plan (units)]]="","Missing production plan",IF(tblVerifyPlan[[#This Row],[Line]]="","Family not on Setup list",IF(tblVerifyPlan[[#This Row],[Working days]]="","Month not in the calendar",IF(COUNTIFS(tblVerifyPlan[Month],tblVerifyPlan[[#This Row],[Month]],tblVerifyPlan[Family],tblVerifyPlan[[#This Row],[Family]])&gt;1,"Duplicate family month",IF(tblVerifyPlan[[#This Row],[Production plan (units)]]&gt;N(tblVerifyPlan[[#This Row],[Capacity (units)]]),"Above line capacity","OK"))))))))</f>
        <v>Above line capacity</v>
      </c>
      <c r="S56" s="65"/>
    </row>
    <row r="57" spans="2:19">
      <c r="B57" s="76">
        <v>46447</v>
      </c>
      <c r="C57" s="65" t="s">
        <v>242</v>
      </c>
      <c r="D57" s="70">
        <v>10</v>
      </c>
      <c r="E57" s="70">
        <v>10</v>
      </c>
      <c r="F57" s="65" t="s">
        <v>113</v>
      </c>
      <c r="G57" s="42">
        <f>IF(tblVerifyPlan[[#This Row],[Month]]="","",IFERROR(INDEX($F$47:$Q$47,MATCH(tblVerifyPlan[[#This Row],[Month]],$F$46:$Q$46,0)),""))</f>
        <v>21</v>
      </c>
      <c r="H57" s="70" t="s">
        <v>113</v>
      </c>
      <c r="I57" s="43">
        <f>IF(tblVerifyPlan[[#This Row],[Month]]="","",tblVerifyPlan[[#This Row],[Start inv. (units)]]+SUMIFS(tblVerifyPlan[Production plan (units)],tblVerifyPlan[Family],tblVerifyPlan[[#This Row],[Family]],tblVerifyPlan[Month],"&lt;"&amp;tblVerifyPlan[[#This Row],[Month]])-SUMIFS(tblVerifyPlan[Demand forecast (units)],tblVerifyPlan[Family],tblVerifyPlan[[#This Row],[Family]],tblVerifyPlan[Month],"&lt;"&amp;tblVerifyPlan[[#This Row],[Month]]))</f>
        <v>0</v>
      </c>
      <c r="J57" s="43">
        <f>IF(tblVerifyPlan[[#This Row],[Month]]="","",tblVerifyPlan[[#This Row],[Opening inv. (units)]]+tblVerifyPlan[[#This Row],[Production plan (units)]]-tblVerifyPlan[[#This Row],[Demand forecast (units)]])</f>
        <v>0</v>
      </c>
      <c r="K57" s="42">
        <f>IF(tblVerifyPlan[[#This Row],[Month]]="","",IF(AND(tblVerifyPlan[[#This Row],[Demand forecast (units)]]&gt;0,N(tblVerifyPlan[[#This Row],[Working days]])&gt;0),tblVerifyPlan[[#This Row],[Closing inv. (units)]]/(tblVerifyPlan[[#This Row],[Demand forecast (units)]]/tblVerifyPlan[[#This Row],[Working days]]),""))</f>
        <v>0</v>
      </c>
      <c r="L57" s="44" t="str">
        <f>IF(tblVerifyPlan[[#This Row],[Month]]="","",IF(NOT(ISNUMBER(tblVerifyPlan[[#This Row],[Days of supply]])),"",IF(tblVerifyPlan[[#This Row],[Days of supply]]&lt;$E$30,"Below target",IF(tblVerifyPlan[[#This Row],[Days of supply]]&gt;$E$31,"Above target","On target"))))</f>
        <v>Below target</v>
      </c>
      <c r="M57" s="73" t="s">
        <v>113</v>
      </c>
      <c r="N57" s="42">
        <f>IF(tblVerifyPlan[[#This Row],[Month]]="","",IF(N(tblVerifyPlan[[#This Row],[Good rate (units/h)]])&gt;0,tblVerifyPlan[[#This Row],[Production plan (units)]]/tblVerifyPlan[[#This Row],[Good rate (units/h)]],""))</f>
        <v/>
      </c>
      <c r="O57" s="43">
        <f>IF(tblVerifyPlan[[#This Row],[Month]]="","",IFERROR(tblVerifyPlan[[#This Row],[Good rate (units/h)]]*tblVerifyPlan[[#This Row],[Working days]]*INDEX(tblVerifyLines[Hours per day],MATCH(tblVerifyPlan[[#This Row],[Line]],tblVerifyLines[Line],0))*INDEX(tblVerifyLines[Uptime],MATCH(tblVerifyPlan[[#This Row],[Line]],tblVerifyLines[Line],0)),""))</f>
        <v/>
      </c>
      <c r="P57" s="73" t="s">
        <v>113</v>
      </c>
      <c r="Q57" s="43">
        <f>IF(tblVerifyPlan[[#This Row],[Month]]="","",IF(N(tblVerifyPlan[[#This Row],[Price (per unit)]])&gt;0,tblVerifyPlan[[#This Row],[Demand forecast (units)]]*tblVerifyPlan[[#This Row],[Price (per unit)]],""))</f>
        <v/>
      </c>
      <c r="R57" s="45" t="str">
        <f>IF(tblVerifyPlan[[#This Row],[Month]]="","",IF(tblVerifyPlan[[#This Row],[Family]]="","Missing family",IF(tblVerifyPlan[[#This Row],[Demand forecast (units)]]="","Missing demand forecast",IF(tblVerifyPlan[[#This Row],[Production plan (units)]]="","Missing production plan",IF(tblVerifyPlan[[#This Row],[Line]]="","Family not on Setup list",IF(tblVerifyPlan[[#This Row],[Working days]]="","Month not in the calendar",IF(COUNTIFS(tblVerifyPlan[Month],tblVerifyPlan[[#This Row],[Month]],tblVerifyPlan[Family],tblVerifyPlan[[#This Row],[Family]])&gt;1,"Duplicate family month",IF(tblVerifyPlan[[#This Row],[Production plan (units)]]&gt;N(tblVerifyPlan[[#This Row],[Capacity (units)]]),"Above line capacity","OK"))))))))</f>
        <v>Family not on Setup list</v>
      </c>
      <c r="S57" s="65"/>
    </row>
    <row r="59" spans="2:19">
      <c r="B59" s="32" t="s">
        <v>243</v>
      </c>
      <c r="C59" s="32"/>
      <c r="D59" s="32"/>
      <c r="E59" s="32"/>
      <c r="F59" s="32"/>
      <c r="G59" s="32"/>
      <c r="H59" s="32"/>
      <c r="I59" s="32"/>
      <c r="J59" s="32"/>
      <c r="K59" s="32"/>
      <c r="L59" s="32"/>
    </row>
    <row r="60" spans="2:19">
      <c r="B60" s="32" t="s">
        <v>143</v>
      </c>
      <c r="C60" s="32"/>
      <c r="D60" s="32"/>
      <c r="E60" s="32"/>
      <c r="F60" s="32"/>
      <c r="G60" s="32"/>
      <c r="H60" s="32"/>
      <c r="I60" s="32"/>
      <c r="J60" s="32"/>
      <c r="K60" s="32"/>
      <c r="L60" s="32"/>
      <c r="M60" s="32"/>
      <c r="N60" s="32"/>
      <c r="O60" s="32"/>
    </row>
    <row r="61" spans="2:19">
      <c r="B61" s="38" t="s">
        <v>108</v>
      </c>
      <c r="C61" s="54">
        <f>INDEX($F$46:$Q$46,1)</f>
        <v>46388</v>
      </c>
      <c r="D61" s="54">
        <f>INDEX($F$46:$Q$46,2)</f>
        <v>46419</v>
      </c>
      <c r="E61" s="54">
        <f>INDEX($F$46:$Q$46,3)</f>
        <v>46447</v>
      </c>
      <c r="F61" s="54">
        <f>INDEX($F$46:$Q$46,4)</f>
        <v>46478</v>
      </c>
      <c r="G61" s="54">
        <f>INDEX($F$46:$Q$46,5)</f>
        <v>46508</v>
      </c>
      <c r="H61" s="54">
        <f>INDEX($F$46:$Q$46,6)</f>
        <v>46539</v>
      </c>
      <c r="I61" s="54">
        <f>INDEX($F$46:$Q$46,7)</f>
        <v>46569</v>
      </c>
      <c r="J61" s="54">
        <f>INDEX($F$46:$Q$46,8)</f>
        <v>46600</v>
      </c>
      <c r="K61" s="54">
        <f>INDEX($F$46:$Q$46,9)</f>
        <v>46631</v>
      </c>
      <c r="L61" s="54">
        <f>INDEX($F$46:$Q$46,10)</f>
        <v>46661</v>
      </c>
      <c r="M61" s="54">
        <f>INDEX($F$46:$Q$46,11)</f>
        <v>46692</v>
      </c>
      <c r="N61" s="54">
        <f>INDEX($F$46:$Q$46,12)</f>
        <v>46722</v>
      </c>
      <c r="O61" s="33" t="s">
        <v>144</v>
      </c>
    </row>
    <row r="62" spans="2:19">
      <c r="B62" s="55" t="str">
        <f>IFERROR(INDEX(tblVerifyLines[Line],1)&amp;"","")</f>
        <v>L1</v>
      </c>
      <c r="C62" s="60">
        <f>IF($B$62="","",SUMIFS(tblVerifyPlan[Load (h)],tblVerifyPlan[Line],$B$62,tblVerifyPlan[Month],$C$61))</f>
        <v>134.736842105263</v>
      </c>
      <c r="D62" s="60">
        <f>IF($B$62="","",SUMIFS(tblVerifyPlan[Load (h)],tblVerifyPlan[Line],$B$62,tblVerifyPlan[Month],$D$61))</f>
        <v>115.789473684211</v>
      </c>
      <c r="E62" s="60">
        <f>IF($B$62="","",SUMIFS(tblVerifyPlan[Load (h)],tblVerifyPlan[Line],$B$62,tblVerifyPlan[Month],$E$61))</f>
        <v>184.210526315789</v>
      </c>
      <c r="F62" s="60">
        <f>IF($B$62="","",SUMIFS(tblVerifyPlan[Load (h)],tblVerifyPlan[Line],$B$62,tblVerifyPlan[Month],$F$61))</f>
        <v>0</v>
      </c>
      <c r="G62" s="60">
        <f>IF($B$62="","",SUMIFS(tblVerifyPlan[Load (h)],tblVerifyPlan[Line],$B$62,tblVerifyPlan[Month],$G$61))</f>
        <v>0</v>
      </c>
      <c r="H62" s="60">
        <f>IF($B$62="","",SUMIFS(tblVerifyPlan[Load (h)],tblVerifyPlan[Line],$B$62,tblVerifyPlan[Month],$H$61))</f>
        <v>0</v>
      </c>
      <c r="I62" s="60">
        <f>IF($B$62="","",SUMIFS(tblVerifyPlan[Load (h)],tblVerifyPlan[Line],$B$62,tblVerifyPlan[Month],$I$61))</f>
        <v>0</v>
      </c>
      <c r="J62" s="60">
        <f>IF($B$62="","",SUMIFS(tblVerifyPlan[Load (h)],tblVerifyPlan[Line],$B$62,tblVerifyPlan[Month],$J$61))</f>
        <v>0</v>
      </c>
      <c r="K62" s="60">
        <f>IF($B$62="","",SUMIFS(tblVerifyPlan[Load (h)],tblVerifyPlan[Line],$B$62,tblVerifyPlan[Month],$K$61))</f>
        <v>0</v>
      </c>
      <c r="L62" s="60">
        <f>IF($B$62="","",SUMIFS(tblVerifyPlan[Load (h)],tblVerifyPlan[Line],$B$62,tblVerifyPlan[Month],$L$61))</f>
        <v>0</v>
      </c>
      <c r="M62" s="60">
        <f>IF($B$62="","",SUMIFS(tblVerifyPlan[Load (h)],tblVerifyPlan[Line],$B$62,tblVerifyPlan[Month],$M$61))</f>
        <v>0</v>
      </c>
      <c r="N62" s="60">
        <f>IF($B$62="","",SUMIFS(tblVerifyPlan[Load (h)],tblVerifyPlan[Line],$B$62,tblVerifyPlan[Month],$N$61))</f>
        <v>0</v>
      </c>
      <c r="O62" s="57">
        <f>IF($B$62="","",SUM($C$62:$N$62))</f>
        <v>434.736842105263</v>
      </c>
    </row>
    <row r="63" spans="2:19">
      <c r="B63" s="55">
        <f>IFERROR(INDEX(tblVerifyLines[Line],2)&amp;"","")</f>
        <v/>
      </c>
      <c r="C63" s="60">
        <f>IF($B$63="","",SUMIFS(tblVerifyPlan[Load (h)],tblVerifyPlan[Line],$B$63,tblVerifyPlan[Month],$C$61))</f>
        <v/>
      </c>
      <c r="D63" s="60">
        <f>IF($B$63="","",SUMIFS(tblVerifyPlan[Load (h)],tblVerifyPlan[Line],$B$63,tblVerifyPlan[Month],$D$61))</f>
        <v/>
      </c>
      <c r="E63" s="60">
        <f>IF($B$63="","",SUMIFS(tblVerifyPlan[Load (h)],tblVerifyPlan[Line],$B$63,tblVerifyPlan[Month],$E$61))</f>
        <v/>
      </c>
      <c r="F63" s="60">
        <f>IF($B$63="","",SUMIFS(tblVerifyPlan[Load (h)],tblVerifyPlan[Line],$B$63,tblVerifyPlan[Month],$F$61))</f>
        <v/>
      </c>
      <c r="G63" s="60">
        <f>IF($B$63="","",SUMIFS(tblVerifyPlan[Load (h)],tblVerifyPlan[Line],$B$63,tblVerifyPlan[Month],$G$61))</f>
        <v/>
      </c>
      <c r="H63" s="60">
        <f>IF($B$63="","",SUMIFS(tblVerifyPlan[Load (h)],tblVerifyPlan[Line],$B$63,tblVerifyPlan[Month],$H$61))</f>
        <v/>
      </c>
      <c r="I63" s="60">
        <f>IF($B$63="","",SUMIFS(tblVerifyPlan[Load (h)],tblVerifyPlan[Line],$B$63,tblVerifyPlan[Month],$I$61))</f>
        <v/>
      </c>
      <c r="J63" s="60">
        <f>IF($B$63="","",SUMIFS(tblVerifyPlan[Load (h)],tblVerifyPlan[Line],$B$63,tblVerifyPlan[Month],$J$61))</f>
        <v/>
      </c>
      <c r="K63" s="60">
        <f>IF($B$63="","",SUMIFS(tblVerifyPlan[Load (h)],tblVerifyPlan[Line],$B$63,tblVerifyPlan[Month],$K$61))</f>
        <v/>
      </c>
      <c r="L63" s="60">
        <f>IF($B$63="","",SUMIFS(tblVerifyPlan[Load (h)],tblVerifyPlan[Line],$B$63,tblVerifyPlan[Month],$L$61))</f>
        <v/>
      </c>
      <c r="M63" s="60">
        <f>IF($B$63="","",SUMIFS(tblVerifyPlan[Load (h)],tblVerifyPlan[Line],$B$63,tblVerifyPlan[Month],$M$61))</f>
        <v/>
      </c>
      <c r="N63" s="60">
        <f>IF($B$63="","",SUMIFS(tblVerifyPlan[Load (h)],tblVerifyPlan[Line],$B$63,tblVerifyPlan[Month],$N$61))</f>
        <v/>
      </c>
      <c r="O63" s="57">
        <f>IF($B$63="","",SUM($C$63:$N$63))</f>
        <v/>
      </c>
    </row>
    <row r="65" spans="2:15">
      <c r="B65" s="32" t="s">
        <v>244</v>
      </c>
      <c r="C65" s="32"/>
      <c r="D65" s="32"/>
      <c r="E65" s="32"/>
      <c r="F65" s="32"/>
      <c r="G65" s="32"/>
      <c r="H65" s="32"/>
      <c r="I65" s="32"/>
      <c r="J65" s="32"/>
      <c r="K65" s="32"/>
      <c r="L65" s="32"/>
    </row>
    <row r="66" spans="2:15">
      <c r="B66" s="32" t="s">
        <v>145</v>
      </c>
      <c r="C66" s="32"/>
      <c r="D66" s="32"/>
      <c r="E66" s="32"/>
      <c r="F66" s="32"/>
      <c r="G66" s="32"/>
      <c r="H66" s="32"/>
      <c r="I66" s="32"/>
      <c r="J66" s="32"/>
      <c r="K66" s="32"/>
      <c r="L66" s="32"/>
      <c r="M66" s="32"/>
      <c r="N66" s="32"/>
      <c r="O66" s="32"/>
    </row>
    <row r="67" spans="2:15">
      <c r="B67" s="38" t="s">
        <v>146</v>
      </c>
      <c r="C67" s="54">
        <f>INDEX($F$46:$Q$46,1)</f>
        <v>46388</v>
      </c>
      <c r="D67" s="54">
        <f>INDEX($F$46:$Q$46,2)</f>
        <v>46419</v>
      </c>
      <c r="E67" s="54">
        <f>INDEX($F$46:$Q$46,3)</f>
        <v>46447</v>
      </c>
      <c r="F67" s="54">
        <f>INDEX($F$46:$Q$46,4)</f>
        <v>46478</v>
      </c>
      <c r="G67" s="54">
        <f>INDEX($F$46:$Q$46,5)</f>
        <v>46508</v>
      </c>
      <c r="H67" s="54">
        <f>INDEX($F$46:$Q$46,6)</f>
        <v>46539</v>
      </c>
      <c r="I67" s="54">
        <f>INDEX($F$46:$Q$46,7)</f>
        <v>46569</v>
      </c>
      <c r="J67" s="54">
        <f>INDEX($F$46:$Q$46,8)</f>
        <v>46600</v>
      </c>
      <c r="K67" s="54">
        <f>INDEX($F$46:$Q$46,9)</f>
        <v>46631</v>
      </c>
      <c r="L67" s="54">
        <f>INDEX($F$46:$Q$46,10)</f>
        <v>46661</v>
      </c>
      <c r="M67" s="54">
        <f>INDEX($F$46:$Q$46,11)</f>
        <v>46692</v>
      </c>
      <c r="N67" s="54">
        <f>INDEX($F$46:$Q$46,12)</f>
        <v>46722</v>
      </c>
      <c r="O67" s="33" t="s">
        <v>144</v>
      </c>
    </row>
    <row r="68" spans="2:15">
      <c r="B68" s="55" t="str">
        <f>IFERROR(INDEX(tblVerifyLines[Line],1)&amp;"","")</f>
        <v>L1</v>
      </c>
      <c r="C68" s="60">
        <f>IF($B$68="","",IFERROR(INDEX(tblVerifyLines[Hours per day],MATCH($B$68,tblVerifyLines[Line],0))*INDEX(tblVerifyLines[Uptime],MATCH($B$68,tblVerifyLines[Line],0)),0)*INDEX($F$47:$Q$47,1))</f>
        <v>144</v>
      </c>
      <c r="D68" s="60">
        <f>IF($B$68="","",IFERROR(INDEX(tblVerifyLines[Hours per day],MATCH($B$68,tblVerifyLines[Line],0))*INDEX(tblVerifyLines[Uptime],MATCH($B$68,tblVerifyLines[Line],0)),0)*INDEX($F$47:$Q$47,2))</f>
        <v>129.6</v>
      </c>
      <c r="E68" s="60">
        <f>IF($B$68="","",IFERROR(INDEX(tblVerifyLines[Hours per day],MATCH($B$68,tblVerifyLines[Line],0))*INDEX(tblVerifyLines[Uptime],MATCH($B$68,tblVerifyLines[Line],0)),0)*INDEX($F$47:$Q$47,3))</f>
        <v>151.2</v>
      </c>
      <c r="F68" s="60">
        <f>IF($B$68="","",IFERROR(INDEX(tblVerifyLines[Hours per day],MATCH($B$68,tblVerifyLines[Line],0))*INDEX(tblVerifyLines[Uptime],MATCH($B$68,tblVerifyLines[Line],0)),0)*INDEX($F$47:$Q$47,4))</f>
        <v>144</v>
      </c>
      <c r="G68" s="60">
        <f>IF($B$68="","",IFERROR(INDEX(tblVerifyLines[Hours per day],MATCH($B$68,tblVerifyLines[Line],0))*INDEX(tblVerifyLines[Uptime],MATCH($B$68,tblVerifyLines[Line],0)),0)*INDEX($F$47:$Q$47,5))</f>
        <v>144</v>
      </c>
      <c r="H68" s="60">
        <f>IF($B$68="","",IFERROR(INDEX(tblVerifyLines[Hours per day],MATCH($B$68,tblVerifyLines[Line],0))*INDEX(tblVerifyLines[Uptime],MATCH($B$68,tblVerifyLines[Line],0)),0)*INDEX($F$47:$Q$47,6))</f>
        <v>144</v>
      </c>
      <c r="I68" s="60">
        <f>IF($B$68="","",IFERROR(INDEX(tblVerifyLines[Hours per day],MATCH($B$68,tblVerifyLines[Line],0))*INDEX(tblVerifyLines[Uptime],MATCH($B$68,tblVerifyLines[Line],0)),0)*INDEX($F$47:$Q$47,7))</f>
        <v>144</v>
      </c>
      <c r="J68" s="60">
        <f>IF($B$68="","",IFERROR(INDEX(tblVerifyLines[Hours per day],MATCH($B$68,tblVerifyLines[Line],0))*INDEX(tblVerifyLines[Uptime],MATCH($B$68,tblVerifyLines[Line],0)),0)*INDEX($F$47:$Q$47,8))</f>
        <v>144</v>
      </c>
      <c r="K68" s="60">
        <f>IF($B$68="","",IFERROR(INDEX(tblVerifyLines[Hours per day],MATCH($B$68,tblVerifyLines[Line],0))*INDEX(tblVerifyLines[Uptime],MATCH($B$68,tblVerifyLines[Line],0)),0)*INDEX($F$47:$Q$47,9))</f>
        <v>144</v>
      </c>
      <c r="L68" s="60">
        <f>IF($B$68="","",IFERROR(INDEX(tblVerifyLines[Hours per day],MATCH($B$68,tblVerifyLines[Line],0))*INDEX(tblVerifyLines[Uptime],MATCH($B$68,tblVerifyLines[Line],0)),0)*INDEX($F$47:$Q$47,10))</f>
        <v>144</v>
      </c>
      <c r="M68" s="60">
        <f>IF($B$68="","",IFERROR(INDEX(tblVerifyLines[Hours per day],MATCH($B$68,tblVerifyLines[Line],0))*INDEX(tblVerifyLines[Uptime],MATCH($B$68,tblVerifyLines[Line],0)),0)*INDEX($F$47:$Q$47,11))</f>
        <v>144</v>
      </c>
      <c r="N68" s="60">
        <f>IF($B$68="","",IFERROR(INDEX(tblVerifyLines[Hours per day],MATCH($B$68,tblVerifyLines[Line],0))*INDEX(tblVerifyLines[Uptime],MATCH($B$68,tblVerifyLines[Line],0)),0)*INDEX($F$47:$Q$47,12))</f>
        <v>144</v>
      </c>
      <c r="O68" s="57">
        <f>IF($B$68="","",SUM($C$68:$N$68))</f>
        <v>1720.8</v>
      </c>
    </row>
    <row r="69" spans="2:15">
      <c r="B69" s="55">
        <f>IFERROR(INDEX(tblVerifyLines[Line],2)&amp;"","")</f>
        <v/>
      </c>
      <c r="C69" s="60">
        <f>IF($B$69="","",IFERROR(INDEX(tblVerifyLines[Hours per day],MATCH($B$69,tblVerifyLines[Line],0))*INDEX(tblVerifyLines[Uptime],MATCH($B$69,tblVerifyLines[Line],0)),0)*INDEX($F$47:$Q$47,1))</f>
        <v/>
      </c>
      <c r="D69" s="60">
        <f>IF($B$69="","",IFERROR(INDEX(tblVerifyLines[Hours per day],MATCH($B$69,tblVerifyLines[Line],0))*INDEX(tblVerifyLines[Uptime],MATCH($B$69,tblVerifyLines[Line],0)),0)*INDEX($F$47:$Q$47,2))</f>
        <v/>
      </c>
      <c r="E69" s="60">
        <f>IF($B$69="","",IFERROR(INDEX(tblVerifyLines[Hours per day],MATCH($B$69,tblVerifyLines[Line],0))*INDEX(tblVerifyLines[Uptime],MATCH($B$69,tblVerifyLines[Line],0)),0)*INDEX($F$47:$Q$47,3))</f>
        <v/>
      </c>
      <c r="F69" s="60">
        <f>IF($B$69="","",IFERROR(INDEX(tblVerifyLines[Hours per day],MATCH($B$69,tblVerifyLines[Line],0))*INDEX(tblVerifyLines[Uptime],MATCH($B$69,tblVerifyLines[Line],0)),0)*INDEX($F$47:$Q$47,4))</f>
        <v/>
      </c>
      <c r="G69" s="60">
        <f>IF($B$69="","",IFERROR(INDEX(tblVerifyLines[Hours per day],MATCH($B$69,tblVerifyLines[Line],0))*INDEX(tblVerifyLines[Uptime],MATCH($B$69,tblVerifyLines[Line],0)),0)*INDEX($F$47:$Q$47,5))</f>
        <v/>
      </c>
      <c r="H69" s="60">
        <f>IF($B$69="","",IFERROR(INDEX(tblVerifyLines[Hours per day],MATCH($B$69,tblVerifyLines[Line],0))*INDEX(tblVerifyLines[Uptime],MATCH($B$69,tblVerifyLines[Line],0)),0)*INDEX($F$47:$Q$47,6))</f>
        <v/>
      </c>
      <c r="I69" s="60">
        <f>IF($B$69="","",IFERROR(INDEX(tblVerifyLines[Hours per day],MATCH($B$69,tblVerifyLines[Line],0))*INDEX(tblVerifyLines[Uptime],MATCH($B$69,tblVerifyLines[Line],0)),0)*INDEX($F$47:$Q$47,7))</f>
        <v/>
      </c>
      <c r="J69" s="60">
        <f>IF($B$69="","",IFERROR(INDEX(tblVerifyLines[Hours per day],MATCH($B$69,tblVerifyLines[Line],0))*INDEX(tblVerifyLines[Uptime],MATCH($B$69,tblVerifyLines[Line],0)),0)*INDEX($F$47:$Q$47,8))</f>
        <v/>
      </c>
      <c r="K69" s="60">
        <f>IF($B$69="","",IFERROR(INDEX(tblVerifyLines[Hours per day],MATCH($B$69,tblVerifyLines[Line],0))*INDEX(tblVerifyLines[Uptime],MATCH($B$69,tblVerifyLines[Line],0)),0)*INDEX($F$47:$Q$47,9))</f>
        <v/>
      </c>
      <c r="L69" s="60">
        <f>IF($B$69="","",IFERROR(INDEX(tblVerifyLines[Hours per day],MATCH($B$69,tblVerifyLines[Line],0))*INDEX(tblVerifyLines[Uptime],MATCH($B$69,tblVerifyLines[Line],0)),0)*INDEX($F$47:$Q$47,10))</f>
        <v/>
      </c>
      <c r="M69" s="60">
        <f>IF($B$69="","",IFERROR(INDEX(tblVerifyLines[Hours per day],MATCH($B$69,tblVerifyLines[Line],0))*INDEX(tblVerifyLines[Uptime],MATCH($B$69,tblVerifyLines[Line],0)),0)*INDEX($F$47:$Q$47,11))</f>
        <v/>
      </c>
      <c r="N69" s="60">
        <f>IF($B$69="","",IFERROR(INDEX(tblVerifyLines[Hours per day],MATCH($B$69,tblVerifyLines[Line],0))*INDEX(tblVerifyLines[Uptime],MATCH($B$69,tblVerifyLines[Line],0)),0)*INDEX($F$47:$Q$47,12))</f>
        <v/>
      </c>
      <c r="O69" s="57">
        <f>IF($B$69="","",SUM($C$69:$N$69))</f>
        <v/>
      </c>
    </row>
    <row r="71" spans="2:15">
      <c r="B71" s="32" t="s">
        <v>245</v>
      </c>
      <c r="C71" s="32"/>
      <c r="D71" s="32"/>
      <c r="E71" s="32"/>
      <c r="F71" s="32"/>
      <c r="G71" s="32"/>
      <c r="H71" s="32"/>
      <c r="I71" s="32"/>
      <c r="J71" s="32"/>
      <c r="K71" s="32"/>
      <c r="L71" s="32"/>
    </row>
    <row r="72" spans="2:15">
      <c r="B72" s="32" t="s">
        <v>123</v>
      </c>
      <c r="C72" s="32"/>
      <c r="D72" s="32"/>
      <c r="E72" s="32"/>
      <c r="F72" s="32"/>
      <c r="G72" s="32"/>
      <c r="H72" s="32"/>
      <c r="I72" s="32"/>
      <c r="J72" s="32"/>
      <c r="K72" s="32"/>
      <c r="L72" s="32"/>
      <c r="M72" s="32"/>
      <c r="N72" s="32"/>
    </row>
    <row r="73" spans="2:15">
      <c r="B73" s="38" t="s">
        <v>124</v>
      </c>
      <c r="C73" s="54">
        <f>INDEX($F$46:$Q$46,1)</f>
        <v>46388</v>
      </c>
      <c r="D73" s="54">
        <f>INDEX($F$46:$Q$46,2)</f>
        <v>46419</v>
      </c>
      <c r="E73" s="54">
        <f>INDEX($F$46:$Q$46,3)</f>
        <v>46447</v>
      </c>
      <c r="F73" s="54">
        <f>INDEX($F$46:$Q$46,4)</f>
        <v>46478</v>
      </c>
      <c r="G73" s="54">
        <f>INDEX($F$46:$Q$46,5)</f>
        <v>46508</v>
      </c>
      <c r="H73" s="54">
        <f>INDEX($F$46:$Q$46,6)</f>
        <v>46539</v>
      </c>
      <c r="I73" s="54">
        <f>INDEX($F$46:$Q$46,7)</f>
        <v>46569</v>
      </c>
      <c r="J73" s="54">
        <f>INDEX($F$46:$Q$46,8)</f>
        <v>46600</v>
      </c>
      <c r="K73" s="54">
        <f>INDEX($F$46:$Q$46,9)</f>
        <v>46631</v>
      </c>
      <c r="L73" s="54">
        <f>INDEX($F$46:$Q$46,10)</f>
        <v>46661</v>
      </c>
      <c r="M73" s="54">
        <f>INDEX($F$46:$Q$46,11)</f>
        <v>46692</v>
      </c>
      <c r="N73" s="54">
        <f>INDEX($F$46:$Q$46,12)</f>
        <v>46722</v>
      </c>
    </row>
    <row r="74" spans="2:15">
      <c r="B74" s="55" t="str">
        <f>IFERROR(INDEX(tblVerifyLines[Line],1)&amp;"","")</f>
        <v>L1</v>
      </c>
      <c r="C74" s="56">
        <f>IF($B$74="","",IF($C$68&gt;0,$C$62/$C$68,""))</f>
        <v>0.935672514619883</v>
      </c>
      <c r="D74" s="56">
        <f>IF($B$74="","",IF($D$68&gt;0,$D$62/$D$68,""))</f>
        <v>0.893437296946069</v>
      </c>
      <c r="E74" s="56">
        <f>IF($B$74="","",IF($E$68&gt;0,$E$62/$E$68,""))</f>
        <v>1.21832358674464</v>
      </c>
      <c r="F74" s="56">
        <f>IF($B$74="","",IF($F$68&gt;0,$F$62/$F$68,""))</f>
        <v>0</v>
      </c>
      <c r="G74" s="56">
        <f>IF($B$74="","",IF($G$68&gt;0,$G$62/$G$68,""))</f>
        <v>0</v>
      </c>
      <c r="H74" s="56">
        <f>IF($B$74="","",IF($H$68&gt;0,$H$62/$H$68,""))</f>
        <v>0</v>
      </c>
      <c r="I74" s="56">
        <f>IF($B$74="","",IF($I$68&gt;0,$I$62/$I$68,""))</f>
        <v>0</v>
      </c>
      <c r="J74" s="56">
        <f>IF($B$74="","",IF($J$68&gt;0,$J$62/$J$68,""))</f>
        <v>0</v>
      </c>
      <c r="K74" s="56">
        <f>IF($B$74="","",IF($K$68&gt;0,$K$62/$K$68,""))</f>
        <v>0</v>
      </c>
      <c r="L74" s="56">
        <f>IF($B$74="","",IF($L$68&gt;0,$L$62/$L$68,""))</f>
        <v>0</v>
      </c>
      <c r="M74" s="56">
        <f>IF($B$74="","",IF($M$68&gt;0,$M$62/$M$68,""))</f>
        <v>0</v>
      </c>
      <c r="N74" s="56">
        <f>IF($B$74="","",IF($N$68&gt;0,$N$62/$N$68,""))</f>
        <v>0</v>
      </c>
    </row>
    <row r="75" spans="2:15">
      <c r="B75" s="55">
        <f>IFERROR(INDEX(tblVerifyLines[Line],2)&amp;"","")</f>
        <v/>
      </c>
      <c r="C75" s="56">
        <f>IF($B$75="","",IF($C$69&gt;0,$C$63/$C$69,""))</f>
        <v/>
      </c>
      <c r="D75" s="56">
        <f>IF($B$75="","",IF($D$69&gt;0,$D$63/$D$69,""))</f>
        <v/>
      </c>
      <c r="E75" s="56">
        <f>IF($B$75="","",IF($E$69&gt;0,$E$63/$E$69,""))</f>
        <v/>
      </c>
      <c r="F75" s="56">
        <f>IF($B$75="","",IF($F$69&gt;0,$F$63/$F$69,""))</f>
        <v/>
      </c>
      <c r="G75" s="56">
        <f>IF($B$75="","",IF($G$69&gt;0,$G$63/$G$69,""))</f>
        <v/>
      </c>
      <c r="H75" s="56">
        <f>IF($B$75="","",IF($H$69&gt;0,$H$63/$H$69,""))</f>
        <v/>
      </c>
      <c r="I75" s="56">
        <f>IF($B$75="","",IF($I$69&gt;0,$I$63/$I$69,""))</f>
        <v/>
      </c>
      <c r="J75" s="56">
        <f>IF($B$75="","",IF($J$69&gt;0,$J$63/$J$69,""))</f>
        <v/>
      </c>
      <c r="K75" s="56">
        <f>IF($B$75="","",IF($K$69&gt;0,$K$63/$K$69,""))</f>
        <v/>
      </c>
      <c r="L75" s="56">
        <f>IF($B$75="","",IF($L$69&gt;0,$L$63/$L$69,""))</f>
        <v/>
      </c>
      <c r="M75" s="56">
        <f>IF($B$75="","",IF($M$69&gt;0,$M$63/$M$69,""))</f>
        <v/>
      </c>
      <c r="N75" s="56">
        <f>IF($B$75="","",IF($N$69&gt;0,$N$63/$N$69,""))</f>
        <v/>
      </c>
    </row>
  </sheetData>
  <sheetProtection sheet="1" formatColumns="0" formatRows="0"/>
  <mergeCells count="41">
    <mergeCell ref="A1:S1"/>
    <mergeCell ref="B2:R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B25:L25"/>
    <mergeCell ref="B27:L27"/>
    <mergeCell ref="B28:F28"/>
    <mergeCell ref="B29:D29"/>
    <mergeCell ref="B30:D30"/>
    <mergeCell ref="B31:D31"/>
    <mergeCell ref="B32:D32"/>
    <mergeCell ref="B33:D33"/>
    <mergeCell ref="B35:L35"/>
    <mergeCell ref="B39:L39"/>
    <mergeCell ref="B45:L45"/>
    <mergeCell ref="B46:D46"/>
    <mergeCell ref="B47:D47"/>
    <mergeCell ref="B49:L49"/>
    <mergeCell ref="B59:L59"/>
    <mergeCell ref="B60:O60"/>
    <mergeCell ref="B65:L65"/>
    <mergeCell ref="B66:O66"/>
    <mergeCell ref="B71:L71"/>
    <mergeCell ref="B72:N72"/>
  </mergeCells>
  <conditionalFormatting sqref="C74:N75">
    <cfRule type="expression" dxfId="2" priority="43" stopIfTrue="1">
      <formula>AND(ISNUMBER(C74),C74&gt;1.0)</formula>
    </cfRule>
    <cfRule type="expression" dxfId="1" priority="44" stopIfTrue="1">
      <formula>AND(ISNUMBER(C74),C74&gt;0.85)</formula>
    </cfRule>
    <cfRule type="expression" dxfId="0" priority="45">
      <formula>ISNUMBER(C74)</formula>
    </cfRule>
  </conditionalFormatting>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23">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R52:R57">
    <cfRule type="expression" dxfId="3" priority="41">
      <formula>$R52="OK"</formula>
    </cfRule>
    <cfRule type="expression" dxfId="1" priority="42">
      <formula>AND($R52&lt;&gt;"",$R52&lt;&gt;"OK")</formula>
    </cfRule>
  </conditionalFormatting>
  <hyperlinks>
    <hyperlink ref="S2" r:id="rId1" tooltip="Free manufacturing calculators and templates"/>
  </hyperlinks>
  <printOptions horizontalCentered="1"/>
  <pageMargins left="0.4" right="0.4" top="0.7" bottom="0.65" header="0.3" footer="0.3"/>
  <pageSetup fitToHeight="0" orientation="landscape"/>
  <headerFooter>
    <oddHeader>&amp;L&amp;8MFG Calcs - S&amp;&amp;OP Monthly Plan&amp;R&amp;8&amp;A</oddHeader>
    <oddFooter>&amp;L&amp;8mfgcalcs.com - free manufacturing templates&amp;R&amp;8Page &amp;P of &amp;N</oddFooter>
  </headerFooter>
  <rowBreaks count="1" manualBreakCount="1">
    <brk id="44" max="16383" man="1"/>
  </rowBreaks>
  <tableParts count="3">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21</vt:i4>
      </vt:variant>
    </vt:vector>
  </HeadingPairs>
  <TitlesOfParts>
    <vt:vector size="27" baseType="lpstr">
      <vt:lpstr>Start Here</vt:lpstr>
      <vt:lpstr>Setup</vt:lpstr>
      <vt:lpstr>Plan</vt:lpstr>
      <vt:lpstr>Dashboard</vt:lpstr>
      <vt:lpstr>Method</vt:lpstr>
      <vt:lpstr>Verify</vt:lpstr>
      <vt:lpstr>Currency</vt:lpstr>
      <vt:lpstr>KpiCover</vt:lpstr>
      <vt:lpstr>KpiPeak</vt:lpstr>
      <vt:lpstr>KpiRev</vt:lpstr>
      <vt:lpstr>KpiShort</vt:lpstr>
      <vt:lpstr>MaxDOS</vt:lpstr>
      <vt:lpstr>MinDOS</vt:lpstr>
      <vt:lpstr>NearAt</vt:lpstr>
      <vt:lpstr>OverAt</vt:lpstr>
      <vt:lpstr>PlanStart</vt:lpstr>
      <vt:lpstr>PlantName</vt:lpstr>
      <vt:lpstr>Dashboard!Print_Area</vt:lpstr>
      <vt:lpstr>Method!Print_Area</vt:lpstr>
      <vt:lpstr>Plan!Print_Area</vt:lpstr>
      <vt:lpstr>Setup!Print_Area</vt:lpstr>
      <vt:lpstr>'Start Here'!Print_Area</vt:lpstr>
      <vt:lpstr>Verify!Print_Area</vt:lpstr>
      <vt:lpstr>Method!Print_Titles</vt:lpstr>
      <vt:lpstr>Plan!Print_Titles</vt:lpstr>
      <vt:lpstr>SelfCheck</vt:lpstr>
      <vt:lpstr>SelfCheckSummary</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S&amp;OP Monthly Plan - free Excel template from MFG Calcs</dc:title>
  <dc:subject>Balance 12 months of demand, production, inventory and line capacity by product family, and see where the plan runs short, builds stock or overloads a line.</dc:subject>
  <dc:creator>MFG Calcs</dc:creator>
  <cp:keywords>S&amp;OP, sales and operations planning, aggregate planning, production plan, inventory plan, days of supply, capacity, product family</cp:keywords>
  <dc:description>https://www.mfgcalcs.com/templates/sop-plan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sop-plan</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planner</vt:lpwstr>
  </property>
  <property fmtid="{D5CDD505-2E9C-101B-9397-08002B2CF9AE}" pid="6" name="Template URL">
    <vt:lpwstr>https://www.mfgcalcs.com/templates/sop-plan</vt:lpwstr>
  </property>
  <property fmtid="{D5CDD505-2E9C-101B-9397-08002B2CF9AE}" pid="7" name="Template sheet roles">
    <vt:lpwstr>Start Here=start;Setup=setup;Plan=work;Dashboard=dashboard;Method=method;Verify=verify</vt:lpwstr>
  </property>
</Properties>
</file>