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ubgroups" sheetId="3" r:id="rId3"/>
    <sheet name="Dashboard" sheetId="4" r:id="rId4"/>
    <sheet name="Method" sheetId="5" r:id="rId5"/>
    <sheet name="Verify" sheetId="6" r:id="rId6"/>
  </sheets>
  <definedNames>
    <definedName name="BaseCount">Setup!$C$18</definedName>
    <definedName name="BaseLast">Setup!$C$17</definedName>
    <definedName name="BaseN">Setup!$C$10</definedName>
    <definedName name="CharName">Setup!$C$7</definedName>
    <definedName name="Constants">tblConstants[n]</definedName>
    <definedName name="ConstD2">Setup!$C$30</definedName>
    <definedName name="ConstD3">Setup!$C$31</definedName>
    <definedName name="ConstD4">Setup!$C$32</definedName>
    <definedName name="KpiRbar">Dashboard!$G$6</definedName>
    <definedName name="KpiSigma">Dashboard!$J$6</definedName>
    <definedName name="KpiSignals">Dashboard!$B$6</definedName>
    <definedName name="KpiXbb">Dashboard!$D$6</definedName>
    <definedName name="LCLR">Setup!$C$26</definedName>
    <definedName name="LCLX">Setup!$C$24</definedName>
    <definedName name="PlantName">Setup!$C$6</definedName>
    <definedName name="_xlnm.Print_Area" localSheetId="3">Dashboard!$A$1:$L$70</definedName>
    <definedName name="_xlnm.Print_Area" localSheetId="4">Method!$A$1:$D$59</definedName>
    <definedName name="_xlnm.Print_Area" localSheetId="1">Setup!$A$1:$F$40</definedName>
    <definedName name="_xlnm.Print_Area" localSheetId="0">'Start Here'!$A$1:$F$56</definedName>
    <definedName name="_xlnm.Print_Area" localSheetId="2">Subgroups!$A$1:$M$36</definedName>
    <definedName name="_xlnm.Print_Area" localSheetId="5">Verify!$A$1:$M$64</definedName>
    <definedName name="_xlnm.Print_Titles" localSheetId="4">Method!$1:$2</definedName>
    <definedName name="_xlnm.Print_Titles" localSheetId="2">Subgroups!$1:$6</definedName>
    <definedName name="RBAR">Setup!$C$20</definedName>
    <definedName name="RunLen">Setup!$C$11</definedName>
    <definedName name="SelfCheck">Verify!$D$4</definedName>
    <definedName name="SelfCheckSummary">Verify!$F$4</definedName>
    <definedName name="SeMean">Setup!$C$22</definedName>
    <definedName name="SigmaHat">Setup!$C$21</definedName>
    <definedName name="SubN">Setup!$C$9</definedName>
    <definedName name="UCLR">Setup!$C$25</definedName>
    <definedName name="UCLX">Setup!$C$23</definedName>
    <definedName name="UnitLabel">Setup!$C$8</definedName>
    <definedName name="XBB">Setup!$C$19</definedName>
  </definedNames>
  <calcPr calcId="124519" fullCalcOnLoad="1"/>
</workbook>
</file>

<file path=xl/sharedStrings.xml><?xml version="1.0" encoding="utf-8"?>
<sst xmlns="http://schemas.openxmlformats.org/spreadsheetml/2006/main" count="370" uniqueCount="217">
  <si>
    <t>SPC X-bar and R Control Chart</t>
  </si>
  <si>
    <t>Read this first: what the workbook does and how to use it.</t>
  </si>
  <si>
    <t>mfgcalcs.com</t>
  </si>
  <si>
    <t>Log subgroups of measurements and get X-bar and R control limits, both charts and every out-of-control signal named in words as you type.</t>
  </si>
  <si>
    <t>For: Quality engineers, process engineers, cell leaders and operators running SPC on a measured characteristic.</t>
  </si>
  <si>
    <t>Version 1.0.0  ·  updated 15 October 2026</t>
  </si>
  <si>
    <t>Quick start</t>
  </si>
  <si>
    <t>1.</t>
  </si>
  <si>
    <t>On Setup, name the characteristic and its unit, and set the subgroup size (2 to 5), the number of baseline subgroups and the run-rule length.</t>
  </si>
  <si>
    <t>2.</t>
  </si>
  <si>
    <t>On Subgroups, add one row per subgroup: subgroup number, date and the readings in time order.</t>
  </si>
  <si>
    <t>3.</t>
  </si>
  <si>
    <t>Read the Signal column: anything other than In control names the rule that fired. Write the cause and action in Notes.</t>
  </si>
  <si>
    <t>4.</t>
  </si>
  <si>
    <t>Open the Dashboard for the X-bar and R charts of the latest 30 subgroups and the current limits.</t>
  </si>
  <si>
    <t>5.</t>
  </si>
  <si>
    <t>Once the baseline is stable, keep the baseline count fixed so new subgroups are judged against it.</t>
  </si>
  <si>
    <t>What is in this workbook</t>
  </si>
  <si>
    <t>Start Here</t>
  </si>
  <si>
    <t>Setup</t>
  </si>
  <si>
    <t>The characteristic, its unit, the subgroup size, the baseline and the run rule. Constants are public SPC constants.</t>
  </si>
  <si>
    <t>Subgroups</t>
  </si>
  <si>
    <t>One row per subgroup, readings in time order. Mean, range and the Signal column update as you type.</t>
  </si>
  <si>
    <t>Dashboard</t>
  </si>
  <si>
    <t>X-bar and R charts of the latest 30 subgroups, the control limits and every signal in words.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</si>
  <si>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</si>
  <si>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</si>
  <si>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</si>
  <si>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</si>
  <si>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</si>
  <si>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</si>
  <si>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</si>
  <si>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</si>
  <si>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</si>
  <si>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</si>
  <si>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</si>
  <si>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</si>
  <si>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</si>
  <si>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</si>
  <si>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</si>
  <si>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</si>
  <si>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</si>
  <si>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</si>
  <si>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</si>
  <si>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</si>
  <si>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Xbar Control Chart Limits Calculator on mfgcalcs.com</t>
  </si>
  <si>
    <t>Latest version</t>
  </si>
  <si>
    <t>mfgcalcs.com/templates/spc-control-chart</t>
  </si>
  <si>
    <t>More free templates</t>
  </si>
  <si>
    <t>mfgcalcs.com/templates</t>
  </si>
  <si>
    <t>Version</t>
  </si>
  <si>
    <t>1.0.0 (updated 15 October 2026)</t>
  </si>
  <si>
    <t>About the example data</t>
  </si>
  <si>
    <t>Every number already in this workbook is example data for Ashby Components, a fictional business invented for this template, so the dashboard and charts show something meaningful on day one. It covers 30 subgroups of five bearing-journal diameter readings from one CNC lathe (5 to 9 October 2026), generated from a fixed seed; tool wear drifts the mean from subgroup 26.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</si>
  <si>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</si>
  <si>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</si>
  <si>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</si>
  <si>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</si>
  <si>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</si>
  <si>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</si>
  <si>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</si>
  <si>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</si>
  <si>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n</t>
  </si>
  <si>
    <t>d2</t>
  </si>
  <si>
    <t>D3</t>
  </si>
  <si>
    <t>D4</t>
  </si>
  <si>
    <t>A2 (= 3 / (d2 sqrt n))</t>
  </si>
  <si>
    <t>Characteristic and chart settings</t>
  </si>
  <si>
    <t>Plant or cell</t>
  </si>
  <si>
    <t>Ashby Components, Cell 3 (example)</t>
  </si>
  <si>
    <t>Characteristic</t>
  </si>
  <si>
    <t>Bearing journal diameter, OP30 (example)</t>
  </si>
  <si>
    <t>Measurement unit</t>
  </si>
  <si>
    <t>mm</t>
  </si>
  <si>
    <t>Subgroup size n</t>
  </si>
  <si>
    <t>readings</t>
  </si>
  <si>
    <t>Baseline subgroups for the limits</t>
  </si>
  <si>
    <t>subgroups</t>
  </si>
  <si>
    <t>Run rule: points in a row on one side</t>
  </si>
  <si>
    <t>points</t>
  </si>
  <si>
    <t>Collect at least 20 to 25 subgroups before you trust the limits. Fix the baseline once the process is shown to be stable; set it to 0 only while you are still establishing control.</t>
  </si>
  <si>
    <t>Control limits (calculated from the baseline subgroups)</t>
  </si>
  <si>
    <t>Baseline: last subgroup no. used</t>
  </si>
  <si>
    <t>no.</t>
  </si>
  <si>
    <t>Baseline subgroups with n readings</t>
  </si>
  <si>
    <t>Grand mean (X-double-bar)</t>
  </si>
  <si>
    <t>Average range (R-bar)</t>
  </si>
  <si>
    <t>Within sigma estimate (R-bar / d2)</t>
  </si>
  <si>
    <t>Standard error of a mean (sigma / sqrt n)</t>
  </si>
  <si>
    <t>X-bar upper control limit</t>
  </si>
  <si>
    <t>X-bar lower control limit</t>
  </si>
  <si>
    <t>R upper control limit (D4 x R-bar)</t>
  </si>
  <si>
    <t>R lower control limit (D3 x R-bar)</t>
  </si>
  <si>
    <t>Constants for the chosen subgroup size</t>
  </si>
  <si>
    <t>-</t>
  </si>
  <si>
    <t>Control chart constants (public, n = 2 to 5)</t>
  </si>
  <si>
    <t>Public statistical constants as tabulated in SPC texts (AIAG SPC manual appendix, ASTM E2587, NIST/SEMATECH e-Handbook). Do not edit.</t>
  </si>
  <si>
    <t>Subgroup no.</t>
  </si>
  <si>
    <t>Date</t>
  </si>
  <si>
    <t>Reading 1</t>
  </si>
  <si>
    <t>Reading 2</t>
  </si>
  <si>
    <t>Reading 3</t>
  </si>
  <si>
    <t>Reading 4</t>
  </si>
  <si>
    <t>Reading 5</t>
  </si>
  <si>
    <t>Mean</t>
  </si>
  <si>
    <t>Range</t>
  </si>
  <si>
    <t>Side</t>
  </si>
  <si>
    <t>Signal</t>
  </si>
  <si>
    <t>Notes</t>
  </si>
  <si>
    <t>Example data for Ashby Components (fictional). To clear: select the example rows, right-click, Delete &gt; Table Rows. Yellow = you type; blue = calculated; Signal names the first rule that fires.</t>
  </si>
  <si>
    <t>+1/-1</t>
  </si>
  <si>
    <t>Baseline study start; new insert</t>
  </si>
  <si>
    <t/>
  </si>
  <si>
    <t>Mean rising (tool wear?); watch the next subgroup</t>
  </si>
  <si>
    <t>Above UCL: tool wear. Offset -0.004 mm, insert indexed</t>
  </si>
  <si>
    <t>After offset correction</t>
  </si>
  <si>
    <t>SUBGROUPS WITH A SIGNAL</t>
  </si>
  <si>
    <t>X-bar centre line, baseline subgroups</t>
  </si>
  <si>
    <t>R chart centre line</t>
  </si>
  <si>
    <t>R-bar / d2</t>
  </si>
  <si>
    <t>Control limits (from the baseline subgroups, see Setup)</t>
  </si>
  <si>
    <t>Chart</t>
  </si>
  <si>
    <t>LCL</t>
  </si>
  <si>
    <t>Centre line</t>
  </si>
  <si>
    <t>UCL</t>
  </si>
  <si>
    <t>Points beyond limits</t>
  </si>
  <si>
    <t>X-bar chart (means)</t>
  </si>
  <si>
    <t>R chart (ranges)</t>
  </si>
  <si>
    <t>Latest 30 subgroups (chart data)</t>
  </si>
  <si>
    <t>CL</t>
  </si>
  <si>
    <t>R CL</t>
  </si>
  <si>
    <t>R UCL</t>
  </si>
  <si>
    <t>The charts and this list show the latest 30 subgroups by number. With fewer subgroups the empty slots plot at zero; a subgroup whose reading count is not n plots its mean and range at zero and its Signal says why.</t>
  </si>
  <si>
    <t>What this workbook calculates</t>
  </si>
  <si>
    <t>An X-bar and R chart watches the centre (X-bar, the subgroup mean) and the short-term spread (R, the subgroup range) of a measured characteristic. Control limits are three standard errors either side of the centre line and come from the process itself, not from the drawing tolerance. This workbook estimates the within-subgroup standard deviation from the average range of the baseline subgroups (R-bar / d2) and judges every subgroup against limits built from it.</t>
  </si>
  <si>
    <t>Calculations</t>
  </si>
  <si>
    <t>Quantity</t>
  </si>
  <si>
    <t>How it is calculated</t>
  </si>
  <si>
    <t>Units</t>
  </si>
  <si>
    <t>Average of the subgroup's readings; blank unless exactly n readings are filled in.</t>
  </si>
  <si>
    <t>unit</t>
  </si>
  <si>
    <t>Largest reading minus smallest reading in the subgroup.</t>
  </si>
  <si>
    <t>Baseline</t>
  </si>
  <si>
    <t>The first N subgroups by subgroup number (Setup; 0 = all). Only baseline subgroups with n readings set the limits.</t>
  </si>
  <si>
    <t>Average of the baseline subgroup means. Centre line of the X-bar chart.</t>
  </si>
  <si>
    <t>Average of the baseline subgroup ranges. Centre line of the R chart.</t>
  </si>
  <si>
    <t>Within sigma estimate</t>
  </si>
  <si>
    <t>R-bar / d2, with d2 for the subgroup size (2.326 for n = 5).</t>
  </si>
  <si>
    <t>X-bar control limits</t>
  </si>
  <si>
    <t>X-double-bar +/- 3 x sigma / sqrt(n). The same as X-double-bar +/- A2 x R-bar with A2 = 3 / (d2 sqrt n); the printed A2 (0.577 for n = 5) is this value rounded.</t>
  </si>
  <si>
    <t>R control limits</t>
  </si>
  <si>
    <t>Upper = D4 x R-bar, lower = D3 x R-bar (D3 = 0 for n up to 6, so the lower limit is 0).</t>
  </si>
  <si>
    <t>Helper column: +1 when the mean is above the centre line, -1 below, 0 on it.</t>
  </si>
  <si>
    <t>First rule that fires: reading count not n; duplicate number; mean above UCL or below LCL; range above the R UCL; run of RunLen subgroups (Setup, default 7) on one side of the centre line, ending at this one. Otherwise In control.</t>
  </si>
  <si>
    <t>words</t>
  </si>
  <si>
    <t>Subgroups with a signal</t>
  </si>
  <si>
    <t>Subgroups with a number minus those whose Signal is In control.</t>
  </si>
  <si>
    <t>Assumptions</t>
  </si>
  <si>
    <t>Readings within a subgroup are taken close together in time from one stream (one machine, tool, fixture), so the range measures short-term variation only.</t>
  </si>
  <si>
    <t>Subgroups are numbered in time order; the run rule and the baseline use the numbers, not the row order.</t>
  </si>
  <si>
    <t>The measurement system is adequate for the tolerance (run a gage R&amp;R study first).</t>
  </si>
  <si>
    <t>The 3-sigma limits assume roughly normal subgroup means; for subgroups of 4 or 5 this holds well for most processes.</t>
  </si>
  <si>
    <t>Limitations</t>
  </si>
  <si>
    <t>Subgroup sizes 2 to 5 only (five reading columns). For larger subgroups use an X-bar and S chart.</t>
  </si>
  <si>
    <t>Rules implemented: points beyond the limits on both charts and one run rule. Trends, zone rules and other Western Electric or Nelson rules are not evaluated.</t>
  </si>
  <si>
    <t>Control limits are not specification limits. Do not draw the tolerance on the X-bar chart: it plots means, not parts. Use the Process Capability template for Cp and Cpk.</t>
  </si>
  <si>
    <t>The Dashboard charts and list show the latest 30 subgroups; the Subgroups table holds any number.</t>
  </si>
  <si>
    <t>Agreement with the live calculator</t>
  </si>
  <si>
    <t>The live Xbar Control Chart Limits calculator takes a baseline mean, a within standard deviation and the subgroup size and returns limits of mean +/- 3 x SD / sqrt(n). Enter this workbook's grand mean and R-bar / d2 there and the limits agree exactly: the template's reference implementation is checked against the calculator's engine on every build. The calculator judges one subgroup mean; this workbook estimates the baseline from the data, adds the R chart, the run rule and the log.</t>
  </si>
  <si>
    <t>Open the Xbar Control Chart Limits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</si>
  <si>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</si>
  <si>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</si>
  <si>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AIAG, Statistical Process Control (SPC) reference manual, 2nd edition, 2005 (X-bar and R charts, constants, run signals).</t>
  </si>
  <si>
    <t>ASTM E2587, Standard Practice for Use of Control Charts in Statistical Process Control (constants d2, D3, D4).</t>
  </si>
  <si>
    <t>NIST/SEMATECH e-Handbook of Statistical Methods, section 6.3.2 (Shewhart X-bar and R charts).</t>
  </si>
  <si>
    <t>Montgomery, D. C., Introduction to Statistical Quality Control, Wiley (Phase I and Phase II use of control limits).</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</si>
  <si>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</si>
  <si>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</si>
  <si>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</si>
  <si>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</si>
  <si>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</si>
  <si>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</si>
  <si>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</si>
  <si>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</si>
  <si>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</si>
  <si>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</si>
  <si>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Check</t>
  </si>
  <si>
    <t>Expected (reference)</t>
  </si>
  <si>
    <t>Workbook result</t>
  </si>
  <si>
    <t>Difference</t>
  </si>
  <si>
    <t>Tolerance</t>
  </si>
  <si>
    <t>Result</t>
  </si>
  <si>
    <t>Subgroup 1: mean</t>
  </si>
  <si>
    <t>Subgroup 1: range</t>
  </si>
  <si>
    <t>X-bar UCL</t>
  </si>
  <si>
    <t>X-bar LCL</t>
  </si>
  <si>
    <t>Subgroup 7 (7th point above the centre line): signal</t>
  </si>
  <si>
    <t>Run above centre line</t>
  </si>
  <si>
    <t>exact</t>
  </si>
  <si>
    <t>Subgroup 11 (mean below LCL): signal</t>
  </si>
  <si>
    <t>In control</t>
  </si>
  <si>
    <t>Subgroup 12 (only 4 readings): signal</t>
  </si>
  <si>
    <t>Reading count is not n</t>
  </si>
  <si>
    <t>Subgroup 13 (wide range): signal</t>
  </si>
  <si>
    <t>Range above UCL</t>
  </si>
  <si>
    <t>Subgroup 2: signal</t>
  </si>
  <si>
    <t>Subgroups with a signal (Dashboard formula)</t>
  </si>
  <si>
    <t>Fixed test inputs</t>
  </si>
  <si>
    <t>White cells are fixed test inputs; blue cells are the workbook's formulas evaluated on them.</t>
  </si>
  <si>
    <t>Parameters</t>
  </si>
  <si>
    <t>Baseline subgroups (0 = all)</t>
  </si>
  <si>
    <t>Run rule length</t>
  </si>
  <si>
    <t>d2 for n = 5</t>
  </si>
  <si>
    <t>D3 for n = 5</t>
  </si>
  <si>
    <t>D4 for n = 5</t>
  </si>
  <si>
    <t>Test table: Samples</t>
  </si>
  <si>
    <t>Test inputs and formulas</t>
  </si>
</sst>
</file>

<file path=xl/styles.xml><?xml version="1.0" encoding="utf-8"?>
<styleSheet xmlns="http://schemas.openxmlformats.org/spreadsheetml/2006/main">
  <numFmts count="7">
    <numFmt numFmtId="164" formatCode="#,##0"/>
    <numFmt numFmtId="165" formatCode="0.0000"/>
    <numFmt numFmtId="166" formatCode="#,##0.000"/>
    <numFmt numFmtId="167" formatCode="d mmm yyyy"/>
    <numFmt numFmtId="168" formatCode="+#,##0;-#,##0;0"/>
    <numFmt numFmtId="169" formatCode="&quot;Limit &quot;#,##0"/>
    <numFmt numFmtId="170"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sz val="9"/>
      <color rgb="FF8A4A06"/>
      <name val="Calibri"/>
      <family val="2"/>
      <scheme val="minor"/>
    </font>
    <font>
      <b/>
      <sz val="10"/>
      <color rgb="FFFFFFFF"/>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6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5" fontId="9"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7" fillId="0" borderId="0" xfId="0" applyFont="1" applyAlignment="1">
      <alignment vertical="center"/>
    </xf>
    <xf numFmtId="0" fontId="18" fillId="7" borderId="2" xfId="0" applyFont="1" applyFill="1" applyBorder="1" applyAlignment="1">
      <alignment vertical="center" wrapText="1"/>
    </xf>
    <xf numFmtId="0" fontId="19"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0" fontId="20" fillId="0" borderId="0" xfId="0" applyFont="1" applyAlignment="1">
      <alignment horizontal="center" vertical="center"/>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64" fontId="9" fillId="0" borderId="9" xfId="0" applyNumberFormat="1" applyFont="1" applyBorder="1" applyAlignment="1">
      <alignment vertical="center"/>
    </xf>
    <xf numFmtId="167" fontId="10" fillId="4" borderId="3" xfId="0" applyNumberFormat="1" applyFont="1" applyFill="1" applyBorder="1" applyAlignment="1">
      <alignment vertical="center"/>
    </xf>
    <xf numFmtId="165" fontId="10" fillId="0" borderId="9" xfId="0" applyNumberFormat="1" applyFont="1" applyBorder="1" applyAlignment="1">
      <alignment vertical="center"/>
    </xf>
    <xf numFmtId="0" fontId="10" fillId="4" borderId="3" xfId="0" applyFont="1" applyFill="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0" fontId="10" fillId="4" borderId="3" xfId="0" applyFont="1" applyFill="1" applyBorder="1" applyAlignment="1">
      <alignment horizontal="center"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X-bar chart: subgroup means</a:t>
            </a:r>
          </a:p>
        </c:rich>
      </c:tx>
      <c:layout/>
    </c:title>
    <c:plotArea>
      <c:layout/>
      <c:lineChart>
        <c:grouping val="standard"/>
        <c:ser>
          <c:idx val="0"/>
          <c:order val="0"/>
          <c:tx>
            <c:v>Subgroup mean</c:v>
          </c:tx>
          <c:spPr>
            <a:ln w="28575">
              <a:solidFill>
                <a:srgbClr val="3B64D8"/>
              </a:solidFill>
            </a:ln>
          </c:spPr>
          <c:marker>
            <c:symbol val="circle"/>
            <c:size val="5"/>
            <c:spPr>
              <a:solidFill>
                <a:srgbClr val="3B64D8"/>
              </a:solidFill>
              <a:ln>
                <a:solidFill>
                  <a:srgbClr val="3B64D8"/>
                </a:solidFill>
              </a:ln>
            </c:spPr>
          </c:marker>
          <c:cat>
            <c:numRef>
              <c:f>Dashboard!$B$39:$B$68</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Dashboard!$D$39:$D$68</c:f>
              <c:numCache>
                <c:formatCode>General</c:formatCode>
                <c:ptCount val="30"/>
                <c:pt idx="0">
                  <c:v>25.0034</c:v>
                </c:pt>
                <c:pt idx="1">
                  <c:v>25.0016</c:v>
                </c:pt>
                <c:pt idx="2">
                  <c:v>25.0034</c:v>
                </c:pt>
                <c:pt idx="3">
                  <c:v>25.0026</c:v>
                </c:pt>
                <c:pt idx="4">
                  <c:v>25.0008</c:v>
                </c:pt>
                <c:pt idx="5">
                  <c:v>25.0028</c:v>
                </c:pt>
                <c:pt idx="6">
                  <c:v>25.0036</c:v>
                </c:pt>
                <c:pt idx="7">
                  <c:v>25.0022</c:v>
                </c:pt>
                <c:pt idx="8">
                  <c:v>25.0022</c:v>
                </c:pt>
                <c:pt idx="9">
                  <c:v>25.0026</c:v>
                </c:pt>
                <c:pt idx="10">
                  <c:v>25.0014</c:v>
                </c:pt>
                <c:pt idx="11">
                  <c:v>25.0002</c:v>
                </c:pt>
                <c:pt idx="12">
                  <c:v>25.0036</c:v>
                </c:pt>
                <c:pt idx="13">
                  <c:v>25.0014</c:v>
                </c:pt>
                <c:pt idx="14">
                  <c:v>25.0008</c:v>
                </c:pt>
                <c:pt idx="15">
                  <c:v>25.001</c:v>
                </c:pt>
                <c:pt idx="16">
                  <c:v>25.0018</c:v>
                </c:pt>
                <c:pt idx="17">
                  <c:v>25.0018</c:v>
                </c:pt>
                <c:pt idx="18">
                  <c:v>25.0012</c:v>
                </c:pt>
                <c:pt idx="19">
                  <c:v>25.0034</c:v>
                </c:pt>
                <c:pt idx="20">
                  <c:v>25.0038</c:v>
                </c:pt>
                <c:pt idx="21">
                  <c:v>25.0026</c:v>
                </c:pt>
                <c:pt idx="22">
                  <c:v>25.0002</c:v>
                </c:pt>
                <c:pt idx="23">
                  <c:v>25.0028</c:v>
                </c:pt>
                <c:pt idx="24">
                  <c:v>25.0018</c:v>
                </c:pt>
                <c:pt idx="25">
                  <c:v>25.0022</c:v>
                </c:pt>
                <c:pt idx="26">
                  <c:v>25.004</c:v>
                </c:pt>
                <c:pt idx="27">
                  <c:v>25.0062</c:v>
                </c:pt>
                <c:pt idx="28">
                  <c:v>25.0024</c:v>
                </c:pt>
                <c:pt idx="29">
                  <c:v>25.0018</c:v>
                </c:pt>
              </c:numCache>
            </c:numRef>
          </c:val>
        </c:ser>
        <c:ser>
          <c:idx val="1"/>
          <c:order val="1"/>
          <c:tx>
            <c:v>Centre line</c:v>
          </c:tx>
          <c:spPr>
            <a:ln w="19050">
              <a:solidFill>
                <a:srgbClr val="4A5361"/>
              </a:solidFill>
              <a:prstDash val="dash"/>
            </a:ln>
          </c:spPr>
          <c:marker>
            <c:symbol val="none"/>
          </c:marker>
          <c:cat>
            <c:numRef>
              <c:f>Dashboard!$B$39:$B$68</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Dashboard!$E$39:$E$68</c:f>
              <c:numCache>
                <c:formatCode>General</c:formatCode>
                <c:ptCount val="30"/>
                <c:pt idx="0">
                  <c:v>25.00212</c:v>
                </c:pt>
                <c:pt idx="1">
                  <c:v>25.00212</c:v>
                </c:pt>
                <c:pt idx="2">
                  <c:v>25.00212</c:v>
                </c:pt>
                <c:pt idx="3">
                  <c:v>25.00212</c:v>
                </c:pt>
                <c:pt idx="4">
                  <c:v>25.00212</c:v>
                </c:pt>
                <c:pt idx="5">
                  <c:v>25.00212</c:v>
                </c:pt>
                <c:pt idx="6">
                  <c:v>25.00212</c:v>
                </c:pt>
                <c:pt idx="7">
                  <c:v>25.00212</c:v>
                </c:pt>
                <c:pt idx="8">
                  <c:v>25.00212</c:v>
                </c:pt>
                <c:pt idx="9">
                  <c:v>25.00212</c:v>
                </c:pt>
                <c:pt idx="10">
                  <c:v>25.00212</c:v>
                </c:pt>
                <c:pt idx="11">
                  <c:v>25.00212</c:v>
                </c:pt>
                <c:pt idx="12">
                  <c:v>25.00212</c:v>
                </c:pt>
                <c:pt idx="13">
                  <c:v>25.00212</c:v>
                </c:pt>
                <c:pt idx="14">
                  <c:v>25.00212</c:v>
                </c:pt>
                <c:pt idx="15">
                  <c:v>25.00212</c:v>
                </c:pt>
                <c:pt idx="16">
                  <c:v>25.00212</c:v>
                </c:pt>
                <c:pt idx="17">
                  <c:v>25.00212</c:v>
                </c:pt>
                <c:pt idx="18">
                  <c:v>25.00212</c:v>
                </c:pt>
                <c:pt idx="19">
                  <c:v>25.00212</c:v>
                </c:pt>
                <c:pt idx="20">
                  <c:v>25.00212</c:v>
                </c:pt>
                <c:pt idx="21">
                  <c:v>25.00212</c:v>
                </c:pt>
                <c:pt idx="22">
                  <c:v>25.00212</c:v>
                </c:pt>
                <c:pt idx="23">
                  <c:v>25.00212</c:v>
                </c:pt>
                <c:pt idx="24">
                  <c:v>25.00212</c:v>
                </c:pt>
                <c:pt idx="25">
                  <c:v>25.00212</c:v>
                </c:pt>
                <c:pt idx="26">
                  <c:v>25.00212</c:v>
                </c:pt>
                <c:pt idx="27">
                  <c:v>25.00212</c:v>
                </c:pt>
                <c:pt idx="28">
                  <c:v>25.00212</c:v>
                </c:pt>
                <c:pt idx="29">
                  <c:v>25.00212</c:v>
                </c:pt>
              </c:numCache>
            </c:numRef>
          </c:val>
        </c:ser>
        <c:ser>
          <c:idx val="2"/>
          <c:order val="2"/>
          <c:tx>
            <c:v>UCL</c:v>
          </c:tx>
          <c:spPr>
            <a:ln w="19050">
              <a:solidFill>
                <a:srgbClr val="B3000C"/>
              </a:solidFill>
              <a:prstDash val="dash"/>
            </a:ln>
          </c:spPr>
          <c:marker>
            <c:symbol val="none"/>
          </c:marker>
          <c:cat>
            <c:numRef>
              <c:f>Dashboard!$B$39:$B$68</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Dashboard!$F$39:$F$68</c:f>
              <c:numCache>
                <c:formatCode>General</c:formatCode>
                <c:ptCount val="30"/>
                <c:pt idx="0">
                  <c:v>25.005650026489</c:v>
                </c:pt>
                <c:pt idx="1">
                  <c:v>25.005650026489</c:v>
                </c:pt>
                <c:pt idx="2">
                  <c:v>25.005650026489</c:v>
                </c:pt>
                <c:pt idx="3">
                  <c:v>25.005650026489</c:v>
                </c:pt>
                <c:pt idx="4">
                  <c:v>25.005650026489</c:v>
                </c:pt>
                <c:pt idx="5">
                  <c:v>25.005650026489</c:v>
                </c:pt>
                <c:pt idx="6">
                  <c:v>25.005650026489</c:v>
                </c:pt>
                <c:pt idx="7">
                  <c:v>25.005650026489</c:v>
                </c:pt>
                <c:pt idx="8">
                  <c:v>25.005650026489</c:v>
                </c:pt>
                <c:pt idx="9">
                  <c:v>25.005650026489</c:v>
                </c:pt>
                <c:pt idx="10">
                  <c:v>25.005650026489</c:v>
                </c:pt>
                <c:pt idx="11">
                  <c:v>25.005650026489</c:v>
                </c:pt>
                <c:pt idx="12">
                  <c:v>25.005650026489</c:v>
                </c:pt>
                <c:pt idx="13">
                  <c:v>25.005650026489</c:v>
                </c:pt>
                <c:pt idx="14">
                  <c:v>25.005650026489</c:v>
                </c:pt>
                <c:pt idx="15">
                  <c:v>25.005650026489</c:v>
                </c:pt>
                <c:pt idx="16">
                  <c:v>25.005650026489</c:v>
                </c:pt>
                <c:pt idx="17">
                  <c:v>25.005650026489</c:v>
                </c:pt>
                <c:pt idx="18">
                  <c:v>25.005650026489</c:v>
                </c:pt>
                <c:pt idx="19">
                  <c:v>25.005650026489</c:v>
                </c:pt>
                <c:pt idx="20">
                  <c:v>25.005650026489</c:v>
                </c:pt>
                <c:pt idx="21">
                  <c:v>25.005650026489</c:v>
                </c:pt>
                <c:pt idx="22">
                  <c:v>25.005650026489</c:v>
                </c:pt>
                <c:pt idx="23">
                  <c:v>25.005650026489</c:v>
                </c:pt>
                <c:pt idx="24">
                  <c:v>25.005650026489</c:v>
                </c:pt>
                <c:pt idx="25">
                  <c:v>25.005650026489</c:v>
                </c:pt>
                <c:pt idx="26">
                  <c:v>25.005650026489</c:v>
                </c:pt>
                <c:pt idx="27">
                  <c:v>25.005650026489</c:v>
                </c:pt>
                <c:pt idx="28">
                  <c:v>25.005650026489</c:v>
                </c:pt>
                <c:pt idx="29">
                  <c:v>25.005650026489</c:v>
                </c:pt>
              </c:numCache>
            </c:numRef>
          </c:val>
        </c:ser>
        <c:ser>
          <c:idx val="3"/>
          <c:order val="3"/>
          <c:tx>
            <c:v>LCL</c:v>
          </c:tx>
          <c:spPr>
            <a:ln w="19050">
              <a:solidFill>
                <a:srgbClr val="B3000C"/>
              </a:solidFill>
              <a:prstDash val="dash"/>
            </a:ln>
          </c:spPr>
          <c:marker>
            <c:symbol val="none"/>
          </c:marker>
          <c:cat>
            <c:numRef>
              <c:f>Dashboard!$B$39:$B$68</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Dashboard!$G$39:$G$68</c:f>
              <c:numCache>
                <c:formatCode>General</c:formatCode>
                <c:ptCount val="30"/>
                <c:pt idx="0">
                  <c:v>24.998589973511</c:v>
                </c:pt>
                <c:pt idx="1">
                  <c:v>24.998589973511</c:v>
                </c:pt>
                <c:pt idx="2">
                  <c:v>24.998589973511</c:v>
                </c:pt>
                <c:pt idx="3">
                  <c:v>24.998589973511</c:v>
                </c:pt>
                <c:pt idx="4">
                  <c:v>24.998589973511</c:v>
                </c:pt>
                <c:pt idx="5">
                  <c:v>24.998589973511</c:v>
                </c:pt>
                <c:pt idx="6">
                  <c:v>24.998589973511</c:v>
                </c:pt>
                <c:pt idx="7">
                  <c:v>24.998589973511</c:v>
                </c:pt>
                <c:pt idx="8">
                  <c:v>24.998589973511</c:v>
                </c:pt>
                <c:pt idx="9">
                  <c:v>24.998589973511</c:v>
                </c:pt>
                <c:pt idx="10">
                  <c:v>24.998589973511</c:v>
                </c:pt>
                <c:pt idx="11">
                  <c:v>24.998589973511</c:v>
                </c:pt>
                <c:pt idx="12">
                  <c:v>24.998589973511</c:v>
                </c:pt>
                <c:pt idx="13">
                  <c:v>24.998589973511</c:v>
                </c:pt>
                <c:pt idx="14">
                  <c:v>24.998589973511</c:v>
                </c:pt>
                <c:pt idx="15">
                  <c:v>24.998589973511</c:v>
                </c:pt>
                <c:pt idx="16">
                  <c:v>24.998589973511</c:v>
                </c:pt>
                <c:pt idx="17">
                  <c:v>24.998589973511</c:v>
                </c:pt>
                <c:pt idx="18">
                  <c:v>24.998589973511</c:v>
                </c:pt>
                <c:pt idx="19">
                  <c:v>24.998589973511</c:v>
                </c:pt>
                <c:pt idx="20">
                  <c:v>24.998589973511</c:v>
                </c:pt>
                <c:pt idx="21">
                  <c:v>24.998589973511</c:v>
                </c:pt>
                <c:pt idx="22">
                  <c:v>24.998589973511</c:v>
                </c:pt>
                <c:pt idx="23">
                  <c:v>24.998589973511</c:v>
                </c:pt>
                <c:pt idx="24">
                  <c:v>24.998589973511</c:v>
                </c:pt>
                <c:pt idx="25">
                  <c:v>24.998589973511</c:v>
                </c:pt>
                <c:pt idx="26">
                  <c:v>24.998589973511</c:v>
                </c:pt>
                <c:pt idx="27">
                  <c:v>24.998589973511</c:v>
                </c:pt>
                <c:pt idx="28">
                  <c:v>24.998589973511</c:v>
                </c:pt>
                <c:pt idx="29">
                  <c:v>24.998589973511</c:v>
                </c:pt>
              </c:numCache>
            </c:numRef>
          </c:val>
        </c:ser>
        <c:marker val="1"/>
        <c:axId val="50010001"/>
        <c:axId val="50010002"/>
      </c:lineChart>
      <c:catAx>
        <c:axId val="5001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0.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 chart: subgroup ranges</a:t>
            </a:r>
          </a:p>
        </c:rich>
      </c:tx>
      <c:layout/>
    </c:title>
    <c:plotArea>
      <c:layout/>
      <c:lineChart>
        <c:grouping val="standard"/>
        <c:ser>
          <c:idx val="0"/>
          <c:order val="0"/>
          <c:tx>
            <c:v>Subgroup range</c:v>
          </c:tx>
          <c:spPr>
            <a:ln w="28575">
              <a:solidFill>
                <a:srgbClr val="3B64D8"/>
              </a:solidFill>
            </a:ln>
          </c:spPr>
          <c:marker>
            <c:symbol val="circle"/>
            <c:size val="5"/>
            <c:spPr>
              <a:solidFill>
                <a:srgbClr val="3B64D8"/>
              </a:solidFill>
              <a:ln>
                <a:solidFill>
                  <a:srgbClr val="3B64D8"/>
                </a:solidFill>
              </a:ln>
            </c:spPr>
          </c:marker>
          <c:cat>
            <c:numRef>
              <c:f>Dashboard!$B$39:$B$68</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Dashboard!$H$39:$H$68</c:f>
              <c:numCache>
                <c:formatCode>General</c:formatCode>
                <c:ptCount val="30"/>
                <c:pt idx="0">
                  <c:v>0.00700000000000145</c:v>
                </c:pt>
                <c:pt idx="1">
                  <c:v>0.00600000000000023</c:v>
                </c:pt>
                <c:pt idx="2">
                  <c:v>0.00300000000000011</c:v>
                </c:pt>
                <c:pt idx="3">
                  <c:v>0.00600000000000023</c:v>
                </c:pt>
                <c:pt idx="4">
                  <c:v>0.00900000000000034</c:v>
                </c:pt>
                <c:pt idx="5">
                  <c:v>0.00499999999999901</c:v>
                </c:pt>
                <c:pt idx="6">
                  <c:v>0.00300000000000011</c:v>
                </c:pt>
                <c:pt idx="7">
                  <c:v>0.0109999999999992</c:v>
                </c:pt>
                <c:pt idx="8">
                  <c:v>0.00800000000000267</c:v>
                </c:pt>
                <c:pt idx="9">
                  <c:v>0.00600000000000023</c:v>
                </c:pt>
                <c:pt idx="10">
                  <c:v>0.00600000000000023</c:v>
                </c:pt>
                <c:pt idx="11">
                  <c:v>0.00300000000000011</c:v>
                </c:pt>
                <c:pt idx="12">
                  <c:v>0.00400000000000134</c:v>
                </c:pt>
                <c:pt idx="13">
                  <c:v>0.00600000000000023</c:v>
                </c:pt>
                <c:pt idx="14">
                  <c:v>0.00600000000000023</c:v>
                </c:pt>
                <c:pt idx="15">
                  <c:v>0.00500000000000256</c:v>
                </c:pt>
                <c:pt idx="16">
                  <c:v>0.00799999999999912</c:v>
                </c:pt>
                <c:pt idx="17">
                  <c:v>0.00400000000000134</c:v>
                </c:pt>
                <c:pt idx="18">
                  <c:v>0.00499999999999901</c:v>
                </c:pt>
                <c:pt idx="19">
                  <c:v>0.00900000000000034</c:v>
                </c:pt>
                <c:pt idx="20">
                  <c:v>0.0069999999999979</c:v>
                </c:pt>
                <c:pt idx="21">
                  <c:v>0.00300000000000011</c:v>
                </c:pt>
                <c:pt idx="22">
                  <c:v>0.00499999999999901</c:v>
                </c:pt>
                <c:pt idx="23">
                  <c:v>0.0100000000000016</c:v>
                </c:pt>
                <c:pt idx="24">
                  <c:v>0.00799999999999912</c:v>
                </c:pt>
                <c:pt idx="25">
                  <c:v>0.00999999999999801</c:v>
                </c:pt>
                <c:pt idx="26">
                  <c:v>0.00900000000000034</c:v>
                </c:pt>
                <c:pt idx="27">
                  <c:v>0.0110000000000028</c:v>
                </c:pt>
                <c:pt idx="28">
                  <c:v>0.00499999999999901</c:v>
                </c:pt>
                <c:pt idx="29">
                  <c:v>0.00900000000000034</c:v>
                </c:pt>
              </c:numCache>
            </c:numRef>
          </c:val>
        </c:ser>
        <c:ser>
          <c:idx val="1"/>
          <c:order val="1"/>
          <c:tx>
            <c:v>Centre line (R-bar)</c:v>
          </c:tx>
          <c:spPr>
            <a:ln w="19050">
              <a:solidFill>
                <a:srgbClr val="4A5361"/>
              </a:solidFill>
              <a:prstDash val="dash"/>
            </a:ln>
          </c:spPr>
          <c:marker>
            <c:symbol val="none"/>
          </c:marker>
          <c:cat>
            <c:numRef>
              <c:f>Dashboard!$B$39:$B$68</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Dashboard!$I$39:$I$68</c:f>
              <c:numCache>
                <c:formatCode>General</c:formatCode>
                <c:ptCount val="30"/>
                <c:pt idx="0">
                  <c:v>0.00612000000000023</c:v>
                </c:pt>
                <c:pt idx="1">
                  <c:v>0.00612000000000023</c:v>
                </c:pt>
                <c:pt idx="2">
                  <c:v>0.00612000000000023</c:v>
                </c:pt>
                <c:pt idx="3">
                  <c:v>0.00612000000000023</c:v>
                </c:pt>
                <c:pt idx="4">
                  <c:v>0.00612000000000023</c:v>
                </c:pt>
                <c:pt idx="5">
                  <c:v>0.00612000000000023</c:v>
                </c:pt>
                <c:pt idx="6">
                  <c:v>0.00612000000000023</c:v>
                </c:pt>
                <c:pt idx="7">
                  <c:v>0.00612000000000023</c:v>
                </c:pt>
                <c:pt idx="8">
                  <c:v>0.00612000000000023</c:v>
                </c:pt>
                <c:pt idx="9">
                  <c:v>0.00612000000000023</c:v>
                </c:pt>
                <c:pt idx="10">
                  <c:v>0.00612000000000023</c:v>
                </c:pt>
                <c:pt idx="11">
                  <c:v>0.00612000000000023</c:v>
                </c:pt>
                <c:pt idx="12">
                  <c:v>0.00612000000000023</c:v>
                </c:pt>
                <c:pt idx="13">
                  <c:v>0.00612000000000023</c:v>
                </c:pt>
                <c:pt idx="14">
                  <c:v>0.00612000000000023</c:v>
                </c:pt>
                <c:pt idx="15">
                  <c:v>0.00612000000000023</c:v>
                </c:pt>
                <c:pt idx="16">
                  <c:v>0.00612000000000023</c:v>
                </c:pt>
                <c:pt idx="17">
                  <c:v>0.00612000000000023</c:v>
                </c:pt>
                <c:pt idx="18">
                  <c:v>0.00612000000000023</c:v>
                </c:pt>
                <c:pt idx="19">
                  <c:v>0.00612000000000023</c:v>
                </c:pt>
                <c:pt idx="20">
                  <c:v>0.00612000000000023</c:v>
                </c:pt>
                <c:pt idx="21">
                  <c:v>0.00612000000000023</c:v>
                </c:pt>
                <c:pt idx="22">
                  <c:v>0.00612000000000023</c:v>
                </c:pt>
                <c:pt idx="23">
                  <c:v>0.00612000000000023</c:v>
                </c:pt>
                <c:pt idx="24">
                  <c:v>0.00612000000000023</c:v>
                </c:pt>
                <c:pt idx="25">
                  <c:v>0.00612000000000023</c:v>
                </c:pt>
                <c:pt idx="26">
                  <c:v>0.00612000000000023</c:v>
                </c:pt>
                <c:pt idx="27">
                  <c:v>0.00612000000000023</c:v>
                </c:pt>
                <c:pt idx="28">
                  <c:v>0.00612000000000023</c:v>
                </c:pt>
                <c:pt idx="29">
                  <c:v>0.00612000000000023</c:v>
                </c:pt>
              </c:numCache>
            </c:numRef>
          </c:val>
        </c:ser>
        <c:ser>
          <c:idx val="2"/>
          <c:order val="2"/>
          <c:tx>
            <c:v>UCL</c:v>
          </c:tx>
          <c:spPr>
            <a:ln w="19050">
              <a:solidFill>
                <a:srgbClr val="B3000C"/>
              </a:solidFill>
              <a:prstDash val="dash"/>
            </a:ln>
          </c:spPr>
          <c:marker>
            <c:symbol val="none"/>
          </c:marker>
          <c:cat>
            <c:numRef>
              <c:f>Dashboard!$B$39:$B$68</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Dashboard!$J$39:$J$68</c:f>
              <c:numCache>
                <c:formatCode>General</c:formatCode>
                <c:ptCount val="30"/>
                <c:pt idx="0">
                  <c:v>0.0129376800000005</c:v>
                </c:pt>
                <c:pt idx="1">
                  <c:v>0.0129376800000005</c:v>
                </c:pt>
                <c:pt idx="2">
                  <c:v>0.0129376800000005</c:v>
                </c:pt>
                <c:pt idx="3">
                  <c:v>0.0129376800000005</c:v>
                </c:pt>
                <c:pt idx="4">
                  <c:v>0.0129376800000005</c:v>
                </c:pt>
                <c:pt idx="5">
                  <c:v>0.0129376800000005</c:v>
                </c:pt>
                <c:pt idx="6">
                  <c:v>0.0129376800000005</c:v>
                </c:pt>
                <c:pt idx="7">
                  <c:v>0.0129376800000005</c:v>
                </c:pt>
                <c:pt idx="8">
                  <c:v>0.0129376800000005</c:v>
                </c:pt>
                <c:pt idx="9">
                  <c:v>0.0129376800000005</c:v>
                </c:pt>
                <c:pt idx="10">
                  <c:v>0.0129376800000005</c:v>
                </c:pt>
                <c:pt idx="11">
                  <c:v>0.0129376800000005</c:v>
                </c:pt>
                <c:pt idx="12">
                  <c:v>0.0129376800000005</c:v>
                </c:pt>
                <c:pt idx="13">
                  <c:v>0.0129376800000005</c:v>
                </c:pt>
                <c:pt idx="14">
                  <c:v>0.0129376800000005</c:v>
                </c:pt>
                <c:pt idx="15">
                  <c:v>0.0129376800000005</c:v>
                </c:pt>
                <c:pt idx="16">
                  <c:v>0.0129376800000005</c:v>
                </c:pt>
                <c:pt idx="17">
                  <c:v>0.0129376800000005</c:v>
                </c:pt>
                <c:pt idx="18">
                  <c:v>0.0129376800000005</c:v>
                </c:pt>
                <c:pt idx="19">
                  <c:v>0.0129376800000005</c:v>
                </c:pt>
                <c:pt idx="20">
                  <c:v>0.0129376800000005</c:v>
                </c:pt>
                <c:pt idx="21">
                  <c:v>0.0129376800000005</c:v>
                </c:pt>
                <c:pt idx="22">
                  <c:v>0.0129376800000005</c:v>
                </c:pt>
                <c:pt idx="23">
                  <c:v>0.0129376800000005</c:v>
                </c:pt>
                <c:pt idx="24">
                  <c:v>0.0129376800000005</c:v>
                </c:pt>
                <c:pt idx="25">
                  <c:v>0.0129376800000005</c:v>
                </c:pt>
                <c:pt idx="26">
                  <c:v>0.0129376800000005</c:v>
                </c:pt>
                <c:pt idx="27">
                  <c:v>0.0129376800000005</c:v>
                </c:pt>
                <c:pt idx="28">
                  <c:v>0.0129376800000005</c:v>
                </c:pt>
                <c:pt idx="29">
                  <c:v>0.0129376800000005</c:v>
                </c:pt>
              </c:numCache>
            </c:numRef>
          </c:val>
        </c:ser>
        <c:marker val="1"/>
        <c:axId val="50020001"/>
        <c:axId val="50020002"/>
      </c:lineChart>
      <c:catAx>
        <c:axId val="5002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10</xdr:row>
      <xdr:rowOff>38100</xdr:rowOff>
    </xdr:from>
    <xdr:to>
      <xdr:col>11</xdr:col>
      <xdr:colOff>676275</xdr:colOff>
      <xdr:row>20</xdr:row>
      <xdr:rowOff>152400</xdr:rowOff>
    </xdr:to>
    <xdr:graphicFrame macro="">
      <xdr:nvGraphicFramePr>
        <xdr:cNvPr id="2" name="Chart 1" descr="Line chart of the latest 30 subgroup means by subgroup number, with the centre line dashed grey and the upper and lower control limits dashed re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38100</xdr:colOff>
      <xdr:row>21</xdr:row>
      <xdr:rowOff>38100</xdr:rowOff>
    </xdr:from>
    <xdr:to>
      <xdr:col>11</xdr:col>
      <xdr:colOff>676275</xdr:colOff>
      <xdr:row>28</xdr:row>
      <xdr:rowOff>152400</xdr:rowOff>
    </xdr:to>
    <xdr:graphicFrame macro="">
      <xdr:nvGraphicFramePr>
        <xdr:cNvPr id="3" name="Chart 2" descr="Line chart of the latest 30 subgroup ranges by subgroup number, with the average range dashed grey and the range upper control limit dashed re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onstants" displayName="tblConstants" ref="B36:F40" totalsRowShown="0">
  <autoFilter ref="B36:F40"/>
  <tableColumns count="5">
    <tableColumn id="1" name="n"/>
    <tableColumn id="2" name="d2"/>
    <tableColumn id="3" name="D3"/>
    <tableColumn id="4" name="D4"/>
    <tableColumn id="5" name="A2 (= 3 / (d2 sqrt n))">
      <calculatedColumnFormula>3/(tblConstants[[#This Row],[d2]]*SQRT(tblConstants[[#This Row],[n]]))</calculatedColumnFormula>
    </tableColumn>
  </tableColumns>
  <tableStyleInfo name="TableStyleLight1" showFirstColumn="0" showLastColumn="0" showRowStripes="0" showColumnStripes="0"/>
</table>
</file>

<file path=xl/tables/table2.xml><?xml version="1.0" encoding="utf-8"?>
<table xmlns="http://schemas.openxmlformats.org/spreadsheetml/2006/main" id="2" name="tblSamples" displayName="tblSamples" ref="B6:M36" totalsRowShown="0">
  <autoFilter ref="B6:M36"/>
  <tableColumns count="12">
    <tableColumn id="1" name="Subgroup no."/>
    <tableColumn id="2" name="Date"/>
    <tableColumn id="3" name="Reading 1"/>
    <tableColumn id="4" name="Reading 2"/>
    <tableColumn id="5" name="Reading 3"/>
    <tableColumn id="6" name="Reading 4"/>
    <tableColumn id="7" name="Reading 5"/>
    <tableColumn id="8" name="Mean">
      <calculatedColumnFormula>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calculatedColumnFormula>
    </tableColumn>
    <tableColumn id="9" name="Range">
      <calculatedColumnFormula>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calculatedColumnFormula>
    </tableColumn>
    <tableColumn id="10" name="Side">
      <calculatedColumnFormula>IF(tblSamples[[#This Row],[Subgroup no.]]="","",IF(ISNUMBER(tblSamples[[#This Row],[Mean]]),SIGN(tblSamples[[#This Row],[Mean]]-XBB),""))</calculatedColumnFormula>
    </tableColumn>
    <tableColumn id="11" name="Signal">
      <calculatedColumnFormula>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calculatedColumnFormula>
    </tableColumn>
    <tableColumn id="12" name="Notes"/>
  </tableColumns>
  <tableStyleInfo name="TableStyleLight1" showFirstColumn="0" showLastColumn="0" showRowStripes="0" showColumnStripes="0"/>
</table>
</file>

<file path=xl/tables/table3.xml><?xml version="1.0" encoding="utf-8"?>
<table xmlns="http://schemas.openxmlformats.org/spreadsheetml/2006/main" id="3" name="tblVerifySamples" displayName="tblVerifySamples" ref="B39:M52" totalsRowShown="0">
  <tableColumns count="12">
    <tableColumn id="1" name="Subgroup no."/>
    <tableColumn id="2" name="Date"/>
    <tableColumn id="3" name="Reading 1"/>
    <tableColumn id="4" name="Reading 2"/>
    <tableColumn id="5" name="Reading 3"/>
    <tableColumn id="6" name="Reading 4"/>
    <tableColumn id="7" name="Reading 5"/>
    <tableColumn id="8" name="Mean">
      <calculatedColumnFormula>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calculatedColumnFormula>
    </tableColumn>
    <tableColumn id="9" name="Range">
      <calculatedColumnFormula>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calculatedColumnFormula>
    </tableColumn>
    <tableColumn id="10" name="Side">
      <calculatedColumnFormula>IF(tblVerifySamples[[#This Row],[Subgroup no.]]="","",IF(ISNUMBER(tblVerifySamples[[#This Row],[Mean]]),SIGN(tblVerifySamples[[#This Row],[Mean]]-$E$57),""))</calculatedColumnFormula>
    </tableColumn>
    <tableColumn id="11" name="Signal">
      <calculatedColumnFormula>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calculatedColumnFormula>
    </tableColumn>
    <tableColumn id="12"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pc-control-chart" TargetMode="External"/><Relationship Id="rId2" Type="http://schemas.openxmlformats.org/officeDocument/2006/relationships/hyperlink" Target="https://www.mfgcalcs.com/calculators/quality-inspection-metrology/control-chart-limit?utm_source=mfgcalcs-template&amp;utm_medium=xlsx&amp;utm_campaign=spc-control-chart" TargetMode="External"/><Relationship Id="rId3" Type="http://schemas.openxmlformats.org/officeDocument/2006/relationships/hyperlink" Target="https://www.mfgcalcs.com/templates/spc-control-chart?utm_source=mfgcalcs-template&amp;utm_medium=xlsx&amp;utm_campaign=spc-control-chart" TargetMode="External"/><Relationship Id="rId4" Type="http://schemas.openxmlformats.org/officeDocument/2006/relationships/hyperlink" Target="https://www.mfgcalcs.com/templates?utm_source=mfgcalcs-template&amp;utm_medium=xlsx&amp;utm_campaign=spc-control-char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pc-control-chart"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pc-control-chart"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pc-control-char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pc-control-chart" TargetMode="External"/><Relationship Id="rId2" Type="http://schemas.openxmlformats.org/officeDocument/2006/relationships/hyperlink" Target="https://www.mfgcalcs.com/calculators/quality-inspection-metrology/control-chart-limit?utm_source=mfgcalcs-template&amp;utm_medium=xlsx&amp;utm_campaign=spc-control-char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pc-control-chart"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14 of 14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Subgroups!A1" tooltip="Go to Subgroups" display="Subgroup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SPC X-bar and R Control Chart&amp;R&amp;8&amp;A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40"/>
  <sheetViews>
    <sheetView showGridLines="0" workbookViewId="0"/>
  </sheetViews>
  <sheetFormatPr defaultRowHeight="15"/>
  <cols>
    <col min="1" max="1" width="2.7109375" customWidth="1"/>
    <col min="2" max="2" width="30.7109375" customWidth="1"/>
    <col min="3" max="3" width="16.7109375" customWidth="1"/>
    <col min="4" max="4" width="14.7109375" customWidth="1"/>
    <col min="5" max="5" width="30.7109375" customWidth="1"/>
    <col min="6" max="6" width="14.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67</v>
      </c>
      <c r="C4" s="8"/>
      <c r="D4" s="8"/>
      <c r="E4" s="8"/>
    </row>
    <row r="5" spans="1:6" ht="5" customHeight="1"/>
    <row r="6" spans="1:6">
      <c r="B6" s="27" t="s">
        <v>68</v>
      </c>
      <c r="C6" s="28" t="s">
        <v>69</v>
      </c>
      <c r="D6" s="28"/>
    </row>
    <row r="7" spans="1:6">
      <c r="B7" s="27" t="s">
        <v>70</v>
      </c>
      <c r="C7" s="28" t="s">
        <v>71</v>
      </c>
      <c r="D7" s="28"/>
    </row>
    <row r="8" spans="1:6">
      <c r="B8" s="27" t="s">
        <v>72</v>
      </c>
      <c r="C8" s="28" t="s">
        <v>73</v>
      </c>
      <c r="D8" s="28"/>
    </row>
    <row r="9" spans="1:6">
      <c r="B9" s="27" t="s">
        <v>74</v>
      </c>
      <c r="C9" s="29">
        <v>5</v>
      </c>
      <c r="D9" s="7" t="s">
        <v>75</v>
      </c>
    </row>
    <row r="10" spans="1:6">
      <c r="B10" s="27" t="s">
        <v>76</v>
      </c>
      <c r="C10" s="29">
        <v>25</v>
      </c>
      <c r="D10" s="7" t="s">
        <v>77</v>
      </c>
    </row>
    <row r="11" spans="1:6">
      <c r="B11" s="27" t="s">
        <v>78</v>
      </c>
      <c r="C11" s="29">
        <v>7</v>
      </c>
      <c r="D11" s="7" t="s">
        <v>79</v>
      </c>
    </row>
    <row r="13" spans="1:6" ht="35.4" customHeight="1">
      <c r="B13" s="25" t="s">
        <v>80</v>
      </c>
      <c r="C13" s="25"/>
      <c r="D13" s="25"/>
      <c r="E13" s="25"/>
    </row>
    <row r="15" spans="1:6" ht="21" customHeight="1">
      <c r="B15" s="8" t="s">
        <v>81</v>
      </c>
      <c r="C15" s="8"/>
      <c r="D15" s="8"/>
      <c r="E15" s="8"/>
    </row>
    <row r="16" spans="1:6" ht="5" customHeight="1"/>
    <row r="17" spans="2:5">
      <c r="B17" s="27" t="s">
        <v>82</v>
      </c>
      <c r="C17" s="30">
        <f>IF(COUNT(tblSamples[Subgroup no.])=0,"",IF(BaseN=0,MAX(tblSamples[Subgroup no.]),SMALL(tblSamples[Subgroup no.],MIN(BaseN,COUNT(tblSamples[Subgroup no.])))))</f>
        <v>25</v>
      </c>
      <c r="D17" s="7" t="s">
        <v>83</v>
      </c>
    </row>
    <row r="18" spans="2:5">
      <c r="B18" s="27" t="s">
        <v>84</v>
      </c>
      <c r="C18" s="30">
        <f>IF(BaseLast="",0,COUNTIFS(tblSamples[Subgroup no.],"&lt;="&amp;BaseLast,tblSamples[Range],"&gt;=0"))</f>
        <v>25</v>
      </c>
      <c r="D18" s="7" t="s">
        <v>77</v>
      </c>
    </row>
    <row r="19" spans="2:5">
      <c r="B19" s="27" t="s">
        <v>85</v>
      </c>
      <c r="C19" s="31">
        <f>IF(BaseCount=0,"",AVERAGEIFS(tblSamples[Mean],tblSamples[Subgroup no.],"&lt;="&amp;BaseLast,tblSamples[Range],"&gt;=0"))</f>
        <v>25.00212</v>
      </c>
      <c r="D19" s="7" t="str">
        <f>UnitLabel</f>
        <v>mm</v>
      </c>
    </row>
    <row r="20" spans="2:5">
      <c r="B20" s="27" t="s">
        <v>86</v>
      </c>
      <c r="C20" s="31">
        <f>IF(BaseCount=0,"",AVERAGEIFS(tblSamples[Range],tblSamples[Subgroup no.],"&lt;="&amp;BaseLast,tblSamples[Range],"&gt;=0"))</f>
        <v>0.00612000000000023</v>
      </c>
      <c r="D20" s="7" t="str">
        <f>UnitLabel</f>
        <v>mm</v>
      </c>
    </row>
    <row r="21" spans="2:5">
      <c r="B21" s="27" t="s">
        <v>87</v>
      </c>
      <c r="C21" s="31">
        <f>IF(BaseCount=0,"",RBAR/ConstD2)</f>
        <v>0.0026311263972486</v>
      </c>
      <c r="D21" s="7" t="str">
        <f>UnitLabel</f>
        <v>mm</v>
      </c>
    </row>
    <row r="22" spans="2:5">
      <c r="B22" s="27" t="s">
        <v>88</v>
      </c>
      <c r="C22" s="31">
        <f>IF(BaseCount=0,"",SigmaHat/SQRT(SubN))</f>
        <v>0.00117667549632839</v>
      </c>
      <c r="D22" s="7" t="str">
        <f>UnitLabel</f>
        <v>mm</v>
      </c>
    </row>
    <row r="23" spans="2:5">
      <c r="B23" s="17" t="s">
        <v>89</v>
      </c>
      <c r="C23" s="32">
        <f>IF(BaseCount=0,"",XBB+3*SigmaHat/SQRT(SubN))</f>
        <v>25.005650026489</v>
      </c>
      <c r="D23" s="7" t="str">
        <f>UnitLabel</f>
        <v>mm</v>
      </c>
    </row>
    <row r="24" spans="2:5">
      <c r="B24" s="17" t="s">
        <v>90</v>
      </c>
      <c r="C24" s="32">
        <f>IF(BaseCount=0,"",XBB-3*SigmaHat/SQRT(SubN))</f>
        <v>24.998589973511</v>
      </c>
      <c r="D24" s="7" t="str">
        <f>UnitLabel</f>
        <v>mm</v>
      </c>
    </row>
    <row r="25" spans="2:5">
      <c r="B25" s="17" t="s">
        <v>91</v>
      </c>
      <c r="C25" s="32">
        <f>IF(BaseCount=0,"",ConstD4*RBAR)</f>
        <v>0.0129376800000005</v>
      </c>
      <c r="D25" s="7" t="str">
        <f>UnitLabel</f>
        <v>mm</v>
      </c>
    </row>
    <row r="26" spans="2:5">
      <c r="B26" s="17" t="s">
        <v>92</v>
      </c>
      <c r="C26" s="32">
        <f>IF(BaseCount=0,"",ConstD3*RBAR)</f>
        <v>0</v>
      </c>
      <c r="D26" s="7" t="str">
        <f>UnitLabel</f>
        <v>mm</v>
      </c>
    </row>
    <row r="28" spans="2:5" ht="21" customHeight="1">
      <c r="B28" s="8" t="s">
        <v>93</v>
      </c>
      <c r="C28" s="8"/>
      <c r="D28" s="8"/>
      <c r="E28" s="8"/>
    </row>
    <row r="29" spans="2:5" ht="5" customHeight="1"/>
    <row r="30" spans="2:5">
      <c r="B30" s="27" t="s">
        <v>63</v>
      </c>
      <c r="C30" s="33">
        <f>INDEX(tblConstants[d2],MATCH(SubN,tblConstants[n],0))</f>
        <v>2.326</v>
      </c>
      <c r="D30" s="7" t="s">
        <v>94</v>
      </c>
    </row>
    <row r="31" spans="2:5">
      <c r="B31" s="27" t="s">
        <v>64</v>
      </c>
      <c r="C31" s="33">
        <f>INDEX(tblConstants[D3],MATCH(SubN,tblConstants[n],0))</f>
        <v>0</v>
      </c>
      <c r="D31" s="7" t="s">
        <v>94</v>
      </c>
    </row>
    <row r="32" spans="2:5">
      <c r="B32" s="27" t="s">
        <v>65</v>
      </c>
      <c r="C32" s="33">
        <f>INDEX(tblConstants[D4],MATCH(SubN,tblConstants[n],0))</f>
        <v>2.114</v>
      </c>
      <c r="D32" s="7" t="s">
        <v>94</v>
      </c>
    </row>
    <row r="34" spans="2:6">
      <c r="B34" s="34" t="s">
        <v>95</v>
      </c>
      <c r="C34" s="34"/>
      <c r="D34" s="34"/>
      <c r="E34" s="34"/>
      <c r="F34" s="34"/>
    </row>
    <row r="35" spans="2:6" ht="18" customHeight="1">
      <c r="B35" s="35" t="s">
        <v>96</v>
      </c>
      <c r="C35" s="35"/>
      <c r="D35" s="35"/>
      <c r="E35" s="35"/>
      <c r="F35" s="35"/>
    </row>
    <row r="36" spans="2:6" ht="32" customHeight="1">
      <c r="B36" s="36" t="s">
        <v>62</v>
      </c>
      <c r="C36" s="36" t="s">
        <v>63</v>
      </c>
      <c r="D36" s="36" t="s">
        <v>64</v>
      </c>
      <c r="E36" s="36" t="s">
        <v>65</v>
      </c>
      <c r="F36" s="36" t="s">
        <v>66</v>
      </c>
    </row>
    <row r="37" spans="2:6">
      <c r="B37" s="29">
        <v>2</v>
      </c>
      <c r="C37" s="37">
        <v>1.128</v>
      </c>
      <c r="D37" s="37">
        <v>0</v>
      </c>
      <c r="E37" s="37">
        <v>3.267</v>
      </c>
      <c r="F37" s="31">
        <f>3/(tblConstants[[#This Row],[d2]]*SQRT(tblConstants[[#This Row],[n]]))</f>
        <v>1.88060314145358</v>
      </c>
    </row>
    <row r="38" spans="2:6">
      <c r="B38" s="29">
        <v>3</v>
      </c>
      <c r="C38" s="37">
        <v>1.693</v>
      </c>
      <c r="D38" s="37">
        <v>0</v>
      </c>
      <c r="E38" s="37">
        <v>2.574</v>
      </c>
      <c r="F38" s="31">
        <f>3/(tblConstants[[#This Row],[d2]]*SQRT(tblConstants[[#This Row],[n]]))</f>
        <v>1.02306604109207</v>
      </c>
    </row>
    <row r="39" spans="2:6">
      <c r="B39" s="29">
        <v>4</v>
      </c>
      <c r="C39" s="37">
        <v>2.059</v>
      </c>
      <c r="D39" s="37">
        <v>0</v>
      </c>
      <c r="E39" s="37">
        <v>2.282</v>
      </c>
      <c r="F39" s="31">
        <f>3/(tblConstants[[#This Row],[d2]]*SQRT(tblConstants[[#This Row],[n]]))</f>
        <v>0.728508984944148</v>
      </c>
    </row>
    <row r="40" spans="2:6">
      <c r="B40" s="29">
        <v>5</v>
      </c>
      <c r="C40" s="37">
        <v>2.326</v>
      </c>
      <c r="D40" s="37">
        <v>0</v>
      </c>
      <c r="E40" s="37">
        <v>2.114</v>
      </c>
      <c r="F40" s="31">
        <f>3/(tblConstants[[#This Row],[d2]]*SQRT(tblConstants[[#This Row],[n]]))</f>
        <v>0.576801713886446</v>
      </c>
    </row>
  </sheetData>
  <mergeCells count="11">
    <mergeCell ref="A1:F1"/>
    <mergeCell ref="B2:E2"/>
    <mergeCell ref="B4:E4"/>
    <mergeCell ref="C6:D6"/>
    <mergeCell ref="C7:D7"/>
    <mergeCell ref="C8:D8"/>
    <mergeCell ref="B13:E13"/>
    <mergeCell ref="B15:E15"/>
    <mergeCell ref="B28:E28"/>
    <mergeCell ref="B34:F34"/>
    <mergeCell ref="B35:F35"/>
  </mergeCells>
  <dataValidations count="10">
    <dataValidation type="textLength" allowBlank="1" showInputMessage="1" showErrorMessage="1" errorTitle="Check this entry" error="Text up to 80 characters." promptTitle="Plant or cell" prompt="Shown on the Dashboard. Text up to 80 characters." sqref="C6">
      <formula1>0</formula1>
      <formula2>80</formula2>
    </dataValidation>
    <dataValidation type="textLength" allowBlank="1" showInputMessage="1" showErrorMessage="1" errorTitle="Check this entry" error="Text up to 80 characters." promptTitle="Characteristic" prompt="Part, feature and operation, as on the control plan. Text up to 80 characters." sqref="C7">
      <formula1>0</formula1>
      <formula2>80</formula2>
    </dataValidation>
    <dataValidation type="textLength" allowBlank="1" showInputMessage="1" showErrorMessage="1" errorTitle="Check this entry" error="Text up to 12 characters." promptTitle="Measurement unit" prompt="Text shown with every reading and limit, e.g. mm, in, um, N, g. No conversion is applied. Text up to 12 characters." sqref="C8">
      <formula1>0</formula1>
      <formula2>12</formula2>
    </dataValidation>
    <dataValidation type="whole" allowBlank="1" showInputMessage="1" showErrorMessage="1" errorTitle="Check this entry" error="Enter a whole number from 2 to 5." promptTitle="Subgroup size n" prompt="Readings per subgroup, 2 to 5. Changing it changes the constants and the limits. Enter a whole number from 2 to 5." sqref="C9">
      <formula1>2</formula1>
      <formula2>5</formula2>
    </dataValidation>
    <dataValidation type="whole" allowBlank="1" showInputMessage="1" showErrorMessage="1" errorTitle="Check this entry" error="Enter a whole number from 0 to 100,000." promptTitle="Baseline subgroups for the li..." prompt="Limits use the first N subgroups by number; later ones are judged against them. 0 = use every subgroup (Phase I). Enter a whole number from 0 to 100,000." sqref="C10">
      <formula1>0</formula1>
      <formula2>100000</formula2>
    </dataValidation>
    <dataValidation type="whole" allowBlank="1" showInputMessage="1" showErrorMessage="1" errorTitle="Check this entry" error="Enter a whole number from 6 to 12." promptTitle="Run rule: points in a row on ..." prompt="7 as in the AIAG SPC manual; 8 (Western Electric) or 9 (Nelson) give fewer false alarms. Enter a whole number from 6 to 12." sqref="C11">
      <formula1>6</formula1>
      <formula2>12</formula2>
    </dataValidation>
    <dataValidation type="whole" allowBlank="1" showInputMessage="1" showErrorMessage="1" errorTitle="Check this entry" error="Enter a whole number from 2 to 25." promptTitle="n" prompt="Enter a whole number from 2 to 25." sqref="B37:B140">
      <formula1>2</formula1>
      <formula2>25</formula2>
    </dataValidation>
    <dataValidation type="decimal" allowBlank="1" showInputMessage="1" showErrorMessage="1" errorTitle="Check this entry" error="Enter a number from 0.1 to 10." promptTitle="d2" prompt="Enter a number from 0.1 to 10." sqref="C37:C140">
      <formula1>0.1</formula1>
      <formula2>10</formula2>
    </dataValidation>
    <dataValidation type="decimal" allowBlank="1" showInputMessage="1" showErrorMessage="1" errorTitle="Check this entry" error="Enter a number from 0 to 10." promptTitle="D3" prompt="Enter a number from 0 to 10." sqref="D37:D140">
      <formula1>0</formula1>
      <formula2>10</formula2>
    </dataValidation>
    <dataValidation type="decimal" allowBlank="1" showInputMessage="1" showErrorMessage="1" errorTitle="Check this entry" error="Enter a number from 0 to 10." promptTitle="D4" prompt="Enter a number from 0 to 10." sqref="E37:E140">
      <formula1>0</formula1>
      <formula2>10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SPC X-bar and R Control Chart&amp;R&amp;8&amp;A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M3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0.7109375" customWidth="1"/>
    <col min="3" max="3" width="12.28515625" customWidth="1"/>
    <col min="4" max="8" width="10.28515625" customWidth="1"/>
    <col min="9" max="9" width="10.7109375" customWidth="1"/>
    <col min="10" max="10" width="10.28515625" customWidth="1"/>
    <col min="11" max="11" width="7.7109375" customWidth="1"/>
    <col min="12" max="12" width="21.7109375" customWidth="1"/>
    <col min="13" max="13" width="34.7109375" customWidth="1"/>
  </cols>
  <sheetData>
    <row r="1" spans="1:13" ht="30" customHeight="1">
      <c r="A1" s="1" t="s">
        <v>0</v>
      </c>
      <c r="B1" s="1"/>
      <c r="C1" s="1"/>
      <c r="D1" s="1"/>
      <c r="E1" s="1"/>
      <c r="F1" s="1"/>
      <c r="G1" s="1"/>
      <c r="H1" s="1"/>
      <c r="I1" s="1"/>
      <c r="J1" s="1"/>
      <c r="K1" s="1"/>
      <c r="L1" s="1"/>
      <c r="M1" s="1"/>
    </row>
    <row r="2" spans="1:13" ht="21" customHeight="1">
      <c r="B2" s="2" t="s">
        <v>22</v>
      </c>
      <c r="C2" s="2"/>
      <c r="D2" s="2"/>
      <c r="E2" s="2"/>
      <c r="F2" s="2"/>
      <c r="G2" s="2"/>
      <c r="H2" s="2"/>
      <c r="I2" s="2"/>
      <c r="J2" s="2"/>
      <c r="K2" s="2"/>
      <c r="L2" s="2"/>
      <c r="M2" s="3" t="s">
        <v>2</v>
      </c>
    </row>
    <row r="3" spans="1:13" ht="6" customHeight="1"/>
    <row r="4" spans="1:13" ht="29.76" customHeight="1">
      <c r="B4" s="35" t="s">
        <v>109</v>
      </c>
      <c r="C4" s="35"/>
      <c r="D4" s="35"/>
      <c r="E4" s="35"/>
      <c r="F4" s="35"/>
      <c r="G4" s="35"/>
      <c r="H4" s="35"/>
      <c r="I4" s="35"/>
      <c r="J4" s="35"/>
      <c r="K4" s="35"/>
      <c r="L4" s="35"/>
      <c r="M4" s="35"/>
    </row>
    <row r="5" spans="1:13" ht="14" customHeight="1">
      <c r="B5" s="38"/>
      <c r="C5" s="38"/>
      <c r="D5" s="38" t="str">
        <f>UnitLabel</f>
        <v>mm</v>
      </c>
      <c r="E5" s="38" t="str">
        <f>UnitLabel</f>
        <v>mm</v>
      </c>
      <c r="F5" s="38" t="str">
        <f>UnitLabel</f>
        <v>mm</v>
      </c>
      <c r="G5" s="38" t="str">
        <f>UnitLabel</f>
        <v>mm</v>
      </c>
      <c r="H5" s="38" t="str">
        <f>UnitLabel</f>
        <v>mm</v>
      </c>
      <c r="I5" s="38" t="str">
        <f>UnitLabel</f>
        <v>mm</v>
      </c>
      <c r="J5" s="38" t="str">
        <f>UnitLabel</f>
        <v>mm</v>
      </c>
      <c r="K5" s="38" t="s">
        <v>110</v>
      </c>
      <c r="L5" s="38"/>
      <c r="M5" s="38"/>
    </row>
    <row r="6" spans="1:13" ht="32" customHeight="1">
      <c r="B6" s="36" t="s">
        <v>97</v>
      </c>
      <c r="C6" s="36" t="s">
        <v>98</v>
      </c>
      <c r="D6" s="36" t="s">
        <v>99</v>
      </c>
      <c r="E6" s="36" t="s">
        <v>100</v>
      </c>
      <c r="F6" s="36" t="s">
        <v>101</v>
      </c>
      <c r="G6" s="36" t="s">
        <v>102</v>
      </c>
      <c r="H6" s="36" t="s">
        <v>103</v>
      </c>
      <c r="I6" s="36" t="s">
        <v>104</v>
      </c>
      <c r="J6" s="36" t="s">
        <v>105</v>
      </c>
      <c r="K6" s="36" t="s">
        <v>106</v>
      </c>
      <c r="L6" s="36" t="s">
        <v>107</v>
      </c>
      <c r="M6" s="36" t="s">
        <v>108</v>
      </c>
    </row>
    <row r="7" spans="1:13">
      <c r="B7" s="29">
        <v>1</v>
      </c>
      <c r="C7" s="39">
        <v>46300</v>
      </c>
      <c r="D7" s="37">
        <v>25.004</v>
      </c>
      <c r="E7" s="37">
        <v>25.006</v>
      </c>
      <c r="F7" s="37">
        <v>24.999</v>
      </c>
      <c r="G7" s="37">
        <v>25.004</v>
      </c>
      <c r="H7" s="37">
        <v>25.004</v>
      </c>
      <c r="I7"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25.0034</v>
      </c>
      <c r="J7"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0.00700000000000145</v>
      </c>
      <c r="K7" s="40">
        <f>IF(tblSamples[[#This Row],[Subgroup no.]]="","",IF(ISNUMBER(tblSamples[[#This Row],[Mean]]),SIGN(tblSamples[[#This Row],[Mean]]-XBB),""))</f>
        <v>1</v>
      </c>
      <c r="L7"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7" s="42" t="s">
        <v>111</v>
      </c>
    </row>
    <row r="8" spans="1:13">
      <c r="B8" s="29">
        <v>2</v>
      </c>
      <c r="C8" s="39">
        <v>46300</v>
      </c>
      <c r="D8" s="37">
        <v>24.998</v>
      </c>
      <c r="E8" s="37">
        <v>25.003</v>
      </c>
      <c r="F8" s="37">
        <v>25.003</v>
      </c>
      <c r="G8" s="37">
        <v>25</v>
      </c>
      <c r="H8" s="37">
        <v>25.004</v>
      </c>
      <c r="I8"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25.0016</v>
      </c>
      <c r="J8"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0.00600000000000023</v>
      </c>
      <c r="K8" s="40">
        <f>IF(tblSamples[[#This Row],[Subgroup no.]]="","",IF(ISNUMBER(tblSamples[[#This Row],[Mean]]),SIGN(tblSamples[[#This Row],[Mean]]-XBB),""))</f>
        <v>-1</v>
      </c>
      <c r="L8"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8" s="42" t="s">
        <v>112</v>
      </c>
    </row>
    <row r="9" spans="1:13">
      <c r="B9" s="29">
        <v>3</v>
      </c>
      <c r="C9" s="39">
        <v>46300</v>
      </c>
      <c r="D9" s="37">
        <v>25.002</v>
      </c>
      <c r="E9" s="37">
        <v>25.004</v>
      </c>
      <c r="F9" s="37">
        <v>25.003</v>
      </c>
      <c r="G9" s="37">
        <v>25.005</v>
      </c>
      <c r="H9" s="37">
        <v>25.003</v>
      </c>
      <c r="I9"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25.0034</v>
      </c>
      <c r="J9"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0.00300000000000011</v>
      </c>
      <c r="K9" s="40">
        <f>IF(tblSamples[[#This Row],[Subgroup no.]]="","",IF(ISNUMBER(tblSamples[[#This Row],[Mean]]),SIGN(tblSamples[[#This Row],[Mean]]-XBB),""))</f>
        <v>1</v>
      </c>
      <c r="L9"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9" s="42" t="s">
        <v>112</v>
      </c>
    </row>
    <row r="10" spans="1:13">
      <c r="B10" s="29">
        <v>4</v>
      </c>
      <c r="C10" s="39">
        <v>46300</v>
      </c>
      <c r="D10" s="37">
        <v>25.006</v>
      </c>
      <c r="E10" s="37">
        <v>25.003</v>
      </c>
      <c r="F10" s="37">
        <v>25.001</v>
      </c>
      <c r="G10" s="37">
        <v>25</v>
      </c>
      <c r="H10" s="37">
        <v>25.003</v>
      </c>
      <c r="I10"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25.0026</v>
      </c>
      <c r="J10"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0.00600000000000023</v>
      </c>
      <c r="K10" s="40">
        <f>IF(tblSamples[[#This Row],[Subgroup no.]]="","",IF(ISNUMBER(tblSamples[[#This Row],[Mean]]),SIGN(tblSamples[[#This Row],[Mean]]-XBB),""))</f>
        <v>1</v>
      </c>
      <c r="L10"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0" s="42" t="s">
        <v>112</v>
      </c>
    </row>
    <row r="11" spans="1:13">
      <c r="B11" s="29">
        <v>5</v>
      </c>
      <c r="C11" s="39">
        <v>46300</v>
      </c>
      <c r="D11" s="37">
        <v>25.004</v>
      </c>
      <c r="E11" s="37">
        <v>25.003</v>
      </c>
      <c r="F11" s="37">
        <v>25.001</v>
      </c>
      <c r="G11" s="37">
        <v>24.995</v>
      </c>
      <c r="H11" s="37">
        <v>25.001</v>
      </c>
      <c r="I11"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25.0008</v>
      </c>
      <c r="J11"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0.00900000000000034</v>
      </c>
      <c r="K11" s="40">
        <f>IF(tblSamples[[#This Row],[Subgroup no.]]="","",IF(ISNUMBER(tblSamples[[#This Row],[Mean]]),SIGN(tblSamples[[#This Row],[Mean]]-XBB),""))</f>
        <v>-1</v>
      </c>
      <c r="L11"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1" s="42" t="s">
        <v>112</v>
      </c>
    </row>
    <row r="12" spans="1:13">
      <c r="B12" s="29">
        <v>6</v>
      </c>
      <c r="C12" s="39">
        <v>46300</v>
      </c>
      <c r="D12" s="37">
        <v>25.004</v>
      </c>
      <c r="E12" s="37">
        <v>25.001</v>
      </c>
      <c r="F12" s="37">
        <v>25.006</v>
      </c>
      <c r="G12" s="37">
        <v>25.002</v>
      </c>
      <c r="H12" s="37">
        <v>25.001</v>
      </c>
      <c r="I12"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25.0028</v>
      </c>
      <c r="J12"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0.00499999999999901</v>
      </c>
      <c r="K12" s="40">
        <f>IF(tblSamples[[#This Row],[Subgroup no.]]="","",IF(ISNUMBER(tblSamples[[#This Row],[Mean]]),SIGN(tblSamples[[#This Row],[Mean]]-XBB),""))</f>
        <v>1</v>
      </c>
      <c r="L12"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2" s="42" t="s">
        <v>112</v>
      </c>
    </row>
    <row r="13" spans="1:13">
      <c r="B13" s="29">
        <v>7</v>
      </c>
      <c r="C13" s="39">
        <v>46301</v>
      </c>
      <c r="D13" s="37">
        <v>25.005</v>
      </c>
      <c r="E13" s="37">
        <v>25.002</v>
      </c>
      <c r="F13" s="37">
        <v>25.003</v>
      </c>
      <c r="G13" s="37">
        <v>25.004</v>
      </c>
      <c r="H13" s="37">
        <v>25.004</v>
      </c>
      <c r="I13"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25.0036</v>
      </c>
      <c r="J13"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0.00300000000000011</v>
      </c>
      <c r="K13" s="40">
        <f>IF(tblSamples[[#This Row],[Subgroup no.]]="","",IF(ISNUMBER(tblSamples[[#This Row],[Mean]]),SIGN(tblSamples[[#This Row],[Mean]]-XBB),""))</f>
        <v>1</v>
      </c>
      <c r="L13"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3" s="42" t="s">
        <v>112</v>
      </c>
    </row>
    <row r="14" spans="1:13">
      <c r="B14" s="29">
        <v>8</v>
      </c>
      <c r="C14" s="39">
        <v>46301</v>
      </c>
      <c r="D14" s="37">
        <v>24.997</v>
      </c>
      <c r="E14" s="37">
        <v>25.003</v>
      </c>
      <c r="F14" s="37">
        <v>25.003</v>
      </c>
      <c r="G14" s="37">
        <v>25.008</v>
      </c>
      <c r="H14" s="37">
        <v>25</v>
      </c>
      <c r="I14"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25.0022</v>
      </c>
      <c r="J14"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0.0109999999999992</v>
      </c>
      <c r="K14" s="40">
        <f>IF(tblSamples[[#This Row],[Subgroup no.]]="","",IF(ISNUMBER(tblSamples[[#This Row],[Mean]]),SIGN(tblSamples[[#This Row],[Mean]]-XBB),""))</f>
        <v>1</v>
      </c>
      <c r="L14"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4" s="42" t="s">
        <v>112</v>
      </c>
    </row>
    <row r="15" spans="1:13">
      <c r="B15" s="29">
        <v>9</v>
      </c>
      <c r="C15" s="39">
        <v>46301</v>
      </c>
      <c r="D15" s="37">
        <v>24.999</v>
      </c>
      <c r="E15" s="37">
        <v>25.003</v>
      </c>
      <c r="F15" s="37">
        <v>25.007</v>
      </c>
      <c r="G15" s="37">
        <v>25</v>
      </c>
      <c r="H15" s="37">
        <v>25.002</v>
      </c>
      <c r="I15"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25.0022</v>
      </c>
      <c r="J15"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0.00800000000000267</v>
      </c>
      <c r="K15" s="40">
        <f>IF(tblSamples[[#This Row],[Subgroup no.]]="","",IF(ISNUMBER(tblSamples[[#This Row],[Mean]]),SIGN(tblSamples[[#This Row],[Mean]]-XBB),""))</f>
        <v>1</v>
      </c>
      <c r="L15"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5" s="42" t="s">
        <v>112</v>
      </c>
    </row>
    <row r="16" spans="1:13">
      <c r="B16" s="29">
        <v>10</v>
      </c>
      <c r="C16" s="39">
        <v>46301</v>
      </c>
      <c r="D16" s="37">
        <v>25</v>
      </c>
      <c r="E16" s="37">
        <v>25.006</v>
      </c>
      <c r="F16" s="37">
        <v>25.002</v>
      </c>
      <c r="G16" s="37">
        <v>25.005</v>
      </c>
      <c r="H16" s="37">
        <v>25</v>
      </c>
      <c r="I16"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25.0026</v>
      </c>
      <c r="J16"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0.00600000000000023</v>
      </c>
      <c r="K16" s="40">
        <f>IF(tblSamples[[#This Row],[Subgroup no.]]="","",IF(ISNUMBER(tblSamples[[#This Row],[Mean]]),SIGN(tblSamples[[#This Row],[Mean]]-XBB),""))</f>
        <v>1</v>
      </c>
      <c r="L16"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6" s="42" t="s">
        <v>112</v>
      </c>
    </row>
    <row r="17" spans="2:13">
      <c r="B17" s="29">
        <v>11</v>
      </c>
      <c r="C17" s="39">
        <v>46301</v>
      </c>
      <c r="D17" s="37">
        <v>25.004</v>
      </c>
      <c r="E17" s="37">
        <v>24.998</v>
      </c>
      <c r="F17" s="37">
        <v>24.999</v>
      </c>
      <c r="G17" s="37">
        <v>25.002</v>
      </c>
      <c r="H17" s="37">
        <v>25.004</v>
      </c>
      <c r="I17"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25.0014</v>
      </c>
      <c r="J17"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0.00600000000000023</v>
      </c>
      <c r="K17" s="40">
        <f>IF(tblSamples[[#This Row],[Subgroup no.]]="","",IF(ISNUMBER(tblSamples[[#This Row],[Mean]]),SIGN(tblSamples[[#This Row],[Mean]]-XBB),""))</f>
        <v>-1</v>
      </c>
      <c r="L17"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7" s="42" t="s">
        <v>112</v>
      </c>
    </row>
    <row r="18" spans="2:13">
      <c r="B18" s="29">
        <v>12</v>
      </c>
      <c r="C18" s="39">
        <v>46301</v>
      </c>
      <c r="D18" s="37">
        <v>25</v>
      </c>
      <c r="E18" s="37">
        <v>24.999</v>
      </c>
      <c r="F18" s="37">
        <v>25.001</v>
      </c>
      <c r="G18" s="37">
        <v>25.002</v>
      </c>
      <c r="H18" s="37">
        <v>24.999</v>
      </c>
      <c r="I18"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25.0002</v>
      </c>
      <c r="J18"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0.00300000000000011</v>
      </c>
      <c r="K18" s="40">
        <f>IF(tblSamples[[#This Row],[Subgroup no.]]="","",IF(ISNUMBER(tblSamples[[#This Row],[Mean]]),SIGN(tblSamples[[#This Row],[Mean]]-XBB),""))</f>
        <v>-1</v>
      </c>
      <c r="L18"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8" s="42" t="s">
        <v>112</v>
      </c>
    </row>
    <row r="19" spans="2:13">
      <c r="B19" s="29">
        <v>13</v>
      </c>
      <c r="C19" s="39">
        <v>46302</v>
      </c>
      <c r="D19" s="37">
        <v>25.003</v>
      </c>
      <c r="E19" s="37">
        <v>25.004</v>
      </c>
      <c r="F19" s="37">
        <v>25.003</v>
      </c>
      <c r="G19" s="37">
        <v>25.002</v>
      </c>
      <c r="H19" s="37">
        <v>25.006</v>
      </c>
      <c r="I19"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25.0036</v>
      </c>
      <c r="J19"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0.00400000000000134</v>
      </c>
      <c r="K19" s="40">
        <f>IF(tblSamples[[#This Row],[Subgroup no.]]="","",IF(ISNUMBER(tblSamples[[#This Row],[Mean]]),SIGN(tblSamples[[#This Row],[Mean]]-XBB),""))</f>
        <v>1</v>
      </c>
      <c r="L19"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19" s="42" t="s">
        <v>112</v>
      </c>
    </row>
    <row r="20" spans="2:13">
      <c r="B20" s="29">
        <v>14</v>
      </c>
      <c r="C20" s="39">
        <v>46302</v>
      </c>
      <c r="D20" s="37">
        <v>25.004</v>
      </c>
      <c r="E20" s="37">
        <v>25</v>
      </c>
      <c r="F20" s="37">
        <v>25.002</v>
      </c>
      <c r="G20" s="37">
        <v>25.003</v>
      </c>
      <c r="H20" s="37">
        <v>24.998</v>
      </c>
      <c r="I20"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25.0014</v>
      </c>
      <c r="J20"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0.00600000000000023</v>
      </c>
      <c r="K20" s="40">
        <f>IF(tblSamples[[#This Row],[Subgroup no.]]="","",IF(ISNUMBER(tblSamples[[#This Row],[Mean]]),SIGN(tblSamples[[#This Row],[Mean]]-XBB),""))</f>
        <v>-1</v>
      </c>
      <c r="L20"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0" s="42" t="s">
        <v>112</v>
      </c>
    </row>
    <row r="21" spans="2:13">
      <c r="B21" s="29">
        <v>15</v>
      </c>
      <c r="C21" s="39">
        <v>46302</v>
      </c>
      <c r="D21" s="37">
        <v>25.004</v>
      </c>
      <c r="E21" s="37">
        <v>25.002</v>
      </c>
      <c r="F21" s="37">
        <v>25</v>
      </c>
      <c r="G21" s="37">
        <v>25</v>
      </c>
      <c r="H21" s="37">
        <v>24.998</v>
      </c>
      <c r="I21"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25.0008</v>
      </c>
      <c r="J21"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0.00600000000000023</v>
      </c>
      <c r="K21" s="40">
        <f>IF(tblSamples[[#This Row],[Subgroup no.]]="","",IF(ISNUMBER(tblSamples[[#This Row],[Mean]]),SIGN(tblSamples[[#This Row],[Mean]]-XBB),""))</f>
        <v>-1</v>
      </c>
      <c r="L21"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1" s="42" t="s">
        <v>112</v>
      </c>
    </row>
    <row r="22" spans="2:13">
      <c r="B22" s="29">
        <v>16</v>
      </c>
      <c r="C22" s="39">
        <v>46302</v>
      </c>
      <c r="D22" s="37">
        <v>24.999</v>
      </c>
      <c r="E22" s="37">
        <v>25.001</v>
      </c>
      <c r="F22" s="37">
        <v>25.004</v>
      </c>
      <c r="G22" s="37">
        <v>25.001</v>
      </c>
      <c r="H22" s="37">
        <v>25</v>
      </c>
      <c r="I22"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v>
      </c>
      <c r="J22"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0.00500000000000256</v>
      </c>
      <c r="K22" s="40">
        <f>IF(tblSamples[[#This Row],[Subgroup no.]]="","",IF(ISNUMBER(tblSamples[[#This Row],[Mean]]),SIGN(tblSamples[[#This Row],[Mean]]-XBB),""))</f>
        <v>-1</v>
      </c>
      <c r="L22"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2" s="42" t="s">
        <v>112</v>
      </c>
    </row>
    <row r="23" spans="2:13">
      <c r="B23" s="29">
        <v>17</v>
      </c>
      <c r="C23" s="39">
        <v>46302</v>
      </c>
      <c r="D23" s="37">
        <v>25.002</v>
      </c>
      <c r="E23" s="37">
        <v>25.004</v>
      </c>
      <c r="F23" s="37">
        <v>25.001</v>
      </c>
      <c r="G23" s="37">
        <v>25.005</v>
      </c>
      <c r="H23" s="37">
        <v>24.997</v>
      </c>
      <c r="I23"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25.0018</v>
      </c>
      <c r="J23"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0.00799999999999912</v>
      </c>
      <c r="K23" s="40">
        <f>IF(tblSamples[[#This Row],[Subgroup no.]]="","",IF(ISNUMBER(tblSamples[[#This Row],[Mean]]),SIGN(tblSamples[[#This Row],[Mean]]-XBB),""))</f>
        <v>-1</v>
      </c>
      <c r="L23"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3" s="42" t="s">
        <v>112</v>
      </c>
    </row>
    <row r="24" spans="2:13">
      <c r="B24" s="29">
        <v>18</v>
      </c>
      <c r="C24" s="39">
        <v>46302</v>
      </c>
      <c r="D24" s="37">
        <v>25.002</v>
      </c>
      <c r="E24" s="37">
        <v>25.003</v>
      </c>
      <c r="F24" s="37">
        <v>25.002</v>
      </c>
      <c r="G24" s="37">
        <v>25.003</v>
      </c>
      <c r="H24" s="37">
        <v>24.999</v>
      </c>
      <c r="I24"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25.0018</v>
      </c>
      <c r="J24"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0.00400000000000134</v>
      </c>
      <c r="K24" s="40">
        <f>IF(tblSamples[[#This Row],[Subgroup no.]]="","",IF(ISNUMBER(tblSamples[[#This Row],[Mean]]),SIGN(tblSamples[[#This Row],[Mean]]-XBB),""))</f>
        <v>-1</v>
      </c>
      <c r="L24"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4" s="42" t="s">
        <v>112</v>
      </c>
    </row>
    <row r="25" spans="2:13">
      <c r="B25" s="29">
        <v>19</v>
      </c>
      <c r="C25" s="39">
        <v>46303</v>
      </c>
      <c r="D25" s="37">
        <v>25.002</v>
      </c>
      <c r="E25" s="37">
        <v>25.001</v>
      </c>
      <c r="F25" s="37">
        <v>25.002</v>
      </c>
      <c r="G25" s="37">
        <v>24.998</v>
      </c>
      <c r="H25" s="37">
        <v>25.003</v>
      </c>
      <c r="I25"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25.0012</v>
      </c>
      <c r="J25"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0.00499999999999901</v>
      </c>
      <c r="K25" s="40">
        <f>IF(tblSamples[[#This Row],[Subgroup no.]]="","",IF(ISNUMBER(tblSamples[[#This Row],[Mean]]),SIGN(tblSamples[[#This Row],[Mean]]-XBB),""))</f>
        <v>-1</v>
      </c>
      <c r="L25"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5" s="42" t="s">
        <v>112</v>
      </c>
    </row>
    <row r="26" spans="2:13">
      <c r="B26" s="29">
        <v>20</v>
      </c>
      <c r="C26" s="39">
        <v>46303</v>
      </c>
      <c r="D26" s="37">
        <v>25.006</v>
      </c>
      <c r="E26" s="37">
        <v>25.001</v>
      </c>
      <c r="F26" s="37">
        <v>25.009</v>
      </c>
      <c r="G26" s="37">
        <v>25.001</v>
      </c>
      <c r="H26" s="37">
        <v>25</v>
      </c>
      <c r="I26"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25.0034</v>
      </c>
      <c r="J26"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0.00900000000000034</v>
      </c>
      <c r="K26" s="40">
        <f>IF(tblSamples[[#This Row],[Subgroup no.]]="","",IF(ISNUMBER(tblSamples[[#This Row],[Mean]]),SIGN(tblSamples[[#This Row],[Mean]]-XBB),""))</f>
        <v>1</v>
      </c>
      <c r="L26"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6" s="42" t="s">
        <v>112</v>
      </c>
    </row>
    <row r="27" spans="2:13">
      <c r="B27" s="29">
        <v>21</v>
      </c>
      <c r="C27" s="39">
        <v>46303</v>
      </c>
      <c r="D27" s="37">
        <v>25.008</v>
      </c>
      <c r="E27" s="37">
        <v>25.004</v>
      </c>
      <c r="F27" s="37">
        <v>25.001</v>
      </c>
      <c r="G27" s="37">
        <v>25.003</v>
      </c>
      <c r="H27" s="37">
        <v>25.003</v>
      </c>
      <c r="I27"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25.0038</v>
      </c>
      <c r="J27"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0.0069999999999979</v>
      </c>
      <c r="K27" s="40">
        <f>IF(tblSamples[[#This Row],[Subgroup no.]]="","",IF(ISNUMBER(tblSamples[[#This Row],[Mean]]),SIGN(tblSamples[[#This Row],[Mean]]-XBB),""))</f>
        <v>1</v>
      </c>
      <c r="L27"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7" s="42" t="s">
        <v>112</v>
      </c>
    </row>
    <row r="28" spans="2:13">
      <c r="B28" s="29">
        <v>22</v>
      </c>
      <c r="C28" s="39">
        <v>46303</v>
      </c>
      <c r="D28" s="37">
        <v>25.004</v>
      </c>
      <c r="E28" s="37">
        <v>25.003</v>
      </c>
      <c r="F28" s="37">
        <v>25.001</v>
      </c>
      <c r="G28" s="37">
        <v>25.001</v>
      </c>
      <c r="H28" s="37">
        <v>25.004</v>
      </c>
      <c r="I28"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25.0026</v>
      </c>
      <c r="J28"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0.00300000000000011</v>
      </c>
      <c r="K28" s="40">
        <f>IF(tblSamples[[#This Row],[Subgroup no.]]="","",IF(ISNUMBER(tblSamples[[#This Row],[Mean]]),SIGN(tblSamples[[#This Row],[Mean]]-XBB),""))</f>
        <v>1</v>
      </c>
      <c r="L28"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8" s="42" t="s">
        <v>112</v>
      </c>
    </row>
    <row r="29" spans="2:13">
      <c r="B29" s="29">
        <v>23</v>
      </c>
      <c r="C29" s="39">
        <v>46303</v>
      </c>
      <c r="D29" s="37">
        <v>25.003</v>
      </c>
      <c r="E29" s="37">
        <v>24.998</v>
      </c>
      <c r="F29" s="37">
        <v>24.999</v>
      </c>
      <c r="G29" s="37">
        <v>25</v>
      </c>
      <c r="H29" s="37">
        <v>25.001</v>
      </c>
      <c r="I29"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25.0002</v>
      </c>
      <c r="J29"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0.00499999999999901</v>
      </c>
      <c r="K29" s="40">
        <f>IF(tblSamples[[#This Row],[Subgroup no.]]="","",IF(ISNUMBER(tblSamples[[#This Row],[Mean]]),SIGN(tblSamples[[#This Row],[Mean]]-XBB),""))</f>
        <v>-1</v>
      </c>
      <c r="L29"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29" s="42" t="s">
        <v>112</v>
      </c>
    </row>
    <row r="30" spans="2:13">
      <c r="B30" s="29">
        <v>24</v>
      </c>
      <c r="C30" s="39">
        <v>46303</v>
      </c>
      <c r="D30" s="37">
        <v>25.001</v>
      </c>
      <c r="E30" s="37">
        <v>24.997</v>
      </c>
      <c r="F30" s="37">
        <v>25.007</v>
      </c>
      <c r="G30" s="37">
        <v>25.005</v>
      </c>
      <c r="H30" s="37">
        <v>25.004</v>
      </c>
      <c r="I30"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25.0028</v>
      </c>
      <c r="J30"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0.0100000000000016</v>
      </c>
      <c r="K30" s="40">
        <f>IF(tblSamples[[#This Row],[Subgroup no.]]="","",IF(ISNUMBER(tblSamples[[#This Row],[Mean]]),SIGN(tblSamples[[#This Row],[Mean]]-XBB),""))</f>
        <v>1</v>
      </c>
      <c r="L30"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30" s="42" t="s">
        <v>112</v>
      </c>
    </row>
    <row r="31" spans="2:13">
      <c r="B31" s="29">
        <v>25</v>
      </c>
      <c r="C31" s="39">
        <v>46304</v>
      </c>
      <c r="D31" s="37">
        <v>25.001</v>
      </c>
      <c r="E31" s="37">
        <v>25.006</v>
      </c>
      <c r="F31" s="37">
        <v>25.005</v>
      </c>
      <c r="G31" s="37">
        <v>24.999</v>
      </c>
      <c r="H31" s="37">
        <v>24.998</v>
      </c>
      <c r="I31"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25.0018</v>
      </c>
      <c r="J31"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0.00799999999999912</v>
      </c>
      <c r="K31" s="40">
        <f>IF(tblSamples[[#This Row],[Subgroup no.]]="","",IF(ISNUMBER(tblSamples[[#This Row],[Mean]]),SIGN(tblSamples[[#This Row],[Mean]]-XBB),""))</f>
        <v>-1</v>
      </c>
      <c r="L31"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31" s="42" t="s">
        <v>112</v>
      </c>
    </row>
    <row r="32" spans="2:13">
      <c r="B32" s="29">
        <v>26</v>
      </c>
      <c r="C32" s="39">
        <v>46304</v>
      </c>
      <c r="D32" s="37">
        <v>25</v>
      </c>
      <c r="E32" s="37">
        <v>25.003</v>
      </c>
      <c r="F32" s="37">
        <v>25.008</v>
      </c>
      <c r="G32" s="37">
        <v>24.998</v>
      </c>
      <c r="H32" s="37">
        <v>25.002</v>
      </c>
      <c r="I32"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25.0022</v>
      </c>
      <c r="J32"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0.00999999999999801</v>
      </c>
      <c r="K32" s="40">
        <f>IF(tblSamples[[#This Row],[Subgroup no.]]="","",IF(ISNUMBER(tblSamples[[#This Row],[Mean]]),SIGN(tblSamples[[#This Row],[Mean]]-XBB),""))</f>
        <v>1</v>
      </c>
      <c r="L32"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32" s="42" t="s">
        <v>112</v>
      </c>
    </row>
    <row r="33" spans="2:13">
      <c r="B33" s="29">
        <v>27</v>
      </c>
      <c r="C33" s="39">
        <v>46304</v>
      </c>
      <c r="D33" s="37">
        <v>25.007</v>
      </c>
      <c r="E33" s="37">
        <v>25.002</v>
      </c>
      <c r="F33" s="37">
        <v>25.008</v>
      </c>
      <c r="G33" s="37">
        <v>24.999</v>
      </c>
      <c r="H33" s="37">
        <v>25.004</v>
      </c>
      <c r="I33"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25.004</v>
      </c>
      <c r="J33"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0.00900000000000034</v>
      </c>
      <c r="K33" s="40">
        <f>IF(tblSamples[[#This Row],[Subgroup no.]]="","",IF(ISNUMBER(tblSamples[[#This Row],[Mean]]),SIGN(tblSamples[[#This Row],[Mean]]-XBB),""))</f>
        <v>1</v>
      </c>
      <c r="L33"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33" s="42" t="s">
        <v>113</v>
      </c>
    </row>
    <row r="34" spans="2:13">
      <c r="B34" s="29">
        <v>28</v>
      </c>
      <c r="C34" s="39">
        <v>46304</v>
      </c>
      <c r="D34" s="37">
        <v>25.008</v>
      </c>
      <c r="E34" s="37">
        <v>24.999</v>
      </c>
      <c r="F34" s="37">
        <v>25.007</v>
      </c>
      <c r="G34" s="37">
        <v>25.01</v>
      </c>
      <c r="H34" s="37">
        <v>25.007</v>
      </c>
      <c r="I34"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25.0062</v>
      </c>
      <c r="J34"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0.0110000000000028</v>
      </c>
      <c r="K34" s="40">
        <f>IF(tblSamples[[#This Row],[Subgroup no.]]="","",IF(ISNUMBER(tblSamples[[#This Row],[Mean]]),SIGN(tblSamples[[#This Row],[Mean]]-XBB),""))</f>
        <v>1</v>
      </c>
      <c r="L34"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Above UCL</v>
      </c>
      <c r="M34" s="42" t="s">
        <v>114</v>
      </c>
    </row>
    <row r="35" spans="2:13">
      <c r="B35" s="29">
        <v>29</v>
      </c>
      <c r="C35" s="39">
        <v>46304</v>
      </c>
      <c r="D35" s="37">
        <v>25</v>
      </c>
      <c r="E35" s="37">
        <v>25</v>
      </c>
      <c r="F35" s="37">
        <v>25.003</v>
      </c>
      <c r="G35" s="37">
        <v>25.004</v>
      </c>
      <c r="H35" s="37">
        <v>25.005</v>
      </c>
      <c r="I35"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25.0024</v>
      </c>
      <c r="J35"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0.00499999999999901</v>
      </c>
      <c r="K35" s="40">
        <f>IF(tblSamples[[#This Row],[Subgroup no.]]="","",IF(ISNUMBER(tblSamples[[#This Row],[Mean]]),SIGN(tblSamples[[#This Row],[Mean]]-XBB),""))</f>
        <v>1</v>
      </c>
      <c r="L35"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35" s="42" t="s">
        <v>115</v>
      </c>
    </row>
    <row r="36" spans="2:13">
      <c r="B36" s="29">
        <v>30</v>
      </c>
      <c r="C36" s="39">
        <v>46304</v>
      </c>
      <c r="D36" s="37">
        <v>25.005</v>
      </c>
      <c r="E36" s="37">
        <v>24.997</v>
      </c>
      <c r="F36" s="37">
        <v>25.002</v>
      </c>
      <c r="G36" s="37">
        <v>24.999</v>
      </c>
      <c r="H36" s="37">
        <v>25.006</v>
      </c>
      <c r="I36" s="31">
        <f>IF(tblSamples[[#This Row],[Subgroup no.]]="","",IF(COUNT(tblSamples[[#This Row],[Reading 1]],tblSamples[[#This Row],[Reading 2]],tblSamples[[#This Row],[Reading 3]],tblSamples[[#This Row],[Reading 4]],tblSamples[[#This Row],[Reading 5]])&lt;&gt;SubN,"",AVERAGE(tblSamples[[#This Row],[Reading 1]],tblSamples[[#This Row],[Reading 2]],tblSamples[[#This Row],[Reading 3]],tblSamples[[#This Row],[Reading 4]],tblSamples[[#This Row],[Reading 5]])))</f>
        <v>25.0018</v>
      </c>
      <c r="J36" s="31">
        <f>IF(tblSamples[[#This Row],[Subgroup no.]]="","",IF(COUNT(tblSamples[[#This Row],[Reading 1]],tblSamples[[#This Row],[Reading 2]],tblSamples[[#This Row],[Reading 3]],tblSamples[[#This Row],[Reading 4]],tblSamples[[#This Row],[Reading 5]])&lt;&gt;SubN,"",MAX(tblSamples[[#This Row],[Reading 1]],tblSamples[[#This Row],[Reading 2]],tblSamples[[#This Row],[Reading 3]],tblSamples[[#This Row],[Reading 4]],tblSamples[[#This Row],[Reading 5]])-MIN(tblSamples[[#This Row],[Reading 1]],tblSamples[[#This Row],[Reading 2]],tblSamples[[#This Row],[Reading 3]],tblSamples[[#This Row],[Reading 4]],tblSamples[[#This Row],[Reading 5]])))</f>
        <v>0.00900000000000034</v>
      </c>
      <c r="K36" s="40">
        <f>IF(tblSamples[[#This Row],[Subgroup no.]]="","",IF(ISNUMBER(tblSamples[[#This Row],[Mean]]),SIGN(tblSamples[[#This Row],[Mean]]-XBB),""))</f>
        <v>-1</v>
      </c>
      <c r="L36" s="41" t="str">
        <f>IF(tblSamples[[#This Row],[Subgroup no.]]="","",IF(COUNT(tblSamples[[#This Row],[Reading 1]],tblSamples[[#This Row],[Reading 2]],tblSamples[[#This Row],[Reading 3]],tblSamples[[#This Row],[Reading 4]],tblSamples[[#This Row],[Reading 5]])&lt;&gt;SubN,"Reading count is not n",IF(COUNTIFS(tblSamples[Subgroup no.],tblSamples[[#This Row],[Subgroup no.]])&gt;1,"Duplicate subgroup no.",IF(AND(ISNUMBER(UCLX),tblSamples[[#This Row],[Mean]]&gt;UCLX),"Above UCL",IF(AND(ISNUMBER(LCLX),tblSamples[[#This Row],[Mean]]&lt;LCLX),"Below LCL",IF(AND(ISNUMBER(UCLR),tblSamples[[#This Row],[Range]]&gt;UCLR),"Range above UCL",IF(AND(tblSamples[[#This Row],[Side]]=1,COUNTIFS(tblSamples[Subgroup no.],"&gt;"&amp;(tblSamples[[#This Row],[Subgroup no.]]-RunLen),tblSamples[Subgroup no.],"&lt;="&amp;tblSamples[[#This Row],[Subgroup no.]],tblSamples[Side],tblSamples[[#This Row],[Side]])&gt;=RunLen),"Run above centre line",IF(AND(tblSamples[[#This Row],[Side]]=-1,COUNTIFS(tblSamples[Subgroup no.],"&gt;"&amp;(tblSamples[[#This Row],[Subgroup no.]]-RunLen),tblSamples[Subgroup no.],"&lt;="&amp;tblSamples[[#This Row],[Subgroup no.]],tblSamples[Side],tblSamples[[#This Row],[Side]])&gt;=RunLen),"Run below centre line","In control"))))))))</f>
        <v>In control</v>
      </c>
      <c r="M36" s="42" t="s">
        <v>112</v>
      </c>
    </row>
  </sheetData>
  <mergeCells count="3">
    <mergeCell ref="A1:M1"/>
    <mergeCell ref="B2:L2"/>
    <mergeCell ref="B4:M4"/>
  </mergeCells>
  <conditionalFormatting sqref="L7:L536">
    <cfRule type="expression" dxfId="3" priority="1">
      <formula>$L7="In control"</formula>
    </cfRule>
    <cfRule type="expression" dxfId="1" priority="2">
      <formula>AND($L7&lt;&gt;"",$L7&lt;&gt;"In control")</formula>
    </cfRule>
  </conditionalFormatting>
  <dataValidations count="8">
    <dataValidation type="whole" allowBlank="1" showInputMessage="1" showErrorMessage="1" errorTitle="Check this entry" error="Enter a whole number from 1 to 1,000,000." promptTitle="Subgroup no." prompt="Subgroups are numbered in time order. Limits use the first N numbers (Setup); the run rule counts back by number. Enter a whole number from 1 to 1,000,000." sqref="B7:B536">
      <formula1>1</formula1>
      <formula2>1000000</formula2>
    </dataValidation>
    <dataValidation type="date" allowBlank="1" showInputMessage="1" showErrorMessage="1" errorTitle="Check this entry" error="Enter a date between 01 Jan 2000 and 31 Dec 2100." promptTitle="Date" prompt="Enter a date between 01 Jan 2000 and 31 Dec 2100." sqref="C7:C536">
      <formula1>36526</formula1>
      <formula2>73415</formula2>
    </dataValidation>
    <dataValidation type="decimal" allowBlank="1" showInputMessage="1" showErrorMessage="1" errorTitle="Check this entry" error="Enter a number of at least -1,000,000,000." promptTitle="Reading 1" prompt="One reading, in the unit on Setup. Fill Reading 1 to n for a subgroup of n; leave the rest blank. Enter a number of at least -1,000,000,000." sqref="D7:D536">
      <formula1>-1000000000.0</formula1>
      <formula2>1000000000.0</formula2>
    </dataValidation>
    <dataValidation type="decimal" allowBlank="1" showInputMessage="1" showErrorMessage="1" errorTitle="Check this entry" error="Enter a number of at least -1,000,000,000." promptTitle="Reading 2" prompt="One reading, in the unit on Setup. Fill Reading 1 to n for a subgroup of n; leave the rest blank. Enter a number of at least -1,000,000,000." sqref="E7:E536">
      <formula1>-1000000000.0</formula1>
      <formula2>1000000000.0</formula2>
    </dataValidation>
    <dataValidation type="decimal" allowBlank="1" showInputMessage="1" showErrorMessage="1" errorTitle="Check this entry" error="Enter a number of at least -1,000,000,000." promptTitle="Reading 3" prompt="One reading, in the unit on Setup. Fill Reading 1 to n for a subgroup of n; leave the rest blank. Enter a number of at least -1,000,000,000." sqref="F7:F536">
      <formula1>-1000000000.0</formula1>
      <formula2>1000000000.0</formula2>
    </dataValidation>
    <dataValidation type="decimal" allowBlank="1" showInputMessage="1" showErrorMessage="1" errorTitle="Check this entry" error="Enter a number of at least -1,000,000,000." promptTitle="Reading 4" prompt="One reading, in the unit on Setup. Fill Reading 1 to n for a subgroup of n; leave the rest blank. Enter a number of at least -1,000,000,000." sqref="G7:G536">
      <formula1>-1000000000.0</formula1>
      <formula2>1000000000.0</formula2>
    </dataValidation>
    <dataValidation type="decimal" allowBlank="1" showInputMessage="1" showErrorMessage="1" errorTitle="Check this entry" error="Enter a number of at least -1,000,000,000." promptTitle="Reading 5" prompt="One reading, in the unit on Setup. Fill Reading 1 to n for a subgroup of n; leave the rest blank. Enter a number of at least -1,000,000,000." sqref="H7:H536">
      <formula1>-1000000000.0</formula1>
      <formula2>1000000000.0</formula2>
    </dataValidation>
    <dataValidation type="textLength" allowBlank="1" showInputMessage="1" showErrorMessage="1" errorTitle="Check this entry" error="Text up to 255 characters." promptTitle="Notes" prompt="Cause and action: what happened and what was done (offset, tool change, material lot). Text up to 255 characters." sqref="M7:M536">
      <formula1>0</formula1>
      <formula2>255</formula2>
    </dataValidation>
  </dataValidations>
  <hyperlinks>
    <hyperlink ref="M2" r:id="rId1" tooltip="Free manufacturing calculators and templates"/>
  </hyperlinks>
  <pageMargins left="0.4" right="0.4" top="0.7" bottom="0.65" header="0.3" footer="0.3"/>
  <pageSetup fitToHeight="0" orientation="landscape"/>
  <headerFooter>
    <oddHeader>&amp;L&amp;8MFG Calcs - SPC X-bar and R Control Chart&amp;R&amp;8&amp;A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0"/>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17" t="str">
        <f>CharName&amp;"  |  "&amp;PlantName&amp;"  |  n = "&amp;SubN&amp;", limits from subgroups up to no. "&amp;IF(BaseLast="","-",BaseLast)&amp;" ("&amp;BaseCount&amp;" subgroups)"</f>
        <v>Bearing journal diameter, OP30 (example)  |  Ashby Components, Cell 3 (example)  |  n = 5, limits from subgroups up to no. 25 (25 subgroups)</v>
      </c>
      <c r="C4" s="17"/>
      <c r="D4" s="17"/>
      <c r="E4" s="17"/>
      <c r="F4" s="17"/>
      <c r="G4" s="17"/>
      <c r="H4" s="17"/>
      <c r="I4" s="17"/>
      <c r="J4" s="17"/>
      <c r="K4" s="17"/>
      <c r="L4" s="17"/>
    </row>
    <row r="5" spans="1:12" ht="18" customHeight="1">
      <c r="B5" s="43" t="s">
        <v>116</v>
      </c>
      <c r="C5" s="43"/>
      <c r="D5" s="43" t="str">
        <f>"GRAND MEAN ("&amp;UnitLabel&amp;")"</f>
        <v>GRAND MEAN (mm)</v>
      </c>
      <c r="E5" s="43"/>
      <c r="F5" s="43"/>
      <c r="G5" s="43" t="str">
        <f>"AVERAGE RANGE ("&amp;UnitLabel&amp;")"</f>
        <v>AVERAGE RANGE (mm)</v>
      </c>
      <c r="H5" s="43"/>
      <c r="I5" s="43"/>
      <c r="J5" s="43" t="str">
        <f>"WITHIN SIGMA, EST. ("&amp;UnitLabel&amp;")"</f>
        <v>WITHIN SIGMA, EST. (mm)</v>
      </c>
      <c r="K5" s="43"/>
      <c r="L5" s="43"/>
    </row>
    <row r="6" spans="1:12" ht="21" customHeight="1">
      <c r="B6" s="44">
        <f>COUNT(tblSamples[Subgroup no.])-COUNTIF(tblSamples[Signal],"In control")</f>
        <v>1</v>
      </c>
      <c r="C6" s="44"/>
      <c r="D6" s="45">
        <f>XBB</f>
        <v>25.00212</v>
      </c>
      <c r="E6" s="45"/>
      <c r="F6" s="45"/>
      <c r="G6" s="45">
        <f>RBAR</f>
        <v>0.00612000000000023</v>
      </c>
      <c r="H6" s="45"/>
      <c r="I6" s="45"/>
      <c r="J6" s="45">
        <f>SigmaHat</f>
        <v>0.0026311263972486</v>
      </c>
      <c r="K6" s="45"/>
      <c r="L6" s="45"/>
    </row>
    <row r="7" spans="1:12" ht="21" customHeight="1">
      <c r="B7" s="44"/>
      <c r="C7" s="44"/>
      <c r="D7" s="45"/>
      <c r="E7" s="45"/>
      <c r="F7" s="45"/>
      <c r="G7" s="45"/>
      <c r="H7" s="45"/>
      <c r="I7" s="45"/>
      <c r="J7" s="45"/>
      <c r="K7" s="45"/>
      <c r="L7" s="45"/>
    </row>
    <row r="8" spans="1:12">
      <c r="B8" s="46">
        <f>0</f>
        <v>0</v>
      </c>
      <c r="C8" s="46"/>
      <c r="D8" s="47" t="s">
        <v>117</v>
      </c>
      <c r="E8" s="47"/>
      <c r="F8" s="47"/>
      <c r="G8" s="47" t="s">
        <v>118</v>
      </c>
      <c r="H8" s="47"/>
      <c r="I8" s="47"/>
      <c r="J8" s="47" t="s">
        <v>119</v>
      </c>
      <c r="K8" s="47"/>
      <c r="L8" s="47"/>
    </row>
    <row r="9" spans="1:12" ht="18" customHeight="1">
      <c r="B9" s="48" t="str">
        <f>IF(NOT(ISNUMBER(KpiSignals)),"No data",IF(KpiSignals&lt;=(0),"Within limits",IF(KpiSignals&lt;=(0),"Check","Out of limits")))</f>
        <v>Out of limits</v>
      </c>
      <c r="C9" s="48"/>
      <c r="D9" s="48"/>
      <c r="E9" s="48"/>
      <c r="F9" s="48"/>
      <c r="G9" s="48"/>
      <c r="H9" s="48"/>
      <c r="I9" s="48"/>
      <c r="J9" s="48"/>
      <c r="K9" s="48"/>
      <c r="L9" s="48"/>
    </row>
    <row r="31" spans="2:6">
      <c r="B31" s="34" t="s">
        <v>120</v>
      </c>
      <c r="C31" s="34"/>
      <c r="D31" s="34"/>
      <c r="E31" s="34"/>
      <c r="F31" s="34"/>
    </row>
    <row r="32" spans="2:6" ht="32" customHeight="1">
      <c r="B32" s="49" t="s">
        <v>121</v>
      </c>
      <c r="C32" s="36" t="s">
        <v>122</v>
      </c>
      <c r="D32" s="36" t="s">
        <v>123</v>
      </c>
      <c r="E32" s="36" t="s">
        <v>124</v>
      </c>
      <c r="F32" s="36" t="s">
        <v>125</v>
      </c>
    </row>
    <row r="33" spans="2:12" ht="14" customHeight="1">
      <c r="B33" s="38" t="str">
        <f>UnitLabel</f>
        <v>mm</v>
      </c>
      <c r="C33" s="38"/>
      <c r="D33" s="38"/>
      <c r="E33" s="38"/>
      <c r="F33" s="38"/>
    </row>
    <row r="34" spans="2:12">
      <c r="B34" s="50" t="s">
        <v>126</v>
      </c>
      <c r="C34" s="31">
        <f>IF(1=1,LCLX,LCLR)</f>
        <v>24.998589973511</v>
      </c>
      <c r="D34" s="31">
        <f>IF(1=1,XBB,RBAR)</f>
        <v>25.00212</v>
      </c>
      <c r="E34" s="31">
        <f>IF(1=1,UCLX,UCLR)</f>
        <v>25.005650026489</v>
      </c>
      <c r="F34" s="30">
        <f>IF(1=1,COUNTIF(tblSamples[Signal],"Above UCL")+COUNTIF(tblSamples[Signal],"Below LCL"),COUNTIF(tblSamples[Signal],"Range above UCL"))</f>
        <v>1</v>
      </c>
    </row>
    <row r="35" spans="2:12">
      <c r="B35" s="50" t="s">
        <v>127</v>
      </c>
      <c r="C35" s="31">
        <f>IF(2=1,LCLX,LCLR)</f>
        <v>0</v>
      </c>
      <c r="D35" s="31">
        <f>IF(2=1,XBB,RBAR)</f>
        <v>0.00612000000000023</v>
      </c>
      <c r="E35" s="31">
        <f>IF(2=1,UCLX,UCLR)</f>
        <v>0.0129376800000005</v>
      </c>
      <c r="F35" s="30">
        <f>IF(2=1,COUNTIF(tblSamples[Signal],"Above UCL")+COUNTIF(tblSamples[Signal],"Below LCL"),COUNTIF(tblSamples[Signal],"Range above UCL"))</f>
        <v>0</v>
      </c>
    </row>
    <row r="37" spans="2:12">
      <c r="B37" s="34" t="s">
        <v>128</v>
      </c>
      <c r="C37" s="34"/>
      <c r="D37" s="34"/>
      <c r="E37" s="34"/>
      <c r="F37" s="34"/>
      <c r="G37" s="34"/>
      <c r="H37" s="34"/>
      <c r="I37" s="34"/>
      <c r="J37" s="34"/>
      <c r="K37" s="34"/>
      <c r="L37" s="34"/>
    </row>
    <row r="38" spans="2:12" ht="20" customHeight="1">
      <c r="B38" s="49" t="s">
        <v>97</v>
      </c>
      <c r="C38" s="36" t="s">
        <v>98</v>
      </c>
      <c r="D38" s="36" t="s">
        <v>104</v>
      </c>
      <c r="E38" s="36" t="s">
        <v>129</v>
      </c>
      <c r="F38" s="36" t="s">
        <v>124</v>
      </c>
      <c r="G38" s="36" t="s">
        <v>122</v>
      </c>
      <c r="H38" s="36" t="s">
        <v>105</v>
      </c>
      <c r="I38" s="36" t="s">
        <v>130</v>
      </c>
      <c r="J38" s="36" t="s">
        <v>131</v>
      </c>
      <c r="K38" s="36" t="s">
        <v>107</v>
      </c>
      <c r="L38" s="36"/>
    </row>
    <row r="39" spans="2:12">
      <c r="B39" s="51">
        <f>IF($B$40="","",IFERROR(LARGE(tblSamples[Subgroup no.],COUNTIF(tblSamples[Subgroup no.],"&gt;="&amp;$B$40)+1),""))</f>
        <v>1</v>
      </c>
      <c r="C39" s="52">
        <f>IF($B$39="","",INDEX(tblSamples[Date],MATCH($B$39,tblSamples[Subgroup no.],0)))</f>
        <v>46300</v>
      </c>
      <c r="D39" s="31">
        <f>IF($B$39="","",INDEX(tblSamples[Mean],MATCH($B$39,tblSamples[Subgroup no.],0)))</f>
        <v>25.0034</v>
      </c>
      <c r="E39" s="53">
        <f>XBB</f>
        <v>25.00212</v>
      </c>
      <c r="F39" s="53">
        <f>UCLX</f>
        <v>25.005650026489</v>
      </c>
      <c r="G39" s="53">
        <f>LCLX</f>
        <v>24.998589973511</v>
      </c>
      <c r="H39" s="31">
        <f>IF($B$39="","",INDEX(tblSamples[Range],MATCH($B$39,tblSamples[Subgroup no.],0)))</f>
        <v>0.00700000000000145</v>
      </c>
      <c r="I39" s="53">
        <f>RBAR</f>
        <v>0.00612000000000023</v>
      </c>
      <c r="J39" s="53">
        <f>UCLR</f>
        <v>0.0129376800000005</v>
      </c>
      <c r="K39" s="54" t="str">
        <f>IF($B$39="","",INDEX(tblSamples[Signal],MATCH($B$39,tblSamples[Subgroup no.],0)))</f>
        <v>In control</v>
      </c>
      <c r="L39" s="54"/>
    </row>
    <row r="40" spans="2:12">
      <c r="B40" s="51">
        <f>IF($B$41="","",IFERROR(LARGE(tblSamples[Subgroup no.],COUNTIF(tblSamples[Subgroup no.],"&gt;="&amp;$B$41)+1),""))</f>
        <v>2</v>
      </c>
      <c r="C40" s="52">
        <f>IF($B$40="","",INDEX(tblSamples[Date],MATCH($B$40,tblSamples[Subgroup no.],0)))</f>
        <v>46300</v>
      </c>
      <c r="D40" s="31">
        <f>IF($B$40="","",INDEX(tblSamples[Mean],MATCH($B$40,tblSamples[Subgroup no.],0)))</f>
        <v>25.0016</v>
      </c>
      <c r="E40" s="53">
        <f>XBB</f>
        <v>25.00212</v>
      </c>
      <c r="F40" s="53">
        <f>UCLX</f>
        <v>25.005650026489</v>
      </c>
      <c r="G40" s="53">
        <f>LCLX</f>
        <v>24.998589973511</v>
      </c>
      <c r="H40" s="31">
        <f>IF($B$40="","",INDEX(tblSamples[Range],MATCH($B$40,tblSamples[Subgroup no.],0)))</f>
        <v>0.00600000000000023</v>
      </c>
      <c r="I40" s="53">
        <f>RBAR</f>
        <v>0.00612000000000023</v>
      </c>
      <c r="J40" s="53">
        <f>UCLR</f>
        <v>0.0129376800000005</v>
      </c>
      <c r="K40" s="54" t="str">
        <f>IF($B$40="","",INDEX(tblSamples[Signal],MATCH($B$40,tblSamples[Subgroup no.],0)))</f>
        <v>In control</v>
      </c>
      <c r="L40" s="54"/>
    </row>
    <row r="41" spans="2:12">
      <c r="B41" s="51">
        <f>IF($B$42="","",IFERROR(LARGE(tblSamples[Subgroup no.],COUNTIF(tblSamples[Subgroup no.],"&gt;="&amp;$B$42)+1),""))</f>
        <v>3</v>
      </c>
      <c r="C41" s="52">
        <f>IF($B$41="","",INDEX(tblSamples[Date],MATCH($B$41,tblSamples[Subgroup no.],0)))</f>
        <v>46300</v>
      </c>
      <c r="D41" s="31">
        <f>IF($B$41="","",INDEX(tblSamples[Mean],MATCH($B$41,tblSamples[Subgroup no.],0)))</f>
        <v>25.0034</v>
      </c>
      <c r="E41" s="53">
        <f>XBB</f>
        <v>25.00212</v>
      </c>
      <c r="F41" s="53">
        <f>UCLX</f>
        <v>25.005650026489</v>
      </c>
      <c r="G41" s="53">
        <f>LCLX</f>
        <v>24.998589973511</v>
      </c>
      <c r="H41" s="31">
        <f>IF($B$41="","",INDEX(tblSamples[Range],MATCH($B$41,tblSamples[Subgroup no.],0)))</f>
        <v>0.00300000000000011</v>
      </c>
      <c r="I41" s="53">
        <f>RBAR</f>
        <v>0.00612000000000023</v>
      </c>
      <c r="J41" s="53">
        <f>UCLR</f>
        <v>0.0129376800000005</v>
      </c>
      <c r="K41" s="54" t="str">
        <f>IF($B$41="","",INDEX(tblSamples[Signal],MATCH($B$41,tblSamples[Subgroup no.],0)))</f>
        <v>In control</v>
      </c>
      <c r="L41" s="54"/>
    </row>
    <row r="42" spans="2:12">
      <c r="B42" s="51">
        <f>IF($B$43="","",IFERROR(LARGE(tblSamples[Subgroup no.],COUNTIF(tblSamples[Subgroup no.],"&gt;="&amp;$B$43)+1),""))</f>
        <v>4</v>
      </c>
      <c r="C42" s="52">
        <f>IF($B$42="","",INDEX(tblSamples[Date],MATCH($B$42,tblSamples[Subgroup no.],0)))</f>
        <v>46300</v>
      </c>
      <c r="D42" s="31">
        <f>IF($B$42="","",INDEX(tblSamples[Mean],MATCH($B$42,tblSamples[Subgroup no.],0)))</f>
        <v>25.0026</v>
      </c>
      <c r="E42" s="53">
        <f>XBB</f>
        <v>25.00212</v>
      </c>
      <c r="F42" s="53">
        <f>UCLX</f>
        <v>25.005650026489</v>
      </c>
      <c r="G42" s="53">
        <f>LCLX</f>
        <v>24.998589973511</v>
      </c>
      <c r="H42" s="31">
        <f>IF($B$42="","",INDEX(tblSamples[Range],MATCH($B$42,tblSamples[Subgroup no.],0)))</f>
        <v>0.00600000000000023</v>
      </c>
      <c r="I42" s="53">
        <f>RBAR</f>
        <v>0.00612000000000023</v>
      </c>
      <c r="J42" s="53">
        <f>UCLR</f>
        <v>0.0129376800000005</v>
      </c>
      <c r="K42" s="54" t="str">
        <f>IF($B$42="","",INDEX(tblSamples[Signal],MATCH($B$42,tblSamples[Subgroup no.],0)))</f>
        <v>In control</v>
      </c>
      <c r="L42" s="54"/>
    </row>
    <row r="43" spans="2:12">
      <c r="B43" s="51">
        <f>IF($B$44="","",IFERROR(LARGE(tblSamples[Subgroup no.],COUNTIF(tblSamples[Subgroup no.],"&gt;="&amp;$B$44)+1),""))</f>
        <v>5</v>
      </c>
      <c r="C43" s="52">
        <f>IF($B$43="","",INDEX(tblSamples[Date],MATCH($B$43,tblSamples[Subgroup no.],0)))</f>
        <v>46300</v>
      </c>
      <c r="D43" s="31">
        <f>IF($B$43="","",INDEX(tblSamples[Mean],MATCH($B$43,tblSamples[Subgroup no.],0)))</f>
        <v>25.0008</v>
      </c>
      <c r="E43" s="53">
        <f>XBB</f>
        <v>25.00212</v>
      </c>
      <c r="F43" s="53">
        <f>UCLX</f>
        <v>25.005650026489</v>
      </c>
      <c r="G43" s="53">
        <f>LCLX</f>
        <v>24.998589973511</v>
      </c>
      <c r="H43" s="31">
        <f>IF($B$43="","",INDEX(tblSamples[Range],MATCH($B$43,tblSamples[Subgroup no.],0)))</f>
        <v>0.00900000000000034</v>
      </c>
      <c r="I43" s="53">
        <f>RBAR</f>
        <v>0.00612000000000023</v>
      </c>
      <c r="J43" s="53">
        <f>UCLR</f>
        <v>0.0129376800000005</v>
      </c>
      <c r="K43" s="54" t="str">
        <f>IF($B$43="","",INDEX(tblSamples[Signal],MATCH($B$43,tblSamples[Subgroup no.],0)))</f>
        <v>In control</v>
      </c>
      <c r="L43" s="54"/>
    </row>
    <row r="44" spans="2:12">
      <c r="B44" s="51">
        <f>IF($B$45="","",IFERROR(LARGE(tblSamples[Subgroup no.],COUNTIF(tblSamples[Subgroup no.],"&gt;="&amp;$B$45)+1),""))</f>
        <v>6</v>
      </c>
      <c r="C44" s="52">
        <f>IF($B$44="","",INDEX(tblSamples[Date],MATCH($B$44,tblSamples[Subgroup no.],0)))</f>
        <v>46300</v>
      </c>
      <c r="D44" s="31">
        <f>IF($B$44="","",INDEX(tblSamples[Mean],MATCH($B$44,tblSamples[Subgroup no.],0)))</f>
        <v>25.0028</v>
      </c>
      <c r="E44" s="53">
        <f>XBB</f>
        <v>25.00212</v>
      </c>
      <c r="F44" s="53">
        <f>UCLX</f>
        <v>25.005650026489</v>
      </c>
      <c r="G44" s="53">
        <f>LCLX</f>
        <v>24.998589973511</v>
      </c>
      <c r="H44" s="31">
        <f>IF($B$44="","",INDEX(tblSamples[Range],MATCH($B$44,tblSamples[Subgroup no.],0)))</f>
        <v>0.00499999999999901</v>
      </c>
      <c r="I44" s="53">
        <f>RBAR</f>
        <v>0.00612000000000023</v>
      </c>
      <c r="J44" s="53">
        <f>UCLR</f>
        <v>0.0129376800000005</v>
      </c>
      <c r="K44" s="54" t="str">
        <f>IF($B$44="","",INDEX(tblSamples[Signal],MATCH($B$44,tblSamples[Subgroup no.],0)))</f>
        <v>In control</v>
      </c>
      <c r="L44" s="54"/>
    </row>
    <row r="45" spans="2:12">
      <c r="B45" s="51">
        <f>IF($B$46="","",IFERROR(LARGE(tblSamples[Subgroup no.],COUNTIF(tblSamples[Subgroup no.],"&gt;="&amp;$B$46)+1),""))</f>
        <v>7</v>
      </c>
      <c r="C45" s="52">
        <f>IF($B$45="","",INDEX(tblSamples[Date],MATCH($B$45,tblSamples[Subgroup no.],0)))</f>
        <v>46301</v>
      </c>
      <c r="D45" s="31">
        <f>IF($B$45="","",INDEX(tblSamples[Mean],MATCH($B$45,tblSamples[Subgroup no.],0)))</f>
        <v>25.0036</v>
      </c>
      <c r="E45" s="53">
        <f>XBB</f>
        <v>25.00212</v>
      </c>
      <c r="F45" s="53">
        <f>UCLX</f>
        <v>25.005650026489</v>
      </c>
      <c r="G45" s="53">
        <f>LCLX</f>
        <v>24.998589973511</v>
      </c>
      <c r="H45" s="31">
        <f>IF($B$45="","",INDEX(tblSamples[Range],MATCH($B$45,tblSamples[Subgroup no.],0)))</f>
        <v>0.00300000000000011</v>
      </c>
      <c r="I45" s="53">
        <f>RBAR</f>
        <v>0.00612000000000023</v>
      </c>
      <c r="J45" s="53">
        <f>UCLR</f>
        <v>0.0129376800000005</v>
      </c>
      <c r="K45" s="54" t="str">
        <f>IF($B$45="","",INDEX(tblSamples[Signal],MATCH($B$45,tblSamples[Subgroup no.],0)))</f>
        <v>In control</v>
      </c>
      <c r="L45" s="54"/>
    </row>
    <row r="46" spans="2:12">
      <c r="B46" s="51">
        <f>IF($B$47="","",IFERROR(LARGE(tblSamples[Subgroup no.],COUNTIF(tblSamples[Subgroup no.],"&gt;="&amp;$B$47)+1),""))</f>
        <v>8</v>
      </c>
      <c r="C46" s="52">
        <f>IF($B$46="","",INDEX(tblSamples[Date],MATCH($B$46,tblSamples[Subgroup no.],0)))</f>
        <v>46301</v>
      </c>
      <c r="D46" s="31">
        <f>IF($B$46="","",INDEX(tblSamples[Mean],MATCH($B$46,tblSamples[Subgroup no.],0)))</f>
        <v>25.0022</v>
      </c>
      <c r="E46" s="53">
        <f>XBB</f>
        <v>25.00212</v>
      </c>
      <c r="F46" s="53">
        <f>UCLX</f>
        <v>25.005650026489</v>
      </c>
      <c r="G46" s="53">
        <f>LCLX</f>
        <v>24.998589973511</v>
      </c>
      <c r="H46" s="31">
        <f>IF($B$46="","",INDEX(tblSamples[Range],MATCH($B$46,tblSamples[Subgroup no.],0)))</f>
        <v>0.0109999999999992</v>
      </c>
      <c r="I46" s="53">
        <f>RBAR</f>
        <v>0.00612000000000023</v>
      </c>
      <c r="J46" s="53">
        <f>UCLR</f>
        <v>0.0129376800000005</v>
      </c>
      <c r="K46" s="54" t="str">
        <f>IF($B$46="","",INDEX(tblSamples[Signal],MATCH($B$46,tblSamples[Subgroup no.],0)))</f>
        <v>In control</v>
      </c>
      <c r="L46" s="54"/>
    </row>
    <row r="47" spans="2:12">
      <c r="B47" s="51">
        <f>IF($B$48="","",IFERROR(LARGE(tblSamples[Subgroup no.],COUNTIF(tblSamples[Subgroup no.],"&gt;="&amp;$B$48)+1),""))</f>
        <v>9</v>
      </c>
      <c r="C47" s="52">
        <f>IF($B$47="","",INDEX(tblSamples[Date],MATCH($B$47,tblSamples[Subgroup no.],0)))</f>
        <v>46301</v>
      </c>
      <c r="D47" s="31">
        <f>IF($B$47="","",INDEX(tblSamples[Mean],MATCH($B$47,tblSamples[Subgroup no.],0)))</f>
        <v>25.0022</v>
      </c>
      <c r="E47" s="53">
        <f>XBB</f>
        <v>25.00212</v>
      </c>
      <c r="F47" s="53">
        <f>UCLX</f>
        <v>25.005650026489</v>
      </c>
      <c r="G47" s="53">
        <f>LCLX</f>
        <v>24.998589973511</v>
      </c>
      <c r="H47" s="31">
        <f>IF($B$47="","",INDEX(tblSamples[Range],MATCH($B$47,tblSamples[Subgroup no.],0)))</f>
        <v>0.00800000000000267</v>
      </c>
      <c r="I47" s="53">
        <f>RBAR</f>
        <v>0.00612000000000023</v>
      </c>
      <c r="J47" s="53">
        <f>UCLR</f>
        <v>0.0129376800000005</v>
      </c>
      <c r="K47" s="54" t="str">
        <f>IF($B$47="","",INDEX(tblSamples[Signal],MATCH($B$47,tblSamples[Subgroup no.],0)))</f>
        <v>In control</v>
      </c>
      <c r="L47" s="54"/>
    </row>
    <row r="48" spans="2:12">
      <c r="B48" s="51">
        <f>IF($B$49="","",IFERROR(LARGE(tblSamples[Subgroup no.],COUNTIF(tblSamples[Subgroup no.],"&gt;="&amp;$B$49)+1),""))</f>
        <v>10</v>
      </c>
      <c r="C48" s="52">
        <f>IF($B$48="","",INDEX(tblSamples[Date],MATCH($B$48,tblSamples[Subgroup no.],0)))</f>
        <v>46301</v>
      </c>
      <c r="D48" s="31">
        <f>IF($B$48="","",INDEX(tblSamples[Mean],MATCH($B$48,tblSamples[Subgroup no.],0)))</f>
        <v>25.0026</v>
      </c>
      <c r="E48" s="53">
        <f>XBB</f>
        <v>25.00212</v>
      </c>
      <c r="F48" s="53">
        <f>UCLX</f>
        <v>25.005650026489</v>
      </c>
      <c r="G48" s="53">
        <f>LCLX</f>
        <v>24.998589973511</v>
      </c>
      <c r="H48" s="31">
        <f>IF($B$48="","",INDEX(tblSamples[Range],MATCH($B$48,tblSamples[Subgroup no.],0)))</f>
        <v>0.00600000000000023</v>
      </c>
      <c r="I48" s="53">
        <f>RBAR</f>
        <v>0.00612000000000023</v>
      </c>
      <c r="J48" s="53">
        <f>UCLR</f>
        <v>0.0129376800000005</v>
      </c>
      <c r="K48" s="54" t="str">
        <f>IF($B$48="","",INDEX(tblSamples[Signal],MATCH($B$48,tblSamples[Subgroup no.],0)))</f>
        <v>In control</v>
      </c>
      <c r="L48" s="54"/>
    </row>
    <row r="49" spans="2:12">
      <c r="B49" s="51">
        <f>IF($B$50="","",IFERROR(LARGE(tblSamples[Subgroup no.],COUNTIF(tblSamples[Subgroup no.],"&gt;="&amp;$B$50)+1),""))</f>
        <v>11</v>
      </c>
      <c r="C49" s="52">
        <f>IF($B$49="","",INDEX(tblSamples[Date],MATCH($B$49,tblSamples[Subgroup no.],0)))</f>
        <v>46301</v>
      </c>
      <c r="D49" s="31">
        <f>IF($B$49="","",INDEX(tblSamples[Mean],MATCH($B$49,tblSamples[Subgroup no.],0)))</f>
        <v>25.0014</v>
      </c>
      <c r="E49" s="53">
        <f>XBB</f>
        <v>25.00212</v>
      </c>
      <c r="F49" s="53">
        <f>UCLX</f>
        <v>25.005650026489</v>
      </c>
      <c r="G49" s="53">
        <f>LCLX</f>
        <v>24.998589973511</v>
      </c>
      <c r="H49" s="31">
        <f>IF($B$49="","",INDEX(tblSamples[Range],MATCH($B$49,tblSamples[Subgroup no.],0)))</f>
        <v>0.00600000000000023</v>
      </c>
      <c r="I49" s="53">
        <f>RBAR</f>
        <v>0.00612000000000023</v>
      </c>
      <c r="J49" s="53">
        <f>UCLR</f>
        <v>0.0129376800000005</v>
      </c>
      <c r="K49" s="54" t="str">
        <f>IF($B$49="","",INDEX(tblSamples[Signal],MATCH($B$49,tblSamples[Subgroup no.],0)))</f>
        <v>In control</v>
      </c>
      <c r="L49" s="54"/>
    </row>
    <row r="50" spans="2:12">
      <c r="B50" s="51">
        <f>IF($B$51="","",IFERROR(LARGE(tblSamples[Subgroup no.],COUNTIF(tblSamples[Subgroup no.],"&gt;="&amp;$B$51)+1),""))</f>
        <v>12</v>
      </c>
      <c r="C50" s="52">
        <f>IF($B$50="","",INDEX(tblSamples[Date],MATCH($B$50,tblSamples[Subgroup no.],0)))</f>
        <v>46301</v>
      </c>
      <c r="D50" s="31">
        <f>IF($B$50="","",INDEX(tblSamples[Mean],MATCH($B$50,tblSamples[Subgroup no.],0)))</f>
        <v>25.0002</v>
      </c>
      <c r="E50" s="53">
        <f>XBB</f>
        <v>25.00212</v>
      </c>
      <c r="F50" s="53">
        <f>UCLX</f>
        <v>25.005650026489</v>
      </c>
      <c r="G50" s="53">
        <f>LCLX</f>
        <v>24.998589973511</v>
      </c>
      <c r="H50" s="31">
        <f>IF($B$50="","",INDEX(tblSamples[Range],MATCH($B$50,tblSamples[Subgroup no.],0)))</f>
        <v>0.00300000000000011</v>
      </c>
      <c r="I50" s="53">
        <f>RBAR</f>
        <v>0.00612000000000023</v>
      </c>
      <c r="J50" s="53">
        <f>UCLR</f>
        <v>0.0129376800000005</v>
      </c>
      <c r="K50" s="54" t="str">
        <f>IF($B$50="","",INDEX(tblSamples[Signal],MATCH($B$50,tblSamples[Subgroup no.],0)))</f>
        <v>In control</v>
      </c>
      <c r="L50" s="54"/>
    </row>
    <row r="51" spans="2:12">
      <c r="B51" s="51">
        <f>IF($B$52="","",IFERROR(LARGE(tblSamples[Subgroup no.],COUNTIF(tblSamples[Subgroup no.],"&gt;="&amp;$B$52)+1),""))</f>
        <v>13</v>
      </c>
      <c r="C51" s="52">
        <f>IF($B$51="","",INDEX(tblSamples[Date],MATCH($B$51,tblSamples[Subgroup no.],0)))</f>
        <v>46302</v>
      </c>
      <c r="D51" s="31">
        <f>IF($B$51="","",INDEX(tblSamples[Mean],MATCH($B$51,tblSamples[Subgroup no.],0)))</f>
        <v>25.0036</v>
      </c>
      <c r="E51" s="53">
        <f>XBB</f>
        <v>25.00212</v>
      </c>
      <c r="F51" s="53">
        <f>UCLX</f>
        <v>25.005650026489</v>
      </c>
      <c r="G51" s="53">
        <f>LCLX</f>
        <v>24.998589973511</v>
      </c>
      <c r="H51" s="31">
        <f>IF($B$51="","",INDEX(tblSamples[Range],MATCH($B$51,tblSamples[Subgroup no.],0)))</f>
        <v>0.00400000000000134</v>
      </c>
      <c r="I51" s="53">
        <f>RBAR</f>
        <v>0.00612000000000023</v>
      </c>
      <c r="J51" s="53">
        <f>UCLR</f>
        <v>0.0129376800000005</v>
      </c>
      <c r="K51" s="54" t="str">
        <f>IF($B$51="","",INDEX(tblSamples[Signal],MATCH($B$51,tblSamples[Subgroup no.],0)))</f>
        <v>In control</v>
      </c>
      <c r="L51" s="54"/>
    </row>
    <row r="52" spans="2:12">
      <c r="B52" s="51">
        <f>IF($B$53="","",IFERROR(LARGE(tblSamples[Subgroup no.],COUNTIF(tblSamples[Subgroup no.],"&gt;="&amp;$B$53)+1),""))</f>
        <v>14</v>
      </c>
      <c r="C52" s="52">
        <f>IF($B$52="","",INDEX(tblSamples[Date],MATCH($B$52,tblSamples[Subgroup no.],0)))</f>
        <v>46302</v>
      </c>
      <c r="D52" s="31">
        <f>IF($B$52="","",INDEX(tblSamples[Mean],MATCH($B$52,tblSamples[Subgroup no.],0)))</f>
        <v>25.0014</v>
      </c>
      <c r="E52" s="53">
        <f>XBB</f>
        <v>25.00212</v>
      </c>
      <c r="F52" s="53">
        <f>UCLX</f>
        <v>25.005650026489</v>
      </c>
      <c r="G52" s="53">
        <f>LCLX</f>
        <v>24.998589973511</v>
      </c>
      <c r="H52" s="31">
        <f>IF($B$52="","",INDEX(tblSamples[Range],MATCH($B$52,tblSamples[Subgroup no.],0)))</f>
        <v>0.00600000000000023</v>
      </c>
      <c r="I52" s="53">
        <f>RBAR</f>
        <v>0.00612000000000023</v>
      </c>
      <c r="J52" s="53">
        <f>UCLR</f>
        <v>0.0129376800000005</v>
      </c>
      <c r="K52" s="54" t="str">
        <f>IF($B$52="","",INDEX(tblSamples[Signal],MATCH($B$52,tblSamples[Subgroup no.],0)))</f>
        <v>In control</v>
      </c>
      <c r="L52" s="54"/>
    </row>
    <row r="53" spans="2:12">
      <c r="B53" s="51">
        <f>IF($B$54="","",IFERROR(LARGE(tblSamples[Subgroup no.],COUNTIF(tblSamples[Subgroup no.],"&gt;="&amp;$B$54)+1),""))</f>
        <v>15</v>
      </c>
      <c r="C53" s="52">
        <f>IF($B$53="","",INDEX(tblSamples[Date],MATCH($B$53,tblSamples[Subgroup no.],0)))</f>
        <v>46302</v>
      </c>
      <c r="D53" s="31">
        <f>IF($B$53="","",INDEX(tblSamples[Mean],MATCH($B$53,tblSamples[Subgroup no.],0)))</f>
        <v>25.0008</v>
      </c>
      <c r="E53" s="53">
        <f>XBB</f>
        <v>25.00212</v>
      </c>
      <c r="F53" s="53">
        <f>UCLX</f>
        <v>25.005650026489</v>
      </c>
      <c r="G53" s="53">
        <f>LCLX</f>
        <v>24.998589973511</v>
      </c>
      <c r="H53" s="31">
        <f>IF($B$53="","",INDEX(tblSamples[Range],MATCH($B$53,tblSamples[Subgroup no.],0)))</f>
        <v>0.00600000000000023</v>
      </c>
      <c r="I53" s="53">
        <f>RBAR</f>
        <v>0.00612000000000023</v>
      </c>
      <c r="J53" s="53">
        <f>UCLR</f>
        <v>0.0129376800000005</v>
      </c>
      <c r="K53" s="54" t="str">
        <f>IF($B$53="","",INDEX(tblSamples[Signal],MATCH($B$53,tblSamples[Subgroup no.],0)))</f>
        <v>In control</v>
      </c>
      <c r="L53" s="54"/>
    </row>
    <row r="54" spans="2:12">
      <c r="B54" s="51">
        <f>IF($B$55="","",IFERROR(LARGE(tblSamples[Subgroup no.],COUNTIF(tblSamples[Subgroup no.],"&gt;="&amp;$B$55)+1),""))</f>
        <v>16</v>
      </c>
      <c r="C54" s="52">
        <f>IF($B$54="","",INDEX(tblSamples[Date],MATCH($B$54,tblSamples[Subgroup no.],0)))</f>
        <v>46302</v>
      </c>
      <c r="D54" s="31">
        <f>IF($B$54="","",INDEX(tblSamples[Mean],MATCH($B$54,tblSamples[Subgroup no.],0)))</f>
        <v>25.001</v>
      </c>
      <c r="E54" s="53">
        <f>XBB</f>
        <v>25.00212</v>
      </c>
      <c r="F54" s="53">
        <f>UCLX</f>
        <v>25.005650026489</v>
      </c>
      <c r="G54" s="53">
        <f>LCLX</f>
        <v>24.998589973511</v>
      </c>
      <c r="H54" s="31">
        <f>IF($B$54="","",INDEX(tblSamples[Range],MATCH($B$54,tblSamples[Subgroup no.],0)))</f>
        <v>0.00500000000000256</v>
      </c>
      <c r="I54" s="53">
        <f>RBAR</f>
        <v>0.00612000000000023</v>
      </c>
      <c r="J54" s="53">
        <f>UCLR</f>
        <v>0.0129376800000005</v>
      </c>
      <c r="K54" s="54" t="str">
        <f>IF($B$54="","",INDEX(tblSamples[Signal],MATCH($B$54,tblSamples[Subgroup no.],0)))</f>
        <v>In control</v>
      </c>
      <c r="L54" s="54"/>
    </row>
    <row r="55" spans="2:12">
      <c r="B55" s="51">
        <f>IF($B$56="","",IFERROR(LARGE(tblSamples[Subgroup no.],COUNTIF(tblSamples[Subgroup no.],"&gt;="&amp;$B$56)+1),""))</f>
        <v>17</v>
      </c>
      <c r="C55" s="52">
        <f>IF($B$55="","",INDEX(tblSamples[Date],MATCH($B$55,tblSamples[Subgroup no.],0)))</f>
        <v>46302</v>
      </c>
      <c r="D55" s="31">
        <f>IF($B$55="","",INDEX(tblSamples[Mean],MATCH($B$55,tblSamples[Subgroup no.],0)))</f>
        <v>25.0018</v>
      </c>
      <c r="E55" s="53">
        <f>XBB</f>
        <v>25.00212</v>
      </c>
      <c r="F55" s="53">
        <f>UCLX</f>
        <v>25.005650026489</v>
      </c>
      <c r="G55" s="53">
        <f>LCLX</f>
        <v>24.998589973511</v>
      </c>
      <c r="H55" s="31">
        <f>IF($B$55="","",INDEX(tblSamples[Range],MATCH($B$55,tblSamples[Subgroup no.],0)))</f>
        <v>0.00799999999999912</v>
      </c>
      <c r="I55" s="53">
        <f>RBAR</f>
        <v>0.00612000000000023</v>
      </c>
      <c r="J55" s="53">
        <f>UCLR</f>
        <v>0.0129376800000005</v>
      </c>
      <c r="K55" s="54" t="str">
        <f>IF($B$55="","",INDEX(tblSamples[Signal],MATCH($B$55,tblSamples[Subgroup no.],0)))</f>
        <v>In control</v>
      </c>
      <c r="L55" s="54"/>
    </row>
    <row r="56" spans="2:12">
      <c r="B56" s="51">
        <f>IF($B$57="","",IFERROR(LARGE(tblSamples[Subgroup no.],COUNTIF(tblSamples[Subgroup no.],"&gt;="&amp;$B$57)+1),""))</f>
        <v>18</v>
      </c>
      <c r="C56" s="52">
        <f>IF($B$56="","",INDEX(tblSamples[Date],MATCH($B$56,tblSamples[Subgroup no.],0)))</f>
        <v>46302</v>
      </c>
      <c r="D56" s="31">
        <f>IF($B$56="","",INDEX(tblSamples[Mean],MATCH($B$56,tblSamples[Subgroup no.],0)))</f>
        <v>25.0018</v>
      </c>
      <c r="E56" s="53">
        <f>XBB</f>
        <v>25.00212</v>
      </c>
      <c r="F56" s="53">
        <f>UCLX</f>
        <v>25.005650026489</v>
      </c>
      <c r="G56" s="53">
        <f>LCLX</f>
        <v>24.998589973511</v>
      </c>
      <c r="H56" s="31">
        <f>IF($B$56="","",INDEX(tblSamples[Range],MATCH($B$56,tblSamples[Subgroup no.],0)))</f>
        <v>0.00400000000000134</v>
      </c>
      <c r="I56" s="53">
        <f>RBAR</f>
        <v>0.00612000000000023</v>
      </c>
      <c r="J56" s="53">
        <f>UCLR</f>
        <v>0.0129376800000005</v>
      </c>
      <c r="K56" s="54" t="str">
        <f>IF($B$56="","",INDEX(tblSamples[Signal],MATCH($B$56,tblSamples[Subgroup no.],0)))</f>
        <v>In control</v>
      </c>
      <c r="L56" s="54"/>
    </row>
    <row r="57" spans="2:12">
      <c r="B57" s="51">
        <f>IF($B$58="","",IFERROR(LARGE(tblSamples[Subgroup no.],COUNTIF(tblSamples[Subgroup no.],"&gt;="&amp;$B$58)+1),""))</f>
        <v>19</v>
      </c>
      <c r="C57" s="52">
        <f>IF($B$57="","",INDEX(tblSamples[Date],MATCH($B$57,tblSamples[Subgroup no.],0)))</f>
        <v>46303</v>
      </c>
      <c r="D57" s="31">
        <f>IF($B$57="","",INDEX(tblSamples[Mean],MATCH($B$57,tblSamples[Subgroup no.],0)))</f>
        <v>25.0012</v>
      </c>
      <c r="E57" s="53">
        <f>XBB</f>
        <v>25.00212</v>
      </c>
      <c r="F57" s="53">
        <f>UCLX</f>
        <v>25.005650026489</v>
      </c>
      <c r="G57" s="53">
        <f>LCLX</f>
        <v>24.998589973511</v>
      </c>
      <c r="H57" s="31">
        <f>IF($B$57="","",INDEX(tblSamples[Range],MATCH($B$57,tblSamples[Subgroup no.],0)))</f>
        <v>0.00499999999999901</v>
      </c>
      <c r="I57" s="53">
        <f>RBAR</f>
        <v>0.00612000000000023</v>
      </c>
      <c r="J57" s="53">
        <f>UCLR</f>
        <v>0.0129376800000005</v>
      </c>
      <c r="K57" s="54" t="str">
        <f>IF($B$57="","",INDEX(tblSamples[Signal],MATCH($B$57,tblSamples[Subgroup no.],0)))</f>
        <v>In control</v>
      </c>
      <c r="L57" s="54"/>
    </row>
    <row r="58" spans="2:12">
      <c r="B58" s="51">
        <f>IF($B$59="","",IFERROR(LARGE(tblSamples[Subgroup no.],COUNTIF(tblSamples[Subgroup no.],"&gt;="&amp;$B$59)+1),""))</f>
        <v>20</v>
      </c>
      <c r="C58" s="52">
        <f>IF($B$58="","",INDEX(tblSamples[Date],MATCH($B$58,tblSamples[Subgroup no.],0)))</f>
        <v>46303</v>
      </c>
      <c r="D58" s="31">
        <f>IF($B$58="","",INDEX(tblSamples[Mean],MATCH($B$58,tblSamples[Subgroup no.],0)))</f>
        <v>25.0034</v>
      </c>
      <c r="E58" s="53">
        <f>XBB</f>
        <v>25.00212</v>
      </c>
      <c r="F58" s="53">
        <f>UCLX</f>
        <v>25.005650026489</v>
      </c>
      <c r="G58" s="53">
        <f>LCLX</f>
        <v>24.998589973511</v>
      </c>
      <c r="H58" s="31">
        <f>IF($B$58="","",INDEX(tblSamples[Range],MATCH($B$58,tblSamples[Subgroup no.],0)))</f>
        <v>0.00900000000000034</v>
      </c>
      <c r="I58" s="53">
        <f>RBAR</f>
        <v>0.00612000000000023</v>
      </c>
      <c r="J58" s="53">
        <f>UCLR</f>
        <v>0.0129376800000005</v>
      </c>
      <c r="K58" s="54" t="str">
        <f>IF($B$58="","",INDEX(tblSamples[Signal],MATCH($B$58,tblSamples[Subgroup no.],0)))</f>
        <v>In control</v>
      </c>
      <c r="L58" s="54"/>
    </row>
    <row r="59" spans="2:12">
      <c r="B59" s="51">
        <f>IF($B$60="","",IFERROR(LARGE(tblSamples[Subgroup no.],COUNTIF(tblSamples[Subgroup no.],"&gt;="&amp;$B$60)+1),""))</f>
        <v>21</v>
      </c>
      <c r="C59" s="52">
        <f>IF($B$59="","",INDEX(tblSamples[Date],MATCH($B$59,tblSamples[Subgroup no.],0)))</f>
        <v>46303</v>
      </c>
      <c r="D59" s="31">
        <f>IF($B$59="","",INDEX(tblSamples[Mean],MATCH($B$59,tblSamples[Subgroup no.],0)))</f>
        <v>25.0038</v>
      </c>
      <c r="E59" s="53">
        <f>XBB</f>
        <v>25.00212</v>
      </c>
      <c r="F59" s="53">
        <f>UCLX</f>
        <v>25.005650026489</v>
      </c>
      <c r="G59" s="53">
        <f>LCLX</f>
        <v>24.998589973511</v>
      </c>
      <c r="H59" s="31">
        <f>IF($B$59="","",INDEX(tblSamples[Range],MATCH($B$59,tblSamples[Subgroup no.],0)))</f>
        <v>0.0069999999999979</v>
      </c>
      <c r="I59" s="53">
        <f>RBAR</f>
        <v>0.00612000000000023</v>
      </c>
      <c r="J59" s="53">
        <f>UCLR</f>
        <v>0.0129376800000005</v>
      </c>
      <c r="K59" s="54" t="str">
        <f>IF($B$59="","",INDEX(tblSamples[Signal],MATCH($B$59,tblSamples[Subgroup no.],0)))</f>
        <v>In control</v>
      </c>
      <c r="L59" s="54"/>
    </row>
    <row r="60" spans="2:12">
      <c r="B60" s="51">
        <f>IF($B$61="","",IFERROR(LARGE(tblSamples[Subgroup no.],COUNTIF(tblSamples[Subgroup no.],"&gt;="&amp;$B$61)+1),""))</f>
        <v>22</v>
      </c>
      <c r="C60" s="52">
        <f>IF($B$60="","",INDEX(tblSamples[Date],MATCH($B$60,tblSamples[Subgroup no.],0)))</f>
        <v>46303</v>
      </c>
      <c r="D60" s="31">
        <f>IF($B$60="","",INDEX(tblSamples[Mean],MATCH($B$60,tblSamples[Subgroup no.],0)))</f>
        <v>25.0026</v>
      </c>
      <c r="E60" s="53">
        <f>XBB</f>
        <v>25.00212</v>
      </c>
      <c r="F60" s="53">
        <f>UCLX</f>
        <v>25.005650026489</v>
      </c>
      <c r="G60" s="53">
        <f>LCLX</f>
        <v>24.998589973511</v>
      </c>
      <c r="H60" s="31">
        <f>IF($B$60="","",INDEX(tblSamples[Range],MATCH($B$60,tblSamples[Subgroup no.],0)))</f>
        <v>0.00300000000000011</v>
      </c>
      <c r="I60" s="53">
        <f>RBAR</f>
        <v>0.00612000000000023</v>
      </c>
      <c r="J60" s="53">
        <f>UCLR</f>
        <v>0.0129376800000005</v>
      </c>
      <c r="K60" s="54" t="str">
        <f>IF($B$60="","",INDEX(tblSamples[Signal],MATCH($B$60,tblSamples[Subgroup no.],0)))</f>
        <v>In control</v>
      </c>
      <c r="L60" s="54"/>
    </row>
    <row r="61" spans="2:12">
      <c r="B61" s="51">
        <f>IF($B$62="","",IFERROR(LARGE(tblSamples[Subgroup no.],COUNTIF(tblSamples[Subgroup no.],"&gt;="&amp;$B$62)+1),""))</f>
        <v>23</v>
      </c>
      <c r="C61" s="52">
        <f>IF($B$61="","",INDEX(tblSamples[Date],MATCH($B$61,tblSamples[Subgroup no.],0)))</f>
        <v>46303</v>
      </c>
      <c r="D61" s="31">
        <f>IF($B$61="","",INDEX(tblSamples[Mean],MATCH($B$61,tblSamples[Subgroup no.],0)))</f>
        <v>25.0002</v>
      </c>
      <c r="E61" s="53">
        <f>XBB</f>
        <v>25.00212</v>
      </c>
      <c r="F61" s="53">
        <f>UCLX</f>
        <v>25.005650026489</v>
      </c>
      <c r="G61" s="53">
        <f>LCLX</f>
        <v>24.998589973511</v>
      </c>
      <c r="H61" s="31">
        <f>IF($B$61="","",INDEX(tblSamples[Range],MATCH($B$61,tblSamples[Subgroup no.],0)))</f>
        <v>0.00499999999999901</v>
      </c>
      <c r="I61" s="53">
        <f>RBAR</f>
        <v>0.00612000000000023</v>
      </c>
      <c r="J61" s="53">
        <f>UCLR</f>
        <v>0.0129376800000005</v>
      </c>
      <c r="K61" s="54" t="str">
        <f>IF($B$61="","",INDEX(tblSamples[Signal],MATCH($B$61,tblSamples[Subgroup no.],0)))</f>
        <v>In control</v>
      </c>
      <c r="L61" s="54"/>
    </row>
    <row r="62" spans="2:12">
      <c r="B62" s="51">
        <f>IF($B$63="","",IFERROR(LARGE(tblSamples[Subgroup no.],COUNTIF(tblSamples[Subgroup no.],"&gt;="&amp;$B$63)+1),""))</f>
        <v>24</v>
      </c>
      <c r="C62" s="52">
        <f>IF($B$62="","",INDEX(tblSamples[Date],MATCH($B$62,tblSamples[Subgroup no.],0)))</f>
        <v>46303</v>
      </c>
      <c r="D62" s="31">
        <f>IF($B$62="","",INDEX(tblSamples[Mean],MATCH($B$62,tblSamples[Subgroup no.],0)))</f>
        <v>25.0028</v>
      </c>
      <c r="E62" s="53">
        <f>XBB</f>
        <v>25.00212</v>
      </c>
      <c r="F62" s="53">
        <f>UCLX</f>
        <v>25.005650026489</v>
      </c>
      <c r="G62" s="53">
        <f>LCLX</f>
        <v>24.998589973511</v>
      </c>
      <c r="H62" s="31">
        <f>IF($B$62="","",INDEX(tblSamples[Range],MATCH($B$62,tblSamples[Subgroup no.],0)))</f>
        <v>0.0100000000000016</v>
      </c>
      <c r="I62" s="53">
        <f>RBAR</f>
        <v>0.00612000000000023</v>
      </c>
      <c r="J62" s="53">
        <f>UCLR</f>
        <v>0.0129376800000005</v>
      </c>
      <c r="K62" s="54" t="str">
        <f>IF($B$62="","",INDEX(tblSamples[Signal],MATCH($B$62,tblSamples[Subgroup no.],0)))</f>
        <v>In control</v>
      </c>
      <c r="L62" s="54"/>
    </row>
    <row r="63" spans="2:12">
      <c r="B63" s="51">
        <f>IF($B$64="","",IFERROR(LARGE(tblSamples[Subgroup no.],COUNTIF(tblSamples[Subgroup no.],"&gt;="&amp;$B$64)+1),""))</f>
        <v>25</v>
      </c>
      <c r="C63" s="52">
        <f>IF($B$63="","",INDEX(tblSamples[Date],MATCH($B$63,tblSamples[Subgroup no.],0)))</f>
        <v>46304</v>
      </c>
      <c r="D63" s="31">
        <f>IF($B$63="","",INDEX(tblSamples[Mean],MATCH($B$63,tblSamples[Subgroup no.],0)))</f>
        <v>25.0018</v>
      </c>
      <c r="E63" s="53">
        <f>XBB</f>
        <v>25.00212</v>
      </c>
      <c r="F63" s="53">
        <f>UCLX</f>
        <v>25.005650026489</v>
      </c>
      <c r="G63" s="53">
        <f>LCLX</f>
        <v>24.998589973511</v>
      </c>
      <c r="H63" s="31">
        <f>IF($B$63="","",INDEX(tblSamples[Range],MATCH($B$63,tblSamples[Subgroup no.],0)))</f>
        <v>0.00799999999999912</v>
      </c>
      <c r="I63" s="53">
        <f>RBAR</f>
        <v>0.00612000000000023</v>
      </c>
      <c r="J63" s="53">
        <f>UCLR</f>
        <v>0.0129376800000005</v>
      </c>
      <c r="K63" s="54" t="str">
        <f>IF($B$63="","",INDEX(tblSamples[Signal],MATCH($B$63,tblSamples[Subgroup no.],0)))</f>
        <v>In control</v>
      </c>
      <c r="L63" s="54"/>
    </row>
    <row r="64" spans="2:12">
      <c r="B64" s="51">
        <f>IF($B$65="","",IFERROR(LARGE(tblSamples[Subgroup no.],COUNTIF(tblSamples[Subgroup no.],"&gt;="&amp;$B$65)+1),""))</f>
        <v>26</v>
      </c>
      <c r="C64" s="52">
        <f>IF($B$64="","",INDEX(tblSamples[Date],MATCH($B$64,tblSamples[Subgroup no.],0)))</f>
        <v>46304</v>
      </c>
      <c r="D64" s="31">
        <f>IF($B$64="","",INDEX(tblSamples[Mean],MATCH($B$64,tblSamples[Subgroup no.],0)))</f>
        <v>25.0022</v>
      </c>
      <c r="E64" s="53">
        <f>XBB</f>
        <v>25.00212</v>
      </c>
      <c r="F64" s="53">
        <f>UCLX</f>
        <v>25.005650026489</v>
      </c>
      <c r="G64" s="53">
        <f>LCLX</f>
        <v>24.998589973511</v>
      </c>
      <c r="H64" s="31">
        <f>IF($B$64="","",INDEX(tblSamples[Range],MATCH($B$64,tblSamples[Subgroup no.],0)))</f>
        <v>0.00999999999999801</v>
      </c>
      <c r="I64" s="53">
        <f>RBAR</f>
        <v>0.00612000000000023</v>
      </c>
      <c r="J64" s="53">
        <f>UCLR</f>
        <v>0.0129376800000005</v>
      </c>
      <c r="K64" s="54" t="str">
        <f>IF($B$64="","",INDEX(tblSamples[Signal],MATCH($B$64,tblSamples[Subgroup no.],0)))</f>
        <v>In control</v>
      </c>
      <c r="L64" s="54"/>
    </row>
    <row r="65" spans="2:12">
      <c r="B65" s="51">
        <f>IF($B$66="","",IFERROR(LARGE(tblSamples[Subgroup no.],COUNTIF(tblSamples[Subgroup no.],"&gt;="&amp;$B$66)+1),""))</f>
        <v>27</v>
      </c>
      <c r="C65" s="52">
        <f>IF($B$65="","",INDEX(tblSamples[Date],MATCH($B$65,tblSamples[Subgroup no.],0)))</f>
        <v>46304</v>
      </c>
      <c r="D65" s="31">
        <f>IF($B$65="","",INDEX(tblSamples[Mean],MATCH($B$65,tblSamples[Subgroup no.],0)))</f>
        <v>25.004</v>
      </c>
      <c r="E65" s="53">
        <f>XBB</f>
        <v>25.00212</v>
      </c>
      <c r="F65" s="53">
        <f>UCLX</f>
        <v>25.005650026489</v>
      </c>
      <c r="G65" s="53">
        <f>LCLX</f>
        <v>24.998589973511</v>
      </c>
      <c r="H65" s="31">
        <f>IF($B$65="","",INDEX(tblSamples[Range],MATCH($B$65,tblSamples[Subgroup no.],0)))</f>
        <v>0.00900000000000034</v>
      </c>
      <c r="I65" s="53">
        <f>RBAR</f>
        <v>0.00612000000000023</v>
      </c>
      <c r="J65" s="53">
        <f>UCLR</f>
        <v>0.0129376800000005</v>
      </c>
      <c r="K65" s="54" t="str">
        <f>IF($B$65="","",INDEX(tblSamples[Signal],MATCH($B$65,tblSamples[Subgroup no.],0)))</f>
        <v>In control</v>
      </c>
      <c r="L65" s="54"/>
    </row>
    <row r="66" spans="2:12">
      <c r="B66" s="51">
        <f>IF($B$67="","",IFERROR(LARGE(tblSamples[Subgroup no.],COUNTIF(tblSamples[Subgroup no.],"&gt;="&amp;$B$67)+1),""))</f>
        <v>28</v>
      </c>
      <c r="C66" s="52">
        <f>IF($B$66="","",INDEX(tblSamples[Date],MATCH($B$66,tblSamples[Subgroup no.],0)))</f>
        <v>46304</v>
      </c>
      <c r="D66" s="31">
        <f>IF($B$66="","",INDEX(tblSamples[Mean],MATCH($B$66,tblSamples[Subgroup no.],0)))</f>
        <v>25.0062</v>
      </c>
      <c r="E66" s="53">
        <f>XBB</f>
        <v>25.00212</v>
      </c>
      <c r="F66" s="53">
        <f>UCLX</f>
        <v>25.005650026489</v>
      </c>
      <c r="G66" s="53">
        <f>LCLX</f>
        <v>24.998589973511</v>
      </c>
      <c r="H66" s="31">
        <f>IF($B$66="","",INDEX(tblSamples[Range],MATCH($B$66,tblSamples[Subgroup no.],0)))</f>
        <v>0.0110000000000028</v>
      </c>
      <c r="I66" s="53">
        <f>RBAR</f>
        <v>0.00612000000000023</v>
      </c>
      <c r="J66" s="53">
        <f>UCLR</f>
        <v>0.0129376800000005</v>
      </c>
      <c r="K66" s="54" t="str">
        <f>IF($B$66="","",INDEX(tblSamples[Signal],MATCH($B$66,tblSamples[Subgroup no.],0)))</f>
        <v>Above UCL</v>
      </c>
      <c r="L66" s="54"/>
    </row>
    <row r="67" spans="2:12">
      <c r="B67" s="51">
        <f>IF($B$68="","",IFERROR(LARGE(tblSamples[Subgroup no.],COUNTIF(tblSamples[Subgroup no.],"&gt;="&amp;$B$68)+1),""))</f>
        <v>29</v>
      </c>
      <c r="C67" s="52">
        <f>IF($B$67="","",INDEX(tblSamples[Date],MATCH($B$67,tblSamples[Subgroup no.],0)))</f>
        <v>46304</v>
      </c>
      <c r="D67" s="31">
        <f>IF($B$67="","",INDEX(tblSamples[Mean],MATCH($B$67,tblSamples[Subgroup no.],0)))</f>
        <v>25.0024</v>
      </c>
      <c r="E67" s="53">
        <f>XBB</f>
        <v>25.00212</v>
      </c>
      <c r="F67" s="53">
        <f>UCLX</f>
        <v>25.005650026489</v>
      </c>
      <c r="G67" s="53">
        <f>LCLX</f>
        <v>24.998589973511</v>
      </c>
      <c r="H67" s="31">
        <f>IF($B$67="","",INDEX(tblSamples[Range],MATCH($B$67,tblSamples[Subgroup no.],0)))</f>
        <v>0.00499999999999901</v>
      </c>
      <c r="I67" s="53">
        <f>RBAR</f>
        <v>0.00612000000000023</v>
      </c>
      <c r="J67" s="53">
        <f>UCLR</f>
        <v>0.0129376800000005</v>
      </c>
      <c r="K67" s="54" t="str">
        <f>IF($B$67="","",INDEX(tblSamples[Signal],MATCH($B$67,tblSamples[Subgroup no.],0)))</f>
        <v>In control</v>
      </c>
      <c r="L67" s="54"/>
    </row>
    <row r="68" spans="2:12">
      <c r="B68" s="51">
        <f>IF(COUNT(tblSamples[Subgroup no.])=0,"",MAX(tblSamples[Subgroup no.]))</f>
        <v>30</v>
      </c>
      <c r="C68" s="52">
        <f>IF($B$68="","",INDEX(tblSamples[Date],MATCH($B$68,tblSamples[Subgroup no.],0)))</f>
        <v>46304</v>
      </c>
      <c r="D68" s="31">
        <f>IF($B$68="","",INDEX(tblSamples[Mean],MATCH($B$68,tblSamples[Subgroup no.],0)))</f>
        <v>25.0018</v>
      </c>
      <c r="E68" s="53">
        <f>XBB</f>
        <v>25.00212</v>
      </c>
      <c r="F68" s="53">
        <f>UCLX</f>
        <v>25.005650026489</v>
      </c>
      <c r="G68" s="53">
        <f>LCLX</f>
        <v>24.998589973511</v>
      </c>
      <c r="H68" s="31">
        <f>IF($B$68="","",INDEX(tblSamples[Range],MATCH($B$68,tblSamples[Subgroup no.],0)))</f>
        <v>0.00900000000000034</v>
      </c>
      <c r="I68" s="53">
        <f>RBAR</f>
        <v>0.00612000000000023</v>
      </c>
      <c r="J68" s="53">
        <f>UCLR</f>
        <v>0.0129376800000005</v>
      </c>
      <c r="K68" s="54" t="str">
        <f>IF($B$68="","",INDEX(tblSamples[Signal],MATCH($B$68,tblSamples[Subgroup no.],0)))</f>
        <v>In control</v>
      </c>
      <c r="L68" s="54"/>
    </row>
    <row r="70" spans="2:12" ht="26.76" customHeight="1">
      <c r="B70" s="21" t="s">
        <v>132</v>
      </c>
      <c r="C70" s="21"/>
      <c r="D70" s="21"/>
      <c r="E70" s="21"/>
      <c r="F70" s="21"/>
      <c r="G70" s="21"/>
      <c r="H70" s="21"/>
      <c r="I70" s="21"/>
      <c r="J70" s="21"/>
      <c r="K70" s="21"/>
      <c r="L70" s="21"/>
    </row>
  </sheetData>
  <sheetProtection sheet="1" formatColumns="0" formatRows="0"/>
  <mergeCells count="54">
    <mergeCell ref="A1:L1"/>
    <mergeCell ref="B2:J2"/>
    <mergeCell ref="K2:L2"/>
    <mergeCell ref="B4:L4"/>
    <mergeCell ref="B5:C5"/>
    <mergeCell ref="B6:C7"/>
    <mergeCell ref="B8:C8"/>
    <mergeCell ref="B9:C9"/>
    <mergeCell ref="D5:F5"/>
    <mergeCell ref="D6:F7"/>
    <mergeCell ref="D8:F8"/>
    <mergeCell ref="D9:F9"/>
    <mergeCell ref="G5:I5"/>
    <mergeCell ref="G6:I7"/>
    <mergeCell ref="G8:I8"/>
    <mergeCell ref="G9:I9"/>
    <mergeCell ref="J5:L5"/>
    <mergeCell ref="J6:L7"/>
    <mergeCell ref="J8:L8"/>
    <mergeCell ref="J9:L9"/>
    <mergeCell ref="B31:F31"/>
    <mergeCell ref="B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5:L55"/>
    <mergeCell ref="K56:L56"/>
    <mergeCell ref="K57:L57"/>
    <mergeCell ref="K58:L58"/>
    <mergeCell ref="K59:L59"/>
    <mergeCell ref="K60:L60"/>
    <mergeCell ref="K61:L61"/>
    <mergeCell ref="K62:L62"/>
    <mergeCell ref="K63:L63"/>
    <mergeCell ref="K64:L64"/>
    <mergeCell ref="K65:L65"/>
    <mergeCell ref="K66:L66"/>
    <mergeCell ref="K67:L67"/>
    <mergeCell ref="K68:L68"/>
    <mergeCell ref="B70:L70"/>
  </mergeCells>
  <conditionalFormatting sqref="B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39:K68">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SPC X-bar and R Control Chart&amp;R&amp;8&amp;A</oddHeader>
    <oddFooter>&amp;L&amp;8mfgcalcs.com - free manufacturing templates&amp;R&amp;8Page &amp;P of &amp;N</oddFooter>
  </headerFooter>
  <rowBreaks count="1" manualBreakCount="1">
    <brk id="29"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133</v>
      </c>
      <c r="C4" s="8"/>
      <c r="D4" s="8"/>
    </row>
    <row r="5" spans="1:4" ht="5" customHeight="1"/>
    <row r="6" spans="1:4" ht="55.8" customHeight="1">
      <c r="B6" s="10" t="s">
        <v>134</v>
      </c>
      <c r="C6" s="10"/>
      <c r="D6" s="10"/>
    </row>
    <row r="8" spans="1:4" ht="21" customHeight="1">
      <c r="B8" s="8" t="s">
        <v>135</v>
      </c>
      <c r="C8" s="8"/>
      <c r="D8" s="8"/>
    </row>
    <row r="9" spans="1:4" ht="5" customHeight="1"/>
    <row r="10" spans="1:4" ht="20" customHeight="1">
      <c r="B10" s="49" t="s">
        <v>136</v>
      </c>
      <c r="C10" s="49" t="s">
        <v>137</v>
      </c>
      <c r="D10" s="36" t="s">
        <v>138</v>
      </c>
    </row>
    <row r="11" spans="1:4" ht="30.4" customHeight="1">
      <c r="B11" s="55" t="s">
        <v>104</v>
      </c>
      <c r="C11" s="56" t="s">
        <v>139</v>
      </c>
      <c r="D11" s="57" t="s">
        <v>140</v>
      </c>
    </row>
    <row r="12" spans="1:4" ht="17.2" customHeight="1">
      <c r="B12" s="55" t="s">
        <v>105</v>
      </c>
      <c r="C12" s="56" t="s">
        <v>141</v>
      </c>
      <c r="D12" s="57" t="s">
        <v>140</v>
      </c>
    </row>
    <row r="13" spans="1:4" ht="30.4" customHeight="1">
      <c r="B13" s="55" t="s">
        <v>142</v>
      </c>
      <c r="C13" s="56" t="s">
        <v>143</v>
      </c>
      <c r="D13" s="57" t="s">
        <v>77</v>
      </c>
    </row>
    <row r="14" spans="1:4" ht="17.2" customHeight="1">
      <c r="B14" s="55" t="s">
        <v>85</v>
      </c>
      <c r="C14" s="56" t="s">
        <v>144</v>
      </c>
      <c r="D14" s="57" t="s">
        <v>140</v>
      </c>
    </row>
    <row r="15" spans="1:4" ht="17.2" customHeight="1">
      <c r="B15" s="55" t="s">
        <v>86</v>
      </c>
      <c r="C15" s="56" t="s">
        <v>145</v>
      </c>
      <c r="D15" s="57" t="s">
        <v>140</v>
      </c>
    </row>
    <row r="16" spans="1:4" ht="17.2" customHeight="1">
      <c r="B16" s="55" t="s">
        <v>146</v>
      </c>
      <c r="C16" s="56" t="s">
        <v>147</v>
      </c>
      <c r="D16" s="57" t="s">
        <v>140</v>
      </c>
    </row>
    <row r="17" spans="2:4" ht="30.4" customHeight="1">
      <c r="B17" s="55" t="s">
        <v>148</v>
      </c>
      <c r="C17" s="56" t="s">
        <v>149</v>
      </c>
      <c r="D17" s="57" t="s">
        <v>140</v>
      </c>
    </row>
    <row r="18" spans="2:4" ht="30.4" customHeight="1">
      <c r="B18" s="55" t="s">
        <v>150</v>
      </c>
      <c r="C18" s="56" t="s">
        <v>151</v>
      </c>
      <c r="D18" s="57" t="s">
        <v>140</v>
      </c>
    </row>
    <row r="19" spans="2:4" ht="17.2" customHeight="1">
      <c r="B19" s="55" t="s">
        <v>106</v>
      </c>
      <c r="C19" s="56" t="s">
        <v>152</v>
      </c>
      <c r="D19" s="57" t="s">
        <v>110</v>
      </c>
    </row>
    <row r="20" spans="2:4" ht="43.6" customHeight="1">
      <c r="B20" s="55" t="s">
        <v>107</v>
      </c>
      <c r="C20" s="56" t="s">
        <v>153</v>
      </c>
      <c r="D20" s="57" t="s">
        <v>154</v>
      </c>
    </row>
    <row r="21" spans="2:4" ht="17.2" customHeight="1">
      <c r="B21" s="55" t="s">
        <v>155</v>
      </c>
      <c r="C21" s="56" t="s">
        <v>156</v>
      </c>
      <c r="D21" s="57" t="s">
        <v>77</v>
      </c>
    </row>
    <row r="23" spans="2:4" ht="21" customHeight="1">
      <c r="B23" s="8" t="s">
        <v>157</v>
      </c>
      <c r="C23" s="8"/>
      <c r="D23" s="8"/>
    </row>
    <row r="24" spans="2:4" ht="5" customHeight="1"/>
    <row r="25" spans="2:4" ht="29.4" customHeight="1">
      <c r="B25" s="26" t="s">
        <v>55</v>
      </c>
      <c r="C25" s="10" t="s">
        <v>158</v>
      </c>
      <c r="D25" s="10"/>
    </row>
    <row r="26" spans="2:4" ht="29.4" customHeight="1">
      <c r="B26" s="26" t="s">
        <v>55</v>
      </c>
      <c r="C26" s="10" t="s">
        <v>159</v>
      </c>
      <c r="D26" s="10"/>
    </row>
    <row r="27" spans="2:4" ht="16.2" customHeight="1">
      <c r="B27" s="26" t="s">
        <v>55</v>
      </c>
      <c r="C27" s="10" t="s">
        <v>160</v>
      </c>
      <c r="D27" s="10"/>
    </row>
    <row r="28" spans="2:4" ht="29.4" customHeight="1">
      <c r="B28" s="26" t="s">
        <v>55</v>
      </c>
      <c r="C28" s="10" t="s">
        <v>161</v>
      </c>
      <c r="D28" s="10"/>
    </row>
    <row r="30" spans="2:4" ht="21" customHeight="1">
      <c r="B30" s="8" t="s">
        <v>162</v>
      </c>
      <c r="C30" s="8"/>
      <c r="D30" s="8"/>
    </row>
    <row r="31" spans="2:4" ht="5" customHeight="1"/>
    <row r="32" spans="2:4" ht="16.2" customHeight="1">
      <c r="B32" s="26" t="s">
        <v>55</v>
      </c>
      <c r="C32" s="10" t="s">
        <v>163</v>
      </c>
      <c r="D32" s="10"/>
    </row>
    <row r="33" spans="2:4" ht="29.4" customHeight="1">
      <c r="B33" s="26" t="s">
        <v>55</v>
      </c>
      <c r="C33" s="10" t="s">
        <v>164</v>
      </c>
      <c r="D33" s="10"/>
    </row>
    <row r="34" spans="2:4" ht="29.4" customHeight="1">
      <c r="B34" s="26" t="s">
        <v>55</v>
      </c>
      <c r="C34" s="10" t="s">
        <v>165</v>
      </c>
      <c r="D34" s="10"/>
    </row>
    <row r="35" spans="2:4" ht="16.2" customHeight="1">
      <c r="B35" s="26" t="s">
        <v>55</v>
      </c>
      <c r="C35" s="10" t="s">
        <v>166</v>
      </c>
      <c r="D35" s="10"/>
    </row>
    <row r="37" spans="2:4" ht="21" customHeight="1">
      <c r="B37" s="8" t="s">
        <v>167</v>
      </c>
      <c r="C37" s="8"/>
      <c r="D37" s="8"/>
    </row>
    <row r="38" spans="2:4" ht="5" customHeight="1"/>
    <row r="39" spans="2:4" ht="55.8" customHeight="1">
      <c r="B39" s="10" t="s">
        <v>168</v>
      </c>
      <c r="C39" s="10"/>
      <c r="D39" s="10"/>
    </row>
    <row r="40" spans="2:4">
      <c r="B40" s="24" t="s">
        <v>169</v>
      </c>
      <c r="C40" s="24"/>
      <c r="D40" s="24"/>
    </row>
    <row r="42" spans="2:4" ht="21" customHeight="1">
      <c r="B42" s="8" t="s">
        <v>42</v>
      </c>
      <c r="C42" s="8"/>
      <c r="D42" s="8"/>
    </row>
    <row r="43" spans="2:4" ht="5" customHeight="1"/>
    <row r="44" spans="2:4" ht="42.6" customHeight="1">
      <c r="B44" s="10" t="s">
        <v>170</v>
      </c>
      <c r="C44" s="10"/>
      <c r="D44" s="10"/>
    </row>
    <row r="46" spans="2:4" ht="21" customHeight="1">
      <c r="B46" s="8" t="s">
        <v>171</v>
      </c>
      <c r="C46" s="8"/>
      <c r="D46" s="8"/>
    </row>
    <row r="47" spans="2:4" ht="5" customHeight="1"/>
    <row r="48" spans="2:4" ht="29.4" customHeight="1">
      <c r="B48" s="26" t="s">
        <v>55</v>
      </c>
      <c r="C48" s="10" t="s">
        <v>172</v>
      </c>
      <c r="D48" s="10"/>
    </row>
    <row r="49" spans="2:4" ht="29.4" customHeight="1">
      <c r="B49" s="26" t="s">
        <v>55</v>
      </c>
      <c r="C49" s="10" t="s">
        <v>173</v>
      </c>
      <c r="D49" s="10"/>
    </row>
    <row r="50" spans="2:4" ht="16.2" customHeight="1">
      <c r="B50" s="26" t="s">
        <v>55</v>
      </c>
      <c r="C50" s="10" t="s">
        <v>174</v>
      </c>
      <c r="D50" s="10"/>
    </row>
    <row r="51" spans="2:4" ht="29.4" customHeight="1">
      <c r="B51" s="26" t="s">
        <v>55</v>
      </c>
      <c r="C51" s="10" t="s">
        <v>175</v>
      </c>
      <c r="D51" s="10"/>
    </row>
    <row r="52" spans="2:4">
      <c r="B52" s="21" t="s">
        <v>176</v>
      </c>
      <c r="C52" s="21"/>
      <c r="D52" s="21"/>
    </row>
    <row r="54" spans="2:4" ht="21" customHeight="1">
      <c r="B54" s="8" t="s">
        <v>177</v>
      </c>
      <c r="C54" s="8"/>
      <c r="D54" s="8"/>
    </row>
    <row r="55" spans="2:4" ht="5" customHeight="1"/>
    <row r="56" spans="2:4">
      <c r="B56" s="49" t="s">
        <v>50</v>
      </c>
      <c r="C56" s="49" t="s">
        <v>178</v>
      </c>
      <c r="D56" s="36" t="s">
        <v>98</v>
      </c>
    </row>
    <row r="57" spans="2:4" ht="16.2" customHeight="1">
      <c r="B57" s="58" t="s">
        <v>179</v>
      </c>
      <c r="C57" s="59" t="s">
        <v>180</v>
      </c>
      <c r="D57" s="60" t="s">
        <v>181</v>
      </c>
    </row>
    <row r="59" spans="2:4">
      <c r="B59" s="21" t="s">
        <v>61</v>
      </c>
      <c r="C59" s="21"/>
      <c r="D59" s="21"/>
    </row>
  </sheetData>
  <sheetProtection sheet="1" formatColumns="0" formatRows="0"/>
  <mergeCells count="28">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C51:D51"/>
    <mergeCell ref="B52:D52"/>
    <mergeCell ref="B54:D54"/>
    <mergeCell ref="B59:D59"/>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SPC X-bar and R Control Chart&amp;R&amp;8&amp;A</oddHeader>
    <oddFooter>&amp;L&amp;8mfgcalcs.com - free manufacturing templates&amp;R&amp;8Page &amp;P of &amp;N</oddFooter>
  </headerFooter>
  <rowBreaks count="1" manualBreakCount="1">
    <brk id="29"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M64"/>
  <sheetViews>
    <sheetView showGridLines="0" workbookViewId="0"/>
  </sheetViews>
  <sheetFormatPr defaultRowHeight="15"/>
  <cols>
    <col min="1" max="1" width="2.7109375" customWidth="1"/>
    <col min="2" max="19" width="12.7109375" customWidth="1"/>
  </cols>
  <sheetData>
    <row r="1" spans="1:13" ht="30" customHeight="1">
      <c r="A1" s="1" t="s">
        <v>0</v>
      </c>
      <c r="B1" s="1"/>
      <c r="C1" s="1"/>
      <c r="D1" s="1"/>
      <c r="E1" s="1"/>
      <c r="F1" s="1"/>
      <c r="G1" s="1"/>
      <c r="H1" s="1"/>
      <c r="I1" s="1"/>
      <c r="J1" s="1"/>
      <c r="K1" s="1"/>
      <c r="L1" s="1"/>
      <c r="M1" s="1"/>
    </row>
    <row r="2" spans="1:13" ht="21" customHeight="1">
      <c r="B2" s="2" t="s">
        <v>28</v>
      </c>
      <c r="C2" s="2"/>
      <c r="D2" s="2"/>
      <c r="E2" s="2"/>
      <c r="F2" s="2"/>
      <c r="G2" s="2"/>
      <c r="H2" s="2"/>
      <c r="I2" s="2"/>
      <c r="J2" s="2"/>
      <c r="K2" s="2"/>
      <c r="L2" s="2"/>
      <c r="M2" s="3" t="s">
        <v>2</v>
      </c>
    </row>
    <row r="3" spans="1:13" ht="6" customHeight="1"/>
    <row r="4" spans="1:13" ht="30" customHeight="1">
      <c r="B4" s="61" t="s">
        <v>182</v>
      </c>
      <c r="C4" s="61"/>
      <c r="D4" s="22" t="str">
        <f>IF(COUNTIF($K$11:$K$24,"PASS")=14,"PASS","FAIL")</f>
        <v>PASS</v>
      </c>
      <c r="E4" s="22"/>
      <c r="F4" s="23" t="str">
        <f>COUNTIF($K$11:$K$24,"PASS")&amp;" of 14 checks pass"</f>
        <v>14 of 14 checks pass</v>
      </c>
      <c r="G4" s="23"/>
      <c r="H4" s="23"/>
      <c r="I4" s="23"/>
      <c r="J4" s="23"/>
    </row>
    <row r="6" spans="1:13" ht="29.4" customHeight="1">
      <c r="B6" s="10" t="s">
        <v>183</v>
      </c>
      <c r="C6" s="10"/>
      <c r="D6" s="10"/>
      <c r="E6" s="10"/>
      <c r="F6" s="10"/>
      <c r="G6" s="10"/>
      <c r="H6" s="10"/>
      <c r="I6" s="10"/>
      <c r="J6" s="10"/>
      <c r="K6" s="10"/>
      <c r="L6" s="10"/>
    </row>
    <row r="8" spans="1:13" ht="21" customHeight="1">
      <c r="B8" s="8" t="s">
        <v>184</v>
      </c>
      <c r="C8" s="8"/>
      <c r="D8" s="8"/>
      <c r="E8" s="8"/>
      <c r="F8" s="8"/>
      <c r="G8" s="8"/>
      <c r="H8" s="8"/>
      <c r="I8" s="8"/>
      <c r="J8" s="8"/>
      <c r="K8" s="8"/>
      <c r="L8" s="8"/>
    </row>
    <row r="9" spans="1:13" ht="5" customHeight="1"/>
    <row r="10" spans="1:13" ht="30" customHeight="1">
      <c r="B10" s="36" t="s">
        <v>185</v>
      </c>
      <c r="C10" s="49" t="s">
        <v>186</v>
      </c>
      <c r="D10" s="49"/>
      <c r="E10" s="49"/>
      <c r="F10" s="49"/>
      <c r="G10" s="36" t="s">
        <v>187</v>
      </c>
      <c r="H10" s="36" t="s">
        <v>188</v>
      </c>
      <c r="I10" s="36" t="s">
        <v>189</v>
      </c>
      <c r="J10" s="36" t="s">
        <v>190</v>
      </c>
      <c r="K10" s="36" t="s">
        <v>191</v>
      </c>
    </row>
    <row r="11" spans="1:13" ht="16.2" customHeight="1">
      <c r="B11" s="62">
        <v>1</v>
      </c>
      <c r="C11" s="59" t="s">
        <v>192</v>
      </c>
      <c r="D11" s="59"/>
      <c r="E11" s="59"/>
      <c r="F11" s="59"/>
      <c r="G11" s="53">
        <v>10.018</v>
      </c>
      <c r="H11" s="31">
        <f>$I$40</f>
        <v>10.018</v>
      </c>
      <c r="I11" s="63">
        <f>IF(AND(ISNUMBER($G$11),ISNUMBER($H$11)),ABS($H$11-$G$11),"")</f>
        <v>0</v>
      </c>
      <c r="J11" s="64">
        <v>1E-09</v>
      </c>
      <c r="K11" s="65" t="str">
        <f>IF(AND(ISNUMBER($G$11),ISNUMBER($H$11)),IF(ABS($H$11-$G$11)&lt;=$J$11,"PASS","FAIL"),"FAIL")</f>
        <v>PASS</v>
      </c>
    </row>
    <row r="12" spans="1:13" ht="16.2" customHeight="1">
      <c r="B12" s="62">
        <v>2</v>
      </c>
      <c r="C12" s="59" t="s">
        <v>193</v>
      </c>
      <c r="D12" s="59"/>
      <c r="E12" s="59"/>
      <c r="F12" s="59"/>
      <c r="G12" s="53">
        <v>0.04999999999999893</v>
      </c>
      <c r="H12" s="31">
        <f>$J$40</f>
        <v>0.0499999999999989</v>
      </c>
      <c r="I12" s="63">
        <f>IF(AND(ISNUMBER($G$12),ISNUMBER($H$12)),ABS($H$12-$G$12),"")</f>
        <v>0</v>
      </c>
      <c r="J12" s="64">
        <v>1E-09</v>
      </c>
      <c r="K12" s="65" t="str">
        <f>IF(AND(ISNUMBER($G$12),ISNUMBER($H$12)),IF(ABS($H$12-$G$12)&lt;=$J$12,"PASS","FAIL"),"FAIL")</f>
        <v>PASS</v>
      </c>
    </row>
    <row r="13" spans="1:13" ht="16.2" customHeight="1">
      <c r="B13" s="62">
        <v>3</v>
      </c>
      <c r="C13" s="59" t="s">
        <v>85</v>
      </c>
      <c r="D13" s="59"/>
      <c r="E13" s="59"/>
      <c r="F13" s="59"/>
      <c r="G13" s="53">
        <v>10.00908333333333</v>
      </c>
      <c r="H13" s="31">
        <f>IF($E$56=0,"",AVERAGEIFS(tblVerifySamples[Mean],tblVerifySamples[Subgroup no.],"&lt;="&amp;$E$55,tblVerifySamples[Range],"&gt;=0"))</f>
        <v>10.0090833333333</v>
      </c>
      <c r="I13" s="63">
        <f>IF(AND(ISNUMBER($G$13),ISNUMBER($H$13)),ABS($H$13-$G$13),"")</f>
        <v>0</v>
      </c>
      <c r="J13" s="64">
        <v>1E-09</v>
      </c>
      <c r="K13" s="65" t="str">
        <f>IF(AND(ISNUMBER($G$13),ISNUMBER($H$13)),IF(ABS($H$13-$G$13)&lt;=$J$13,"PASS","FAIL"),"FAIL")</f>
        <v>PASS</v>
      </c>
    </row>
    <row r="14" spans="1:13" ht="16.2" customHeight="1">
      <c r="B14" s="62">
        <v>4</v>
      </c>
      <c r="C14" s="59" t="s">
        <v>86</v>
      </c>
      <c r="D14" s="59"/>
      <c r="E14" s="59"/>
      <c r="F14" s="59"/>
      <c r="G14" s="53">
        <v>0.05916666666666629</v>
      </c>
      <c r="H14" s="31">
        <f>IF($E$56=0,"",AVERAGEIFS(tblVerifySamples[Range],tblVerifySamples[Subgroup no.],"&lt;="&amp;$E$55,tblVerifySamples[Range],"&gt;=0"))</f>
        <v>0.0591666666666663</v>
      </c>
      <c r="I14" s="63">
        <f>IF(AND(ISNUMBER($G$14),ISNUMBER($H$14)),ABS($H$14-$G$14),"")</f>
        <v>0</v>
      </c>
      <c r="J14" s="64">
        <v>1E-09</v>
      </c>
      <c r="K14" s="65" t="str">
        <f>IF(AND(ISNUMBER($G$14),ISNUMBER($H$14)),IF(ABS($H$14-$G$14)&lt;=$J$14,"PASS","FAIL"),"FAIL")</f>
        <v>PASS</v>
      </c>
    </row>
    <row r="15" spans="1:13" ht="16.2" customHeight="1">
      <c r="B15" s="62">
        <v>5</v>
      </c>
      <c r="C15" s="59" t="s">
        <v>194</v>
      </c>
      <c r="D15" s="59"/>
      <c r="E15" s="59"/>
      <c r="F15" s="59"/>
      <c r="G15" s="53">
        <v>10.04321076807161</v>
      </c>
      <c r="H15" s="31">
        <f>IF($E$56=0,"",$E$57+3*$E$59/SQRT($E$30))</f>
        <v>10.0432107680716</v>
      </c>
      <c r="I15" s="63">
        <f>IF(AND(ISNUMBER($G$15),ISNUMBER($H$15)),ABS($H$15-$G$15),"")</f>
        <v>0</v>
      </c>
      <c r="J15" s="64">
        <v>1E-09</v>
      </c>
      <c r="K15" s="65" t="str">
        <f>IF(AND(ISNUMBER($G$15),ISNUMBER($H$15)),IF(ABS($H$15-$G$15)&lt;=$J$15,"PASS","FAIL"),"FAIL")</f>
        <v>PASS</v>
      </c>
    </row>
    <row r="16" spans="1:13" ht="16.2" customHeight="1">
      <c r="B16" s="62">
        <v>6</v>
      </c>
      <c r="C16" s="59" t="s">
        <v>195</v>
      </c>
      <c r="D16" s="59"/>
      <c r="E16" s="59"/>
      <c r="F16" s="59"/>
      <c r="G16" s="53">
        <v>9.974955898595052</v>
      </c>
      <c r="H16" s="31">
        <f>IF($E$56=0,"",$E$57-3*$E$59/SQRT($E$30))</f>
        <v>9.97495589859505</v>
      </c>
      <c r="I16" s="63">
        <f>IF(AND(ISNUMBER($G$16),ISNUMBER($H$16)),ABS($H$16-$G$16),"")</f>
        <v>0</v>
      </c>
      <c r="J16" s="64">
        <v>1E-09</v>
      </c>
      <c r="K16" s="65" t="str">
        <f>IF(AND(ISNUMBER($G$16),ISNUMBER($H$16)),IF(ABS($H$16-$G$16)&lt;=$J$16,"PASS","FAIL"),"FAIL")</f>
        <v>PASS</v>
      </c>
    </row>
    <row r="17" spans="2:12" ht="16.2" customHeight="1">
      <c r="B17" s="62">
        <v>7</v>
      </c>
      <c r="C17" s="59" t="s">
        <v>131</v>
      </c>
      <c r="D17" s="59"/>
      <c r="E17" s="59"/>
      <c r="F17" s="59"/>
      <c r="G17" s="53">
        <v>0.1250783333333325</v>
      </c>
      <c r="H17" s="31">
        <f>IF($E$56=0,"",$E$35*$E$58)</f>
        <v>0.125078333333333</v>
      </c>
      <c r="I17" s="63">
        <f>IF(AND(ISNUMBER($G$17),ISNUMBER($H$17)),ABS($H$17-$G$17),"")</f>
        <v>0</v>
      </c>
      <c r="J17" s="64">
        <v>1E-09</v>
      </c>
      <c r="K17" s="65" t="str">
        <f>IF(AND(ISNUMBER($G$17),ISNUMBER($H$17)),IF(ABS($H$17-$G$17)&lt;=$J$17,"PASS","FAIL"),"FAIL")</f>
        <v>PASS</v>
      </c>
    </row>
    <row r="18" spans="2:12" ht="16.2" customHeight="1">
      <c r="B18" s="62">
        <v>8</v>
      </c>
      <c r="C18" s="59" t="s">
        <v>84</v>
      </c>
      <c r="D18" s="59"/>
      <c r="E18" s="59"/>
      <c r="F18" s="59"/>
      <c r="G18" s="66">
        <v>12</v>
      </c>
      <c r="H18" s="30">
        <f>IF($E$55="",0,COUNTIFS(tblVerifySamples[Subgroup no.],"&lt;="&amp;$E$55,tblVerifySamples[Range],"&gt;=0"))</f>
        <v>12</v>
      </c>
      <c r="I18" s="63">
        <f>IF(AND(ISNUMBER($G$18),ISNUMBER($H$18)),ABS($H$18-$G$18),"")</f>
        <v>0</v>
      </c>
      <c r="J18" s="64">
        <v>1E-09</v>
      </c>
      <c r="K18" s="65" t="str">
        <f>IF(AND(ISNUMBER($G$18),ISNUMBER($H$18)),IF(ABS($H$18-$G$18)&lt;=$J$18,"PASS","FAIL"),"FAIL")</f>
        <v>PASS</v>
      </c>
    </row>
    <row r="19" spans="2:12" ht="16.2" customHeight="1">
      <c r="B19" s="62">
        <v>9</v>
      </c>
      <c r="C19" s="59" t="s">
        <v>196</v>
      </c>
      <c r="D19" s="59"/>
      <c r="E19" s="59"/>
      <c r="F19" s="59"/>
      <c r="G19" s="58" t="s">
        <v>197</v>
      </c>
      <c r="H19" s="54" t="str">
        <f>$L$46</f>
        <v>Run above centre line</v>
      </c>
      <c r="I19" s="54"/>
      <c r="J19" s="60" t="s">
        <v>198</v>
      </c>
      <c r="K19" s="65" t="str">
        <f>IF($H$19&amp;""=$G$19&amp;"","PASS","FAIL")</f>
        <v>PASS</v>
      </c>
    </row>
    <row r="20" spans="2:12" ht="16.2" customHeight="1">
      <c r="B20" s="62">
        <v>10</v>
      </c>
      <c r="C20" s="59" t="s">
        <v>199</v>
      </c>
      <c r="D20" s="59"/>
      <c r="E20" s="59"/>
      <c r="F20" s="59"/>
      <c r="G20" s="58" t="s">
        <v>200</v>
      </c>
      <c r="H20" s="54" t="str">
        <f>$L$50</f>
        <v>In control</v>
      </c>
      <c r="I20" s="54"/>
      <c r="J20" s="60" t="s">
        <v>198</v>
      </c>
      <c r="K20" s="65" t="str">
        <f>IF($H$20&amp;""=$G$20&amp;"","PASS","FAIL")</f>
        <v>PASS</v>
      </c>
    </row>
    <row r="21" spans="2:12" ht="16.2" customHeight="1">
      <c r="B21" s="62">
        <v>11</v>
      </c>
      <c r="C21" s="59" t="s">
        <v>201</v>
      </c>
      <c r="D21" s="59"/>
      <c r="E21" s="59"/>
      <c r="F21" s="59"/>
      <c r="G21" s="58" t="s">
        <v>202</v>
      </c>
      <c r="H21" s="54" t="str">
        <f>$L$51</f>
        <v>Reading count is not n</v>
      </c>
      <c r="I21" s="54"/>
      <c r="J21" s="60" t="s">
        <v>198</v>
      </c>
      <c r="K21" s="65" t="str">
        <f>IF($H$21&amp;""=$G$21&amp;"","PASS","FAIL")</f>
        <v>PASS</v>
      </c>
    </row>
    <row r="22" spans="2:12" ht="16.2" customHeight="1">
      <c r="B22" s="62">
        <v>12</v>
      </c>
      <c r="C22" s="59" t="s">
        <v>203</v>
      </c>
      <c r="D22" s="59"/>
      <c r="E22" s="59"/>
      <c r="F22" s="59"/>
      <c r="G22" s="58" t="s">
        <v>204</v>
      </c>
      <c r="H22" s="54" t="str">
        <f>$L$52</f>
        <v>Range above UCL</v>
      </c>
      <c r="I22" s="54"/>
      <c r="J22" s="60" t="s">
        <v>198</v>
      </c>
      <c r="K22" s="65" t="str">
        <f>IF($H$22&amp;""=$G$22&amp;"","PASS","FAIL")</f>
        <v>PASS</v>
      </c>
    </row>
    <row r="23" spans="2:12" ht="16.2" customHeight="1">
      <c r="B23" s="62">
        <v>13</v>
      </c>
      <c r="C23" s="59" t="s">
        <v>205</v>
      </c>
      <c r="D23" s="59"/>
      <c r="E23" s="59"/>
      <c r="F23" s="59"/>
      <c r="G23" s="58" t="s">
        <v>200</v>
      </c>
      <c r="H23" s="54" t="str">
        <f>$L$41</f>
        <v>In control</v>
      </c>
      <c r="I23" s="54"/>
      <c r="J23" s="60" t="s">
        <v>198</v>
      </c>
      <c r="K23" s="65" t="str">
        <f>IF($H$23&amp;""=$G$23&amp;"","PASS","FAIL")</f>
        <v>PASS</v>
      </c>
    </row>
    <row r="24" spans="2:12" ht="16.2" customHeight="1">
      <c r="B24" s="62">
        <v>14</v>
      </c>
      <c r="C24" s="59" t="s">
        <v>206</v>
      </c>
      <c r="D24" s="59"/>
      <c r="E24" s="59"/>
      <c r="F24" s="59"/>
      <c r="G24" s="66">
        <v>3</v>
      </c>
      <c r="H24" s="30">
        <f>COUNT(tblVerifySamples[Subgroup no.])-COUNTIF(tblVerifySamples[Signal],"In control")</f>
        <v>3</v>
      </c>
      <c r="I24" s="63">
        <f>IF(AND(ISNUMBER($G$24),ISNUMBER($H$24)),ABS($H$24-$G$24),"")</f>
        <v>0</v>
      </c>
      <c r="J24" s="64">
        <v>1E-09</v>
      </c>
      <c r="K24" s="65" t="str">
        <f>IF(AND(ISNUMBER($G$24),ISNUMBER($H$24)),IF(ABS($H$24-$G$24)&lt;=$J$24,"PASS","FAIL"),"FAIL")</f>
        <v>PASS</v>
      </c>
    </row>
    <row r="26" spans="2:12" ht="21" customHeight="1">
      <c r="B26" s="8" t="s">
        <v>207</v>
      </c>
      <c r="C26" s="8"/>
      <c r="D26" s="8"/>
      <c r="E26" s="8"/>
      <c r="F26" s="8"/>
      <c r="G26" s="8"/>
      <c r="H26" s="8"/>
      <c r="I26" s="8"/>
      <c r="J26" s="8"/>
      <c r="K26" s="8"/>
      <c r="L26" s="8"/>
    </row>
    <row r="27" spans="2:12" ht="5" customHeight="1"/>
    <row r="28" spans="2:12">
      <c r="B28" s="21" t="s">
        <v>208</v>
      </c>
      <c r="C28" s="21"/>
      <c r="D28" s="21"/>
      <c r="E28" s="21"/>
      <c r="F28" s="21"/>
      <c r="G28" s="21"/>
      <c r="H28" s="21"/>
      <c r="I28" s="21"/>
      <c r="J28" s="21"/>
      <c r="K28" s="21"/>
      <c r="L28" s="21"/>
    </row>
    <row r="29" spans="2:12">
      <c r="B29" s="34" t="s">
        <v>209</v>
      </c>
      <c r="C29" s="34"/>
      <c r="D29" s="34"/>
      <c r="E29" s="34"/>
      <c r="F29" s="34"/>
    </row>
    <row r="30" spans="2:12">
      <c r="B30" s="27" t="s">
        <v>74</v>
      </c>
      <c r="C30" s="27"/>
      <c r="D30" s="27"/>
      <c r="E30" s="66">
        <v>5</v>
      </c>
      <c r="F30" s="7"/>
    </row>
    <row r="31" spans="2:12">
      <c r="B31" s="27" t="s">
        <v>210</v>
      </c>
      <c r="C31" s="27"/>
      <c r="D31" s="27"/>
      <c r="E31" s="66">
        <v>0</v>
      </c>
      <c r="F31" s="7"/>
    </row>
    <row r="32" spans="2:12">
      <c r="B32" s="27" t="s">
        <v>211</v>
      </c>
      <c r="C32" s="27"/>
      <c r="D32" s="27"/>
      <c r="E32" s="66">
        <v>7</v>
      </c>
      <c r="F32" s="7"/>
    </row>
    <row r="33" spans="2:13">
      <c r="B33" s="27" t="s">
        <v>212</v>
      </c>
      <c r="C33" s="27"/>
      <c r="D33" s="27"/>
      <c r="E33" s="67">
        <v>2.326</v>
      </c>
      <c r="F33" s="7"/>
    </row>
    <row r="34" spans="2:13">
      <c r="B34" s="27" t="s">
        <v>213</v>
      </c>
      <c r="C34" s="27"/>
      <c r="D34" s="27"/>
      <c r="E34" s="67">
        <v>0</v>
      </c>
      <c r="F34" s="7"/>
    </row>
    <row r="35" spans="2:13">
      <c r="B35" s="27" t="s">
        <v>214</v>
      </c>
      <c r="C35" s="27"/>
      <c r="D35" s="27"/>
      <c r="E35" s="67">
        <v>2.114</v>
      </c>
      <c r="F35" s="7"/>
    </row>
    <row r="37" spans="2:13">
      <c r="B37" s="34" t="s">
        <v>215</v>
      </c>
      <c r="C37" s="34"/>
      <c r="D37" s="34"/>
      <c r="E37" s="34"/>
      <c r="F37" s="34"/>
      <c r="G37" s="34"/>
      <c r="H37" s="34"/>
      <c r="I37" s="34"/>
      <c r="J37" s="34"/>
      <c r="K37" s="34"/>
      <c r="L37" s="34"/>
    </row>
    <row r="38" spans="2:13" ht="14" customHeight="1">
      <c r="B38" s="38"/>
      <c r="C38" s="38"/>
      <c r="D38" s="38" t="str">
        <f>UnitLabel</f>
        <v>mm</v>
      </c>
      <c r="E38" s="38" t="str">
        <f>UnitLabel</f>
        <v>mm</v>
      </c>
      <c r="F38" s="38" t="str">
        <f>UnitLabel</f>
        <v>mm</v>
      </c>
      <c r="G38" s="38" t="str">
        <f>UnitLabel</f>
        <v>mm</v>
      </c>
      <c r="H38" s="38" t="str">
        <f>UnitLabel</f>
        <v>mm</v>
      </c>
      <c r="I38" s="38" t="str">
        <f>UnitLabel</f>
        <v>mm</v>
      </c>
      <c r="J38" s="38" t="str">
        <f>UnitLabel</f>
        <v>mm</v>
      </c>
      <c r="K38" s="38" t="s">
        <v>110</v>
      </c>
      <c r="L38" s="38"/>
      <c r="M38" s="38"/>
    </row>
    <row r="39" spans="2:13" ht="32" customHeight="1">
      <c r="B39" s="36" t="s">
        <v>97</v>
      </c>
      <c r="C39" s="36" t="s">
        <v>98</v>
      </c>
      <c r="D39" s="36" t="s">
        <v>99</v>
      </c>
      <c r="E39" s="36" t="s">
        <v>100</v>
      </c>
      <c r="F39" s="36" t="s">
        <v>101</v>
      </c>
      <c r="G39" s="36" t="s">
        <v>102</v>
      </c>
      <c r="H39" s="36" t="s">
        <v>103</v>
      </c>
      <c r="I39" s="36" t="s">
        <v>104</v>
      </c>
      <c r="J39" s="36" t="s">
        <v>105</v>
      </c>
      <c r="K39" s="36" t="s">
        <v>106</v>
      </c>
      <c r="L39" s="36" t="s">
        <v>107</v>
      </c>
      <c r="M39" s="36" t="s">
        <v>108</v>
      </c>
    </row>
    <row r="40" spans="2:13">
      <c r="B40" s="66">
        <v>1</v>
      </c>
      <c r="C40" s="68">
        <v>46027</v>
      </c>
      <c r="D40" s="67">
        <v>10.03</v>
      </c>
      <c r="E40" s="67">
        <v>10.02</v>
      </c>
      <c r="F40" s="67">
        <v>9.99</v>
      </c>
      <c r="G40" s="67">
        <v>10.01</v>
      </c>
      <c r="H40" s="67">
        <v>10.04</v>
      </c>
      <c r="I40"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10.018</v>
      </c>
      <c r="J40"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0.0499999999999989</v>
      </c>
      <c r="K40" s="40">
        <f>IF(tblVerifySamples[[#This Row],[Subgroup no.]]="","",IF(ISNUMBER(tblVerifySamples[[#This Row],[Mean]]),SIGN(tblVerifySamples[[#This Row],[Mean]]-$E$57),""))</f>
        <v>1</v>
      </c>
      <c r="L40"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0" s="58"/>
    </row>
    <row r="41" spans="2:13">
      <c r="B41" s="66">
        <v>2</v>
      </c>
      <c r="C41" s="68">
        <v>46027</v>
      </c>
      <c r="D41" s="67">
        <v>10.022</v>
      </c>
      <c r="E41" s="67">
        <v>9.992000000000001</v>
      </c>
      <c r="F41" s="67">
        <v>10.012</v>
      </c>
      <c r="G41" s="67">
        <v>10.042</v>
      </c>
      <c r="H41" s="67">
        <v>10.032</v>
      </c>
      <c r="I41"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10.02</v>
      </c>
      <c r="J41"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0.0499999999999989</v>
      </c>
      <c r="K41" s="40">
        <f>IF(tblVerifySamples[[#This Row],[Subgroup no.]]="","",IF(ISNUMBER(tblVerifySamples[[#This Row],[Mean]]),SIGN(tblVerifySamples[[#This Row],[Mean]]-$E$57),""))</f>
        <v>1</v>
      </c>
      <c r="L41"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1" s="58"/>
    </row>
    <row r="42" spans="2:13">
      <c r="B42" s="66">
        <v>3</v>
      </c>
      <c r="C42" s="68">
        <v>46027</v>
      </c>
      <c r="D42" s="67">
        <v>9.988</v>
      </c>
      <c r="E42" s="67">
        <v>10.008</v>
      </c>
      <c r="F42" s="67">
        <v>10.038</v>
      </c>
      <c r="G42" s="67">
        <v>10.028</v>
      </c>
      <c r="H42" s="67">
        <v>10.018</v>
      </c>
      <c r="I42"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10.016</v>
      </c>
      <c r="J42"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0.0500000000000007</v>
      </c>
      <c r="K42" s="40">
        <f>IF(tblVerifySamples[[#This Row],[Subgroup no.]]="","",IF(ISNUMBER(tblVerifySamples[[#This Row],[Mean]]),SIGN(tblVerifySamples[[#This Row],[Mean]]-$E$57),""))</f>
        <v>1</v>
      </c>
      <c r="L42"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2" s="58"/>
    </row>
    <row r="43" spans="2:13">
      <c r="B43" s="66">
        <v>4</v>
      </c>
      <c r="C43" s="68">
        <v>46027</v>
      </c>
      <c r="D43" s="67">
        <v>10.011</v>
      </c>
      <c r="E43" s="67">
        <v>10.041</v>
      </c>
      <c r="F43" s="67">
        <v>10.031</v>
      </c>
      <c r="G43" s="67">
        <v>10.021</v>
      </c>
      <c r="H43" s="67">
        <v>9.991</v>
      </c>
      <c r="I43"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10.019</v>
      </c>
      <c r="J43"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0.0500000000000007</v>
      </c>
      <c r="K43" s="40">
        <f>IF(tblVerifySamples[[#This Row],[Subgroup no.]]="","",IF(ISNUMBER(tblVerifySamples[[#This Row],[Mean]]),SIGN(tblVerifySamples[[#This Row],[Mean]]-$E$57),""))</f>
        <v>1</v>
      </c>
      <c r="L43"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3" s="58"/>
    </row>
    <row r="44" spans="2:13">
      <c r="B44" s="66">
        <v>5</v>
      </c>
      <c r="C44" s="68">
        <v>46027</v>
      </c>
      <c r="D44" s="67">
        <v>10.039</v>
      </c>
      <c r="E44" s="67">
        <v>10.029</v>
      </c>
      <c r="F44" s="67">
        <v>10.019</v>
      </c>
      <c r="G44" s="67">
        <v>9.989000000000001</v>
      </c>
      <c r="H44" s="67">
        <v>10.009</v>
      </c>
      <c r="I44"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10.017</v>
      </c>
      <c r="J44"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0.0499999999999989</v>
      </c>
      <c r="K44" s="40">
        <f>IF(tblVerifySamples[[#This Row],[Subgroup no.]]="","",IF(ISNUMBER(tblVerifySamples[[#This Row],[Mean]]),SIGN(tblVerifySamples[[#This Row],[Mean]]-$E$57),""))</f>
        <v>1</v>
      </c>
      <c r="L44"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4" s="58"/>
    </row>
    <row r="45" spans="2:13">
      <c r="B45" s="66">
        <v>6</v>
      </c>
      <c r="C45" s="68">
        <v>46027</v>
      </c>
      <c r="D45" s="67">
        <v>10.033</v>
      </c>
      <c r="E45" s="67">
        <v>10.023</v>
      </c>
      <c r="F45" s="67">
        <v>9.993</v>
      </c>
      <c r="G45" s="67">
        <v>10.013</v>
      </c>
      <c r="H45" s="67">
        <v>10.043</v>
      </c>
      <c r="I45"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10.021</v>
      </c>
      <c r="J45"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0.0499999999999989</v>
      </c>
      <c r="K45" s="40">
        <f>IF(tblVerifySamples[[#This Row],[Subgroup no.]]="","",IF(ISNUMBER(tblVerifySamples[[#This Row],[Mean]]),SIGN(tblVerifySamples[[#This Row],[Mean]]-$E$57),""))</f>
        <v>1</v>
      </c>
      <c r="L45"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5" s="58"/>
    </row>
    <row r="46" spans="2:13">
      <c r="B46" s="66">
        <v>7</v>
      </c>
      <c r="C46" s="68">
        <v>46027</v>
      </c>
      <c r="D46" s="67">
        <v>10.02</v>
      </c>
      <c r="E46" s="67">
        <v>9.99</v>
      </c>
      <c r="F46" s="67">
        <v>10.01</v>
      </c>
      <c r="G46" s="67">
        <v>10.04</v>
      </c>
      <c r="H46" s="67">
        <v>10.03</v>
      </c>
      <c r="I46"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10.018</v>
      </c>
      <c r="J46"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0.0499999999999989</v>
      </c>
      <c r="K46" s="40">
        <f>IF(tblVerifySamples[[#This Row],[Subgroup no.]]="","",IF(ISNUMBER(tblVerifySamples[[#This Row],[Mean]]),SIGN(tblVerifySamples[[#This Row],[Mean]]-$E$57),""))</f>
        <v>1</v>
      </c>
      <c r="L46"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Run above centre line</v>
      </c>
      <c r="M46" s="58"/>
    </row>
    <row r="47" spans="2:13">
      <c r="B47" s="66">
        <v>8</v>
      </c>
      <c r="C47" s="68">
        <v>46027</v>
      </c>
      <c r="D47" s="67">
        <v>9.98</v>
      </c>
      <c r="E47" s="67">
        <v>10</v>
      </c>
      <c r="F47" s="67">
        <v>10.03</v>
      </c>
      <c r="G47" s="67">
        <v>10.02</v>
      </c>
      <c r="H47" s="67">
        <v>10.01</v>
      </c>
      <c r="I47"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10.008</v>
      </c>
      <c r="J47"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0.0499999999999989</v>
      </c>
      <c r="K47" s="40">
        <f>IF(tblVerifySamples[[#This Row],[Subgroup no.]]="","",IF(ISNUMBER(tblVerifySamples[[#This Row],[Mean]]),SIGN(tblVerifySamples[[#This Row],[Mean]]-$E$57),""))</f>
        <v>-1</v>
      </c>
      <c r="L47"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7" s="58"/>
    </row>
    <row r="48" spans="2:13">
      <c r="B48" s="66">
        <v>9</v>
      </c>
      <c r="C48" s="68">
        <v>46027</v>
      </c>
      <c r="D48" s="67">
        <v>9.99</v>
      </c>
      <c r="E48" s="67">
        <v>10.02</v>
      </c>
      <c r="F48" s="67">
        <v>10.01</v>
      </c>
      <c r="G48" s="67">
        <v>10</v>
      </c>
      <c r="H48" s="67">
        <v>9.970000000000001</v>
      </c>
      <c r="I48"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9.998</v>
      </c>
      <c r="J48"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0.0499999999999989</v>
      </c>
      <c r="K48" s="40">
        <f>IF(tblVerifySamples[[#This Row],[Subgroup no.]]="","",IF(ISNUMBER(tblVerifySamples[[#This Row],[Mean]]),SIGN(tblVerifySamples[[#This Row],[Mean]]-$E$57),""))</f>
        <v>-1</v>
      </c>
      <c r="L48"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8" s="58"/>
    </row>
    <row r="49" spans="2:13">
      <c r="B49" s="66">
        <v>10</v>
      </c>
      <c r="C49" s="68">
        <v>46027</v>
      </c>
      <c r="D49" s="67">
        <v>10.018</v>
      </c>
      <c r="E49" s="67">
        <v>10.008</v>
      </c>
      <c r="F49" s="67">
        <v>9.997999999999999</v>
      </c>
      <c r="G49" s="67">
        <v>9.968</v>
      </c>
      <c r="H49" s="67">
        <v>9.988</v>
      </c>
      <c r="I49"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9.996</v>
      </c>
      <c r="J49"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0.0500000000000007</v>
      </c>
      <c r="K49" s="40">
        <f>IF(tblVerifySamples[[#This Row],[Subgroup no.]]="","",IF(ISNUMBER(tblVerifySamples[[#This Row],[Mean]]),SIGN(tblVerifySamples[[#This Row],[Mean]]-$E$57),""))</f>
        <v>-1</v>
      </c>
      <c r="L49"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49" s="58"/>
    </row>
    <row r="50" spans="2:13">
      <c r="B50" s="66">
        <v>11</v>
      </c>
      <c r="C50" s="68">
        <v>46027</v>
      </c>
      <c r="D50" s="67">
        <v>9.99</v>
      </c>
      <c r="E50" s="67">
        <v>9.98</v>
      </c>
      <c r="F50" s="67">
        <v>9.949999999999999</v>
      </c>
      <c r="G50" s="67">
        <v>9.970000000000001</v>
      </c>
      <c r="H50" s="67">
        <v>10</v>
      </c>
      <c r="I50"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9.978</v>
      </c>
      <c r="J50"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0.0500000000000007</v>
      </c>
      <c r="K50" s="40">
        <f>IF(tblVerifySamples[[#This Row],[Subgroup no.]]="","",IF(ISNUMBER(tblVerifySamples[[#This Row],[Mean]]),SIGN(tblVerifySamples[[#This Row],[Mean]]-$E$57),""))</f>
        <v>-1</v>
      </c>
      <c r="L50"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In control</v>
      </c>
      <c r="M50" s="58"/>
    </row>
    <row r="51" spans="2:13">
      <c r="B51" s="66">
        <v>12</v>
      </c>
      <c r="C51" s="68">
        <v>46028</v>
      </c>
      <c r="D51" s="67">
        <v>10.01</v>
      </c>
      <c r="E51" s="67">
        <v>10</v>
      </c>
      <c r="F51" s="67">
        <v>9.99</v>
      </c>
      <c r="G51" s="67">
        <v>10.02</v>
      </c>
      <c r="H51" s="67"/>
      <c r="I51"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
      </c>
      <c r="J51"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
      </c>
      <c r="K51" s="40">
        <f>IF(tblVerifySamples[[#This Row],[Subgroup no.]]="","",IF(ISNUMBER(tblVerifySamples[[#This Row],[Mean]]),SIGN(tblVerifySamples[[#This Row],[Mean]]-$E$57),""))</f>
        <v/>
      </c>
      <c r="L51"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Reading count is not n</v>
      </c>
      <c r="M51" s="58"/>
    </row>
    <row r="52" spans="2:13">
      <c r="B52" s="66">
        <v>13</v>
      </c>
      <c r="C52" s="68">
        <v>46028</v>
      </c>
      <c r="D52" s="67">
        <v>10.08</v>
      </c>
      <c r="E52" s="67">
        <v>9.92</v>
      </c>
      <c r="F52" s="67">
        <v>10</v>
      </c>
      <c r="G52" s="67">
        <v>10.01</v>
      </c>
      <c r="H52" s="67">
        <v>9.99</v>
      </c>
      <c r="I52" s="31">
        <f>IF(tblVerifySamples[[#This Row],[Subgroup no.]]="","",IF(COUNT(tblVerifySamples[[#This Row],[Reading 1]],tblVerifySamples[[#This Row],[Reading 2]],tblVerifySamples[[#This Row],[Reading 3]],tblVerifySamples[[#This Row],[Reading 4]],tblVerifySamples[[#This Row],[Reading 5]])&lt;&gt;$E$30,"",AVERAGE(tblVerifySamples[[#This Row],[Reading 1]],tblVerifySamples[[#This Row],[Reading 2]],tblVerifySamples[[#This Row],[Reading 3]],tblVerifySamples[[#This Row],[Reading 4]],tblVerifySamples[[#This Row],[Reading 5]])))</f>
        <v>10</v>
      </c>
      <c r="J52" s="31">
        <f>IF(tblVerifySamples[[#This Row],[Subgroup no.]]="","",IF(COUNT(tblVerifySamples[[#This Row],[Reading 1]],tblVerifySamples[[#This Row],[Reading 2]],tblVerifySamples[[#This Row],[Reading 3]],tblVerifySamples[[#This Row],[Reading 4]],tblVerifySamples[[#This Row],[Reading 5]])&lt;&gt;$E$30,"",MAX(tblVerifySamples[[#This Row],[Reading 1]],tblVerifySamples[[#This Row],[Reading 2]],tblVerifySamples[[#This Row],[Reading 3]],tblVerifySamples[[#This Row],[Reading 4]],tblVerifySamples[[#This Row],[Reading 5]])-MIN(tblVerifySamples[[#This Row],[Reading 1]],tblVerifySamples[[#This Row],[Reading 2]],tblVerifySamples[[#This Row],[Reading 3]],tblVerifySamples[[#This Row],[Reading 4]],tblVerifySamples[[#This Row],[Reading 5]])))</f>
        <v>0.16</v>
      </c>
      <c r="K52" s="40">
        <f>IF(tblVerifySamples[[#This Row],[Subgroup no.]]="","",IF(ISNUMBER(tblVerifySamples[[#This Row],[Mean]]),SIGN(tblVerifySamples[[#This Row],[Mean]]-$E$57),""))</f>
        <v>-1</v>
      </c>
      <c r="L52" s="41" t="str">
        <f>IF(tblVerifySamples[[#This Row],[Subgroup no.]]="","",IF(COUNT(tblVerifySamples[[#This Row],[Reading 1]],tblVerifySamples[[#This Row],[Reading 2]],tblVerifySamples[[#This Row],[Reading 3]],tblVerifySamples[[#This Row],[Reading 4]],tblVerifySamples[[#This Row],[Reading 5]])&lt;&gt;$E$30,"Reading count is not n",IF(COUNTIFS(tblVerifySamples[Subgroup no.],tblVerifySamples[[#This Row],[Subgroup no.]])&gt;1,"Duplicate subgroup no.",IF(AND(ISNUMBER($E$61),tblVerifySamples[[#This Row],[Mean]]&gt;$E$61),"Above UCL",IF(AND(ISNUMBER($E$62),tblVerifySamples[[#This Row],[Mean]]&lt;$E$62),"Below LCL",IF(AND(ISNUMBER($E$63),tblVerifySamples[[#This Row],[Range]]&gt;$E$63),"Range above UCL",IF(AND(tblVerifySamples[[#This Row],[Side]]=1,COUNTIFS(tblVerifySamples[Subgroup no.],"&gt;"&amp;(tblVerifySamples[[#This Row],[Subgroup no.]]-$E$32),tblVerifySamples[Subgroup no.],"&lt;="&amp;tblVerifySamples[[#This Row],[Subgroup no.]],tblVerifySamples[Side],tblVerifySamples[[#This Row],[Side]])&gt;=$E$32),"Run above centre line",IF(AND(tblVerifySamples[[#This Row],[Side]]=-1,COUNTIFS(tblVerifySamples[Subgroup no.],"&gt;"&amp;(tblVerifySamples[[#This Row],[Subgroup no.]]-$E$32),tblVerifySamples[Subgroup no.],"&lt;="&amp;tblVerifySamples[[#This Row],[Subgroup no.]],tblVerifySamples[Side],tblVerifySamples[[#This Row],[Side]])&gt;=$E$32),"Run below centre line","In control"))))))))</f>
        <v>Range above UCL</v>
      </c>
      <c r="M52" s="58"/>
    </row>
    <row r="54" spans="2:13">
      <c r="B54" s="34" t="s">
        <v>216</v>
      </c>
      <c r="C54" s="34"/>
      <c r="D54" s="34"/>
      <c r="E54" s="34"/>
      <c r="F54" s="34"/>
      <c r="G54" s="34"/>
      <c r="H54" s="34"/>
      <c r="I54" s="34"/>
      <c r="J54" s="34"/>
      <c r="K54" s="34"/>
      <c r="L54" s="34"/>
    </row>
    <row r="55" spans="2:13">
      <c r="B55" s="27" t="s">
        <v>82</v>
      </c>
      <c r="C55" s="27"/>
      <c r="D55" s="27"/>
      <c r="E55" s="30">
        <f>IF(COUNT(tblVerifySamples[Subgroup no.])=0,"",IF($E$31=0,MAX(tblVerifySamples[Subgroup no.]),SMALL(tblVerifySamples[Subgroup no.],MIN($E$31,COUNT(tblVerifySamples[Subgroup no.])))))</f>
        <v>13</v>
      </c>
      <c r="F55" s="7" t="s">
        <v>83</v>
      </c>
    </row>
    <row r="56" spans="2:13">
      <c r="B56" s="27" t="s">
        <v>84</v>
      </c>
      <c r="C56" s="27"/>
      <c r="D56" s="27"/>
      <c r="E56" s="30">
        <f>IF($E$55="",0,COUNTIFS(tblVerifySamples[Subgroup no.],"&lt;="&amp;$E$55,tblVerifySamples[Range],"&gt;=0"))</f>
        <v>12</v>
      </c>
      <c r="F56" s="7" t="s">
        <v>77</v>
      </c>
    </row>
    <row r="57" spans="2:13">
      <c r="B57" s="27" t="s">
        <v>85</v>
      </c>
      <c r="C57" s="27"/>
      <c r="D57" s="27"/>
      <c r="E57" s="31">
        <f>IF($E$56=0,"",AVERAGEIFS(tblVerifySamples[Mean],tblVerifySamples[Subgroup no.],"&lt;="&amp;$E$55,tblVerifySamples[Range],"&gt;=0"))</f>
        <v>10.0090833333333</v>
      </c>
      <c r="F57" s="7" t="str">
        <f>UnitLabel</f>
        <v>mm</v>
      </c>
    </row>
    <row r="58" spans="2:13">
      <c r="B58" s="27" t="s">
        <v>86</v>
      </c>
      <c r="C58" s="27"/>
      <c r="D58" s="27"/>
      <c r="E58" s="31">
        <f>IF($E$56=0,"",AVERAGEIFS(tblVerifySamples[Range],tblVerifySamples[Subgroup no.],"&lt;="&amp;$E$55,tblVerifySamples[Range],"&gt;=0"))</f>
        <v>0.0591666666666663</v>
      </c>
      <c r="F58" s="7" t="str">
        <f>UnitLabel</f>
        <v>mm</v>
      </c>
    </row>
    <row r="59" spans="2:13">
      <c r="B59" s="27" t="s">
        <v>87</v>
      </c>
      <c r="C59" s="27"/>
      <c r="D59" s="27"/>
      <c r="E59" s="31">
        <f>IF($E$56=0,"",$E$58/$E$33)</f>
        <v>0.0254370879908282</v>
      </c>
      <c r="F59" s="7" t="str">
        <f>UnitLabel</f>
        <v>mm</v>
      </c>
    </row>
    <row r="60" spans="2:13">
      <c r="B60" s="27" t="s">
        <v>88</v>
      </c>
      <c r="C60" s="27"/>
      <c r="D60" s="27"/>
      <c r="E60" s="31">
        <f>IF($E$56=0,"",$E$59/SQRT($E$30))</f>
        <v>0.0113758115794271</v>
      </c>
      <c r="F60" s="7" t="str">
        <f>UnitLabel</f>
        <v>mm</v>
      </c>
    </row>
    <row r="61" spans="2:13">
      <c r="B61" s="17" t="s">
        <v>89</v>
      </c>
      <c r="C61" s="17"/>
      <c r="D61" s="17"/>
      <c r="E61" s="32">
        <f>IF($E$56=0,"",$E$57+3*$E$59/SQRT($E$30))</f>
        <v>10.0432107680716</v>
      </c>
      <c r="F61" s="7" t="str">
        <f>UnitLabel</f>
        <v>mm</v>
      </c>
    </row>
    <row r="62" spans="2:13">
      <c r="B62" s="17" t="s">
        <v>90</v>
      </c>
      <c r="C62" s="17"/>
      <c r="D62" s="17"/>
      <c r="E62" s="32">
        <f>IF($E$56=0,"",$E$57-3*$E$59/SQRT($E$30))</f>
        <v>9.97495589859505</v>
      </c>
      <c r="F62" s="7" t="str">
        <f>UnitLabel</f>
        <v>mm</v>
      </c>
    </row>
    <row r="63" spans="2:13">
      <c r="B63" s="17" t="s">
        <v>91</v>
      </c>
      <c r="C63" s="17"/>
      <c r="D63" s="17"/>
      <c r="E63" s="32">
        <f>IF($E$56=0,"",$E$35*$E$58)</f>
        <v>0.125078333333333</v>
      </c>
      <c r="F63" s="7" t="str">
        <f>UnitLabel</f>
        <v>mm</v>
      </c>
    </row>
    <row r="64" spans="2:13">
      <c r="B64" s="17" t="s">
        <v>92</v>
      </c>
      <c r="C64" s="17"/>
      <c r="D64" s="17"/>
      <c r="E64" s="32">
        <f>IF($E$56=0,"",$E$34*$E$58)</f>
        <v>0</v>
      </c>
      <c r="F64" s="7" t="str">
        <f>UnitLabel</f>
        <v>mm</v>
      </c>
    </row>
  </sheetData>
  <sheetProtection sheet="1" formatColumns="0" formatRows="0"/>
  <mergeCells count="43">
    <mergeCell ref="A1:M1"/>
    <mergeCell ref="B2:L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F29"/>
    <mergeCell ref="B30:D30"/>
    <mergeCell ref="B31:D31"/>
    <mergeCell ref="B32:D32"/>
    <mergeCell ref="B33:D33"/>
    <mergeCell ref="B34:D34"/>
    <mergeCell ref="B35:D35"/>
    <mergeCell ref="B37:L37"/>
    <mergeCell ref="B54:L54"/>
    <mergeCell ref="B55:D55"/>
    <mergeCell ref="B56:D56"/>
    <mergeCell ref="B57:D57"/>
    <mergeCell ref="B58:D58"/>
    <mergeCell ref="B59:D59"/>
    <mergeCell ref="B60:D60"/>
    <mergeCell ref="B61:D61"/>
    <mergeCell ref="B62:D62"/>
    <mergeCell ref="B63:D63"/>
    <mergeCell ref="B64:D64"/>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40:L52">
    <cfRule type="expression" dxfId="3" priority="41">
      <formula>$L40="In control"</formula>
    </cfRule>
    <cfRule type="expression" dxfId="1" priority="42">
      <formula>AND($L40&lt;&gt;"",$L40&lt;&gt;"In control")</formula>
    </cfRule>
  </conditionalFormatting>
  <hyperlinks>
    <hyperlink ref="M2" r:id="rId1" tooltip="Free manufacturing calculators and templates"/>
  </hyperlinks>
  <printOptions horizontalCentered="1"/>
  <pageMargins left="0.4" right="0.4" top="0.7" bottom="0.65" header="0.3" footer="0.3"/>
  <pageSetup fitToHeight="0" orientation="landscape"/>
  <headerFooter>
    <oddHeader>&amp;L&amp;8MFG Calcs - SPC X-bar and R Control Chart&amp;R&amp;8&amp;A</oddHeader>
    <oddFooter>&amp;L&amp;8mfgcalcs.com - free manufacturing templates&amp;R&amp;8Page &amp;P of &amp;N</oddFooter>
  </headerFooter>
  <rowBreaks count="2" manualBreakCount="2">
    <brk id="28" max="16383" man="1"/>
    <brk id="53"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33</vt:i4>
      </vt:variant>
    </vt:vector>
  </HeadingPairs>
  <TitlesOfParts>
    <vt:vector size="39" baseType="lpstr">
      <vt:lpstr>Start Here</vt:lpstr>
      <vt:lpstr>Setup</vt:lpstr>
      <vt:lpstr>Subgroups</vt:lpstr>
      <vt:lpstr>Dashboard</vt:lpstr>
      <vt:lpstr>Method</vt:lpstr>
      <vt:lpstr>Verify</vt:lpstr>
      <vt:lpstr>BaseCount</vt:lpstr>
      <vt:lpstr>BaseLast</vt:lpstr>
      <vt:lpstr>BaseN</vt:lpstr>
      <vt:lpstr>CharName</vt:lpstr>
      <vt:lpstr>ConstD2</vt:lpstr>
      <vt:lpstr>ConstD3</vt:lpstr>
      <vt:lpstr>ConstD4</vt:lpstr>
      <vt:lpstr>KpiRbar</vt:lpstr>
      <vt:lpstr>KpiSigma</vt:lpstr>
      <vt:lpstr>KpiSignals</vt:lpstr>
      <vt:lpstr>KpiXbb</vt:lpstr>
      <vt:lpstr>LCLR</vt:lpstr>
      <vt:lpstr>LCLX</vt:lpstr>
      <vt:lpstr>PlantName</vt:lpstr>
      <vt:lpstr>Dashboard!Print_Area</vt:lpstr>
      <vt:lpstr>Method!Print_Area</vt:lpstr>
      <vt:lpstr>Setup!Print_Area</vt:lpstr>
      <vt:lpstr>'Start Here'!Print_Area</vt:lpstr>
      <vt:lpstr>Subgroups!Print_Area</vt:lpstr>
      <vt:lpstr>Verify!Print_Area</vt:lpstr>
      <vt:lpstr>Method!Print_Titles</vt:lpstr>
      <vt:lpstr>Subgroups!Print_Titles</vt:lpstr>
      <vt:lpstr>RBAR</vt:lpstr>
      <vt:lpstr>RunLen</vt:lpstr>
      <vt:lpstr>SelfCheck</vt:lpstr>
      <vt:lpstr>SelfCheckSummary</vt:lpstr>
      <vt:lpstr>SeMean</vt:lpstr>
      <vt:lpstr>SigmaHat</vt:lpstr>
      <vt:lpstr>SubN</vt:lpstr>
      <vt:lpstr>UCLR</vt:lpstr>
      <vt:lpstr>UCLX</vt:lpstr>
      <vt:lpstr>UnitLabel</vt:lpstr>
      <vt:lpstr>XBB</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SPC X-bar and R Control Chart - free Excel template from MFG Calcs</dc:title>
  <dc:subject>Log subgroups of measurements and get X-bar and R control limits, both charts and every out-of-control signal named in words as you type.</dc:subject>
  <dc:creator>MFG Calcs</dc:creator>
  <cp:keywords>SPC, statistical process control, control chart, X-bar chart, R chart, control limits, run rules, Shewhart</cp:keywords>
  <dc:description>https://www.mfgcalcs.com/templates/spc-control-chart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spc-control-chart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study</vt:lpwstr>
  </property>
  <property fmtid="{D5CDD505-2E9C-101B-9397-08002B2CF9AE}" pid="6" name="Template URL">
    <vt:lpwstr>https://www.mfgcalcs.com/templates/spc-control-chart</vt:lpwstr>
  </property>
  <property fmtid="{D5CDD505-2E9C-101B-9397-08002B2CF9AE}" pid="7" name="Template sheet roles">
    <vt:lpwstr>Start Here=start;Setup=setup;Subgroups=work;Dashboard=dashboard;Method=method;Verify=verify</vt:lpwstr>
  </property>
</Properties>
</file>