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Orders" sheetId="3" r:id="rId3"/>
    <sheet name="Dashboard" sheetId="4" r:id="rId4"/>
    <sheet name="Method" sheetId="5" r:id="rId5"/>
    <sheet name="Verify" sheetId="6" r:id="rId6"/>
  </sheets>
  <definedNames>
    <definedName name="AmtLimit">Setup!$C$9</definedName>
    <definedName name="CoName">Setup!$C$6</definedName>
    <definedName name="Currency">Setup!$C$7</definedName>
    <definedName name="DashFrom">Dashboard!$G$4</definedName>
    <definedName name="DashProduct">Dashboard!$C$4</definedName>
    <definedName name="DashTo">Dashboard!$K$4</definedName>
    <definedName name="FFrom">IF(DashFrom="",0,DashFrom)</definedName>
    <definedName name="FTo">IF(DashTo="",2958465,DashTo)</definedName>
    <definedName name="KpiNet">Dashboard!$B$8</definedName>
    <definedName name="KpiOut">Dashboard!$G$8</definedName>
    <definedName name="KpiPct">Dashboard!$D$8</definedName>
    <definedName name="KpiTop">Dashboard!$J$8</definedName>
    <definedName name="PctLimit">Setup!$C$8</definedName>
    <definedName name="_xlnm.Print_Area" localSheetId="3">Dashboard!$A$1:$L$60</definedName>
    <definedName name="_xlnm.Print_Area" localSheetId="4">Method!$A$1:$D$59</definedName>
    <definedName name="_xlnm.Print_Area" localSheetId="2">Orders!$A$1:$AD$66</definedName>
    <definedName name="_xlnm.Print_Area" localSheetId="1">Setup!$A$1:$L$23</definedName>
    <definedName name="_xlnm.Print_Area" localSheetId="0">'Start Here'!$A$1:$F$56</definedName>
    <definedName name="_xlnm.Print_Area" localSheetId="5">Verify!$A$1:$AD$63</definedName>
    <definedName name="_xlnm.Print_Titles" localSheetId="4">Method!$1:$2</definedName>
    <definedName name="_xlnm.Print_Titles" localSheetId="2">Orders!$1:$6</definedName>
    <definedName name="SelfCheck">Verify!$D$4</definedName>
    <definedName name="SelfCheckSummary">Verify!$F$4</definedName>
    <definedName name="Standards">tblStandards[Product]</definedName>
  </definedNames>
  <calcPr calcId="124519" fullCalcOnLoad="1"/>
</workbook>
</file>

<file path=xl/sharedStrings.xml><?xml version="1.0" encoding="utf-8"?>
<sst xmlns="http://schemas.openxmlformats.org/spreadsheetml/2006/main" count="657" uniqueCount="327">
  <si>
    <t>Standard Cost Variance</t>
  </si>
  <si>
    <t>Read this first: what the workbook does and how to use it.</t>
  </si>
  <si>
    <t>mfgcalcs.com</t>
  </si>
  <si>
    <t>Compare every closed production order with its standard cost and split the difference into material price and usage, labour rate and efficiency, and overhead variances.</t>
  </si>
  <si>
    <t>For: Cost accountants, plant controllers, operations and production managers who close the month and explain why actual cost missed standard.</t>
  </si>
  <si>
    <t>Version 1.0.0  ·  updated 15 October 2026</t>
  </si>
  <si>
    <t>Quick start</t>
  </si>
  <si>
    <t>1.</t>
  </si>
  <si>
    <t>On Setup, type your currency and the two thresholds that make a variance worth investigating.</t>
  </si>
  <si>
    <t>2.</t>
  </si>
  <si>
    <t>List each product's standards: material quantity and price, labour hours and rate, and the overhead rate per labour hour.</t>
  </si>
  <si>
    <t>3.</t>
  </si>
  <si>
    <t>On Orders, add one row per production order closed: good quantity, material used and its cost, labour hours and cost, overhead charged.</t>
  </si>
  <si>
    <t>4.</t>
  </si>
  <si>
    <t>Read each order's variances and status; the Check column names a product not on Setup or a missing quantity.</t>
  </si>
  <si>
    <t>5.</t>
  </si>
  <si>
    <t>On the Dashboard, pick a product or a date range to see where the period's variance came from.</t>
  </si>
  <si>
    <t>What is in this workbook</t>
  </si>
  <si>
    <t>Start Here</t>
  </si>
  <si>
    <t>Setup</t>
  </si>
  <si>
    <t>Currency, the thresholds that make a variance worth investigating, and each product's standard cost.</t>
  </si>
  <si>
    <t>Orders</t>
  </si>
  <si>
    <t>One row per production order closed: good output and the actual material, labour and overhead charged to it.</t>
  </si>
  <si>
    <t>Dashboard</t>
  </si>
  <si>
    <t>Where the period's variance against standard came from: by type, by month and by product.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</si>
  <si>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</si>
  <si>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</si>
  <si>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</si>
  <si>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</si>
  <si>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</si>
  <si>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</si>
  <si>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</si>
  <si>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</si>
  <si>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</si>
  <si>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</si>
  <si>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</si>
  <si>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</si>
  <si>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</si>
  <si>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</si>
  <si>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</si>
  <si>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</si>
  <si>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</si>
  <si>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</si>
  <si>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</si>
  <si>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</si>
  <si>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Standard Cost Variance Calculator on mfgcalcs.com</t>
  </si>
  <si>
    <t>Latest version</t>
  </si>
  <si>
    <t>mfgcalcs.com/templates/standard-cost-variance</t>
  </si>
  <si>
    <t>More free templates</t>
  </si>
  <si>
    <t>mfgcalcs.com/templates</t>
  </si>
  <si>
    <t>Version</t>
  </si>
  <si>
    <t>1.0.0 (updated 15 October 2026)</t>
  </si>
  <si>
    <t>About the example data</t>
  </si>
  <si>
    <t>Every number already in this workbook is example data for Keystone Fabrication, a fictional business invented for this template, so the dashboard and charts show something meaningful on day one. It closes 60 production orders for six fabricated steel products from April to September 2026, generated from a fixed seed; standards, prices and costs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</si>
  <si>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</si>
  <si>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</si>
  <si>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</si>
  <si>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</si>
  <si>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</si>
  <si>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</si>
  <si>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</si>
  <si>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</si>
  <si>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Product</t>
  </si>
  <si>
    <t>Description</t>
  </si>
  <si>
    <t>Material unit</t>
  </si>
  <si>
    <t>Std material qty</t>
  </si>
  <si>
    <t>Std material price</t>
  </si>
  <si>
    <t>Std labour hours</t>
  </si>
  <si>
    <t>Std labour rate</t>
  </si>
  <si>
    <t>Std overhead rate</t>
  </si>
  <si>
    <t>Std cost per unit</t>
  </si>
  <si>
    <t>Material share</t>
  </si>
  <si>
    <t>Notes</t>
  </si>
  <si>
    <t>Company, currency and investigation thresholds</t>
  </si>
  <si>
    <t>Company or plant</t>
  </si>
  <si>
    <t>Keystone Fabrication (example)</t>
  </si>
  <si>
    <t>Currency label</t>
  </si>
  <si>
    <t>USD</t>
  </si>
  <si>
    <t>Threshold: share of standard cost</t>
  </si>
  <si>
    <t>Threshold: amount</t>
  </si>
  <si>
    <t>An order is Out of limits when its total variance, favourable or unfavourable, is at least both thresholds (5% and 500 in the example); a large favourable variance can mean a stale standard as much as a good month. Standards are examples: use the ones in your cost system.</t>
  </si>
  <si>
    <t>Product standards (per unit of product)</t>
  </si>
  <si>
    <t>Standards (example)</t>
  </si>
  <si>
    <t>per unit</t>
  </si>
  <si>
    <t>h per unit</t>
  </si>
  <si>
    <t>%</t>
  </si>
  <si>
    <t>BR-110</t>
  </si>
  <si>
    <t>Mounting bracket</t>
  </si>
  <si>
    <t>kg</t>
  </si>
  <si>
    <t>BP-220</t>
  </si>
  <si>
    <t>Base plate, drilled</t>
  </si>
  <si>
    <t>FR-340</t>
  </si>
  <si>
    <t>Welded frame</t>
  </si>
  <si>
    <t>GD-410</t>
  </si>
  <si>
    <t>Machine guard, sheet</t>
  </si>
  <si>
    <t>EN-300</t>
  </si>
  <si>
    <t>Electrical enclosure</t>
  </si>
  <si>
    <t>RK-500</t>
  </si>
  <si>
    <t>Storage rack, welded</t>
  </si>
  <si>
    <t>Date closed</t>
  </si>
  <si>
    <t>Order</t>
  </si>
  <si>
    <t>Good qty</t>
  </si>
  <si>
    <t>Material used</t>
  </si>
  <si>
    <t>Material cost</t>
  </si>
  <si>
    <t>Labour hours</t>
  </si>
  <si>
    <t>Labour cost</t>
  </si>
  <si>
    <t>Overhead charged</t>
  </si>
  <si>
    <t>Std qty allowed</t>
  </si>
  <si>
    <t>Std hours allowed</t>
  </si>
  <si>
    <t>Standard cost</t>
  </si>
  <si>
    <t>Actual cost</t>
  </si>
  <si>
    <t>Material price var.</t>
  </si>
  <si>
    <t>Material usage var.</t>
  </si>
  <si>
    <t>Labour rate var.</t>
  </si>
  <si>
    <t>Labour efficiency var.</t>
  </si>
  <si>
    <t>Overhead var.</t>
  </si>
  <si>
    <t>Total variance</t>
  </si>
  <si>
    <t>Variance of standard</t>
  </si>
  <si>
    <t>Status</t>
  </si>
  <si>
    <t>Check</t>
  </si>
  <si>
    <t>View date</t>
  </si>
  <si>
    <t>Example data for Keystone Fabrication (fictional): 60 orders, April to September 2026. Variance = actual - standard: positive is unfavourable (cost above standard), negative favourable. To clear: select the example rows, right-click, Delete &gt; Table Rows.</t>
  </si>
  <si>
    <t>units</t>
  </si>
  <si>
    <t>mat. units</t>
  </si>
  <si>
    <t>h</t>
  </si>
  <si>
    <t>PO-26070</t>
  </si>
  <si>
    <t/>
  </si>
  <si>
    <t>PO-26073</t>
  </si>
  <si>
    <t>PO-26077</t>
  </si>
  <si>
    <t>PO-26081</t>
  </si>
  <si>
    <t>PO-26084</t>
  </si>
  <si>
    <t>PO-26086</t>
  </si>
  <si>
    <t>PO-26089</t>
  </si>
  <si>
    <t>PO-26091</t>
  </si>
  <si>
    <t>PO-26094</t>
  </si>
  <si>
    <t>PO-26097</t>
  </si>
  <si>
    <t>PO-26101</t>
  </si>
  <si>
    <t>PO-26105</t>
  </si>
  <si>
    <t>PO-26108</t>
  </si>
  <si>
    <t>PO-26109</t>
  </si>
  <si>
    <t>PO-26113</t>
  </si>
  <si>
    <t>PO-26117</t>
  </si>
  <si>
    <t>PO-26118</t>
  </si>
  <si>
    <t>PO-26121</t>
  </si>
  <si>
    <t>PO-26125</t>
  </si>
  <si>
    <t>PO-26128</t>
  </si>
  <si>
    <t>PO-26132</t>
  </si>
  <si>
    <t>PO-26133</t>
  </si>
  <si>
    <t>PO-26137</t>
  </si>
  <si>
    <t>PO-26140</t>
  </si>
  <si>
    <t>PO-26143</t>
  </si>
  <si>
    <t>PO-26145</t>
  </si>
  <si>
    <t>PO-26148</t>
  </si>
  <si>
    <t>PO-26151</t>
  </si>
  <si>
    <t>PO-26154</t>
  </si>
  <si>
    <t>PO-26157</t>
  </si>
  <si>
    <t>PO-26162</t>
  </si>
  <si>
    <t>PO-26163</t>
  </si>
  <si>
    <t>PO-26168</t>
  </si>
  <si>
    <t>New welders in training</t>
  </si>
  <si>
    <t>PO-26170</t>
  </si>
  <si>
    <t>PO-26174</t>
  </si>
  <si>
    <t>PO-26177</t>
  </si>
  <si>
    <t>PO-26178</t>
  </si>
  <si>
    <t>PO-26182</t>
  </si>
  <si>
    <t>PO-26186</t>
  </si>
  <si>
    <t>PO-26188</t>
  </si>
  <si>
    <t>PO-26191</t>
  </si>
  <si>
    <t>PO-26193</t>
  </si>
  <si>
    <t>PO-26198</t>
  </si>
  <si>
    <t>PO-26199</t>
  </si>
  <si>
    <t>PO-26204</t>
  </si>
  <si>
    <t>PO-26205</t>
  </si>
  <si>
    <t>PO-26209</t>
  </si>
  <si>
    <t>PO-26213</t>
  </si>
  <si>
    <t>PO-26214</t>
  </si>
  <si>
    <t>PO-26217</t>
  </si>
  <si>
    <t>PO-26220</t>
  </si>
  <si>
    <t>PO-26223</t>
  </si>
  <si>
    <t>PO-26227</t>
  </si>
  <si>
    <t>PO-26230</t>
  </si>
  <si>
    <t>PO-26234</t>
  </si>
  <si>
    <t>PO-26236</t>
  </si>
  <si>
    <t>PO-26239</t>
  </si>
  <si>
    <t>PO-26242</t>
  </si>
  <si>
    <t>PO-26246</t>
  </si>
  <si>
    <t>PO-26249</t>
  </si>
  <si>
    <t>From</t>
  </si>
  <si>
    <t>To</t>
  </si>
  <si>
    <t>NET VARIANCE, % OF STANDARD</t>
  </si>
  <si>
    <t>ORDERS OUT OF LIMITS</t>
  </si>
  <si>
    <t>Actual - standard; + is unfavourable</t>
  </si>
  <si>
    <t>Total variance / standard cost in view</t>
  </si>
  <si>
    <t>Both thresholds on Setup exceeded</t>
  </si>
  <si>
    <t>Variance type, orders in view</t>
  </si>
  <si>
    <t>By month (last 6 months in view)</t>
  </si>
  <si>
    <t>Month</t>
  </si>
  <si>
    <t>Material var.</t>
  </si>
  <si>
    <t>Labour var.</t>
  </si>
  <si>
    <t>Of standard</t>
  </si>
  <si>
    <t>Out of limits</t>
  </si>
  <si>
    <t>orders</t>
  </si>
  <si>
    <t>Variance by type (orders in view)</t>
  </si>
  <si>
    <t>Variance type</t>
  </si>
  <si>
    <t>Variance</t>
  </si>
  <si>
    <t>Of standard cost</t>
  </si>
  <si>
    <t>Direction</t>
  </si>
  <si>
    <t>Material price</t>
  </si>
  <si>
    <t>Material usage</t>
  </si>
  <si>
    <t>Labour rate</t>
  </si>
  <si>
    <t>Labour efficiency</t>
  </si>
  <si>
    <t>Overhead</t>
  </si>
  <si>
    <t>By product (orders in view)</t>
  </si>
  <si>
    <t>of which usage</t>
  </si>
  <si>
    <t>of which efficiency</t>
  </si>
  <si>
    <t>The Dashboard shows the 6 products of the Setup list. If you add more, extend the By product block (see Method) or they will not appear here; the tiles, the by-type and by-month figures always cover every order.</t>
  </si>
  <si>
    <t>What this workbook calculates</t>
  </si>
  <si>
    <t>A standard cost is what one good unit should cost: a standard quantity of material at a standard price, standard labour hours at a standard rate, and overhead applied per labour hour. For each closed order the workbook allows the standard for the good output, compares it with what was charged, and splits the difference so it points at its owner: price (purchasing), usage (the shop floor and scrap), labour rate (pay, overtime, crew mix), labour efficiency (hours) and overhead. Variance = actual - standard: positive is unfavourable, negative favourable.</t>
  </si>
  <si>
    <t>Calculations</t>
  </si>
  <si>
    <t>Quantity</t>
  </si>
  <si>
    <t>How it is calculated</t>
  </si>
  <si>
    <t>Units</t>
  </si>
  <si>
    <t>Standard cost per unit</t>
  </si>
  <si>
    <t>Std material qty x std material price + std labour hours x (std labour rate + std overhead rate).</t>
  </si>
  <si>
    <t>currency/unit</t>
  </si>
  <si>
    <t>Std qty and hours allowed</t>
  </si>
  <si>
    <t>Good qty x standard material qty; good qty x standard labour hours.</t>
  </si>
  <si>
    <t>material units, h</t>
  </si>
  <si>
    <t>Standard cost (order)</t>
  </si>
  <si>
    <t>Std qty allowed x std price + std hours allowed x (std labour rate + std overhead rate).</t>
  </si>
  <si>
    <t>currency</t>
  </si>
  <si>
    <t>Material cost + labour cost + overhead charged.</t>
  </si>
  <si>
    <t>Material price variance</t>
  </si>
  <si>
    <t>Material cost - material used x std price (= used x (actual price - std price)).</t>
  </si>
  <si>
    <t>Material usage variance</t>
  </si>
  <si>
    <t>(Material used - std qty allowed) x std price.</t>
  </si>
  <si>
    <t>Labour rate variance</t>
  </si>
  <si>
    <t>Labour cost - labour hours x std rate.</t>
  </si>
  <si>
    <t>Labour efficiency variance</t>
  </si>
  <si>
    <t>(Labour hours - std hours allowed) x std rate.</t>
  </si>
  <si>
    <t>Overhead variance</t>
  </si>
  <si>
    <t>Overhead charged - std hours allowed x std overhead rate.</t>
  </si>
  <si>
    <t>Total variance, % of standard</t>
  </si>
  <si>
    <t>Actual cost - standard cost (= the five variances added); / standard cost.</t>
  </si>
  <si>
    <t>currency, %</t>
  </si>
  <si>
    <t>Out of limits when the total variance is at least both thresholds on Setup in absolute value, Within limits otherwise.</t>
  </si>
  <si>
    <t>-</t>
  </si>
  <si>
    <t>Dashboard roll-ups</t>
  </si>
  <si>
    <t>SUMIFS of the order columns over rows whose View date is filled (inside the product and date filters); percentages = sum of variance / sum of standard cost.</t>
  </si>
  <si>
    <t>Assumptions</t>
  </si>
  <si>
    <t>Price variance is taken on the material used, when it is issued to the order (not when it is bought); a price variance at purchase belongs to the stores account.</t>
  </si>
  <si>
    <t>Standard quantities and hours are per good unit and already include any planned scrap; extra scrap shows as usage and efficiency variance.</t>
  </si>
  <si>
    <t>Overhead is applied per standard labour hour; the overhead variance is one figure (spending plus efficiency on that base). Fixed overhead volume variance needs budgeted hours and is not computed.</t>
  </si>
  <si>
    <t>Labour cost includes overtime premium, so overtime shows in the rate variance.</t>
  </si>
  <si>
    <t>Limitations</t>
  </si>
  <si>
    <t>One material per product: a multi-material bill needs a row per material or a weighted standard price.</t>
  </si>
  <si>
    <t>Work in progress is not valued: an order is analysed when it closes, with all its cost.</t>
  </si>
  <si>
    <t>The By product block shows the first 6 products of the Setup list; extend it for more (copy a row of the block and its formulas).</t>
  </si>
  <si>
    <t>The thresholds are your own rule; the workbook does not judge which variances are material for your accounts.</t>
  </si>
  <si>
    <t>Agreement with the live calculator</t>
  </si>
  <si>
    <t>The live Standard Cost Variance calculator takes actual and allowed standard cost for material, labour and overhead and reports each component variance (actual - standard) and their total, with the same sign convention as this workbook. Per order, material variance here = price + usage, labour = rate + efficiency, and overhead is the same; the build checks the reference against the calculator's engine for its own example (5,500 / 5,000, 2,200 / 2,000, 1,100 / 1,000: total 800 unfavourable) and for an example order, and the price variance against the Material Price Variance calculator. The workbook adds the split into price, usage, rate and efficiency, the log, the limits and the Dashboard.</t>
  </si>
  <si>
    <t>Open the Standard Cost Variance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</si>
  <si>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</si>
  <si>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</si>
  <si>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Standard costing and variance analysis as described in management accounting texts, e.g. Horngren, Datar and Rajan, Cost Accounting: A Managerial Emphasis (flexible budgets and variance analysis chapters).</t>
  </si>
  <si>
    <t>CIMA Official Terminology: material price and usage, labour rate and efficiency variances, by definition.</t>
  </si>
  <si>
    <t>MFG Calcs Standard Cost Variance calculator (standard-cost-variance) and Material Price Variance calculator (material-price-variance).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</si>
  <si>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</si>
  <si>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</si>
  <si>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</si>
  <si>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</si>
  <si>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</si>
  <si>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</si>
  <si>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</si>
  <si>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</si>
  <si>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</si>
  <si>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</si>
  <si>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</si>
  <si>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</si>
  <si>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</si>
  <si>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</si>
  <si>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</si>
  <si>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</si>
  <si>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Order 1 (calculator example): standard cost (calculator: 8,000)</t>
  </si>
  <si>
    <t>Order 1: material price variance (with usage, calculator: 500)</t>
  </si>
  <si>
    <t>Order 1: material usage variance</t>
  </si>
  <si>
    <t>Order 1: labour rate variance</t>
  </si>
  <si>
    <t>Order 1: labour efficiency variance</t>
  </si>
  <si>
    <t>Order 1: overhead variance (calculator: 100)</t>
  </si>
  <si>
    <t>Order 1: total variance (calculator: 800)</t>
  </si>
  <si>
    <t>Order 1: variance of standard</t>
  </si>
  <si>
    <t>Order 1: status (800 and 10% exceed 500 and 5%)</t>
  </si>
  <si>
    <t>exact</t>
  </si>
  <si>
    <t>Order 2: std hours allowed</t>
  </si>
  <si>
    <t>Order 2: material price variance (favourable)</t>
  </si>
  <si>
    <t>Order 2: labour efficiency variance</t>
  </si>
  <si>
    <t>Order 2: total variance</t>
  </si>
  <si>
    <t>Order 2: status</t>
  </si>
  <si>
    <t>Within limits</t>
  </si>
  <si>
    <t>Order 3 (exactly on standard): total variance is zero</t>
  </si>
  <si>
    <t>Order 3: status</t>
  </si>
  <si>
    <t>Order 4: Check reports a product not on Setup</t>
  </si>
  <si>
    <t>Product not on Setup list</t>
  </si>
  <si>
    <t>Order 4: variances stay blank</t>
  </si>
  <si>
    <t>All orders: net variance (Dashboard formula)</t>
  </si>
  <si>
    <t>All orders: net variance, % of standard (Dashboard formula)</t>
  </si>
  <si>
    <t>All orders: orders out of limits (Dashboard formula)</t>
  </si>
  <si>
    <t>By type: Material price</t>
  </si>
  <si>
    <t>By type: Material usage</t>
  </si>
  <si>
    <t>By type: Labour rate</t>
  </si>
  <si>
    <t>By type: Labour efficiency</t>
  </si>
  <si>
    <t>By type: Overhead</t>
  </si>
  <si>
    <t>Fixed test inputs</t>
  </si>
  <si>
    <t>White cells are fixed test inputs; blue cells are the workbook's formulas evaluated on them.</t>
  </si>
  <si>
    <t>Parameters</t>
  </si>
  <si>
    <t>Filter: from (0 = no limit)</t>
  </si>
  <si>
    <t>Filter: to (2958465 = no limit)</t>
  </si>
  <si>
    <t>Filter: product (blank = all)</t>
  </si>
  <si>
    <t>Threshold: share of standard</t>
  </si>
  <si>
    <t>Test table: Orders</t>
  </si>
  <si>
    <t>T-1</t>
  </si>
  <si>
    <t>P1</t>
  </si>
  <si>
    <t>T-2</t>
  </si>
  <si>
    <t>T-3</t>
  </si>
  <si>
    <t>T-4</t>
  </si>
  <si>
    <t>ZZ</t>
  </si>
  <si>
    <t>Test variance by type (same formulas as the Dashboard)</t>
  </si>
</sst>
</file>

<file path=xl/styles.xml><?xml version="1.0" encoding="utf-8"?>
<styleSheet xmlns="http://schemas.openxmlformats.org/spreadsheetml/2006/main">
  <numFmts count="10">
    <numFmt numFmtId="164" formatCode="0.0%"/>
    <numFmt numFmtId="165" formatCode="#,##0"/>
    <numFmt numFmtId="166" formatCode="#,##0.000"/>
    <numFmt numFmtId="167" formatCode="#,##0.0000"/>
    <numFmt numFmtId="168" formatCode="#,##0.00"/>
    <numFmt numFmtId="169" formatCode="0%"/>
    <numFmt numFmtId="170" formatCode="d mmm yyyy"/>
    <numFmt numFmtId="171" formatCode="#,##0.0"/>
    <numFmt numFmtId="172" formatCode="mmm yyyy"/>
    <numFmt numFmtId="173"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8" fontId="9"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20" fillId="7" borderId="2" xfId="0" applyFont="1" applyFill="1" applyBorder="1" applyAlignment="1">
      <alignment vertical="center" wrapText="1"/>
    </xf>
    <xf numFmtId="170" fontId="10" fillId="3" borderId="2" xfId="0" applyNumberFormat="1" applyFont="1" applyFill="1" applyBorder="1" applyAlignment="1" applyProtection="1">
      <alignment vertical="center"/>
      <protection locked="0"/>
    </xf>
    <xf numFmtId="171"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71"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5"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70" fontId="10" fillId="4" borderId="3" xfId="0" applyNumberFormat="1" applyFont="1" applyFill="1" applyBorder="1" applyAlignment="1">
      <alignment vertical="center"/>
    </xf>
    <xf numFmtId="170"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172" fontId="9"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4" fontId="10" fillId="0" borderId="9" xfId="0" applyNumberFormat="1" applyFont="1" applyBorder="1" applyAlignment="1">
      <alignment vertical="center"/>
    </xf>
    <xf numFmtId="0" fontId="10" fillId="4" borderId="3" xfId="0" applyFont="1" applyFill="1" applyBorder="1" applyAlignment="1">
      <alignment vertical="center"/>
    </xf>
    <xf numFmtId="171" fontId="10" fillId="0" borderId="9" xfId="0" applyNumberFormat="1" applyFont="1" applyBorder="1" applyAlignment="1">
      <alignment vertical="center"/>
    </xf>
    <xf numFmtId="165" fontId="10" fillId="0" borderId="9" xfId="0" applyNumberFormat="1" applyFont="1" applyBorder="1" applyAlignment="1">
      <alignment vertical="center"/>
    </xf>
    <xf numFmtId="170"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Variance by type (+ unfavourable, - favourable)</a:t>
            </a:r>
          </a:p>
        </c:rich>
      </c:tx>
      <c:layout/>
    </c:title>
    <c:plotArea>
      <c:layout/>
      <c:barChart>
        <c:barDir val="col"/>
        <c:grouping val="clustered"/>
        <c:ser>
          <c:idx val="0"/>
          <c:order val="0"/>
          <c:tx>
            <c:v>Variance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Dashboard!$B$43:$B$47</c:f>
              <c:strCache>
                <c:ptCount val="5"/>
                <c:pt idx="0">
                  <c:v>Material price</c:v>
                </c:pt>
                <c:pt idx="1">
                  <c:v>Material usage</c:v>
                </c:pt>
                <c:pt idx="2">
                  <c:v>Labour rate</c:v>
                </c:pt>
                <c:pt idx="3">
                  <c:v>Labour efficiency</c:v>
                </c:pt>
                <c:pt idx="4">
                  <c:v>Overhead</c:v>
                </c:pt>
              </c:strCache>
            </c:strRef>
          </c:cat>
          <c:val>
            <c:numRef>
              <c:f>Dashboard!$C$43:$C$47</c:f>
              <c:numCache>
                <c:formatCode>General</c:formatCode>
                <c:ptCount val="5"/>
                <c:pt idx="0">
                  <c:v>2391.315</c:v>
                </c:pt>
                <c:pt idx="1">
                  <c:v>2378.505</c:v>
                </c:pt>
                <c:pt idx="2">
                  <c:v>2406.81</c:v>
                </c:pt>
                <c:pt idx="3">
                  <c:v>299.199999999999</c:v>
                </c:pt>
                <c:pt idx="4">
                  <c:v>1350.89999999999</c:v>
                </c:pt>
              </c:numCache>
            </c:numRef>
          </c:val>
        </c:ser>
        <c:gapWidth val="60"/>
        <c:overlap val="-10"/>
        <c:axId val="50010001"/>
        <c:axId val="50010002"/>
      </c:barChart>
      <c:catAx>
        <c:axId val="5001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Variance by month and element</a:t>
            </a:r>
          </a:p>
        </c:rich>
      </c:tx>
      <c:layout/>
    </c:title>
    <c:plotArea>
      <c:layout/>
      <c:barChart>
        <c:barDir val="col"/>
        <c:grouping val="clustered"/>
        <c:ser>
          <c:idx val="0"/>
          <c:order val="0"/>
          <c:tx>
            <c:v>Material</c:v>
          </c:tx>
          <c:spPr>
            <a:solidFill>
              <a:srgbClr val="3B64D8"/>
            </a:solidFill>
            <a:ln w="9525">
              <a:solidFill>
                <a:srgbClr val="FFFFFF"/>
              </a:solidFill>
            </a:ln>
          </c:spPr>
          <c:cat>
            <c:numRef>
              <c:f>Dashboard!$B$33:$B$38</c:f>
              <c:numCache>
                <c:formatCode>General</c:formatCode>
                <c:ptCount val="6"/>
                <c:pt idx="0">
                  <c:v>46113</c:v>
                </c:pt>
                <c:pt idx="1">
                  <c:v>46143</c:v>
                </c:pt>
                <c:pt idx="2">
                  <c:v>46174</c:v>
                </c:pt>
                <c:pt idx="3">
                  <c:v>46204</c:v>
                </c:pt>
                <c:pt idx="4">
                  <c:v>46235</c:v>
                </c:pt>
                <c:pt idx="5">
                  <c:v>46266</c:v>
                </c:pt>
              </c:numCache>
            </c:numRef>
          </c:cat>
          <c:val>
            <c:numRef>
              <c:f>Dashboard!$E$33:$E$38</c:f>
              <c:numCache>
                <c:formatCode>General</c:formatCode>
                <c:ptCount val="6"/>
                <c:pt idx="0">
                  <c:v>389.88</c:v>
                </c:pt>
                <c:pt idx="1">
                  <c:v>392.71</c:v>
                </c:pt>
                <c:pt idx="2">
                  <c:v>452.539999999999</c:v>
                </c:pt>
                <c:pt idx="3">
                  <c:v>537.259999999999</c:v>
                </c:pt>
                <c:pt idx="4">
                  <c:v>940.84</c:v>
                </c:pt>
                <c:pt idx="5">
                  <c:v>2056.59</c:v>
                </c:pt>
              </c:numCache>
            </c:numRef>
          </c:val>
        </c:ser>
        <c:ser>
          <c:idx val="1"/>
          <c:order val="1"/>
          <c:tx>
            <c:v>Labour</c:v>
          </c:tx>
          <c:spPr>
            <a:solidFill>
              <a:srgbClr val="E8702A"/>
            </a:solidFill>
            <a:ln w="9525">
              <a:solidFill>
                <a:srgbClr val="FFFFFF"/>
              </a:solidFill>
            </a:ln>
          </c:spPr>
          <c:cat>
            <c:numRef>
              <c:f>Dashboard!$B$33:$B$38</c:f>
              <c:numCache>
                <c:formatCode>General</c:formatCode>
                <c:ptCount val="6"/>
                <c:pt idx="0">
                  <c:v>46113</c:v>
                </c:pt>
                <c:pt idx="1">
                  <c:v>46143</c:v>
                </c:pt>
                <c:pt idx="2">
                  <c:v>46174</c:v>
                </c:pt>
                <c:pt idx="3">
                  <c:v>46204</c:v>
                </c:pt>
                <c:pt idx="4">
                  <c:v>46235</c:v>
                </c:pt>
                <c:pt idx="5">
                  <c:v>46266</c:v>
                </c:pt>
              </c:numCache>
            </c:numRef>
          </c:cat>
          <c:val>
            <c:numRef>
              <c:f>Dashboard!$F$33:$F$38</c:f>
              <c:numCache>
                <c:formatCode>General</c:formatCode>
                <c:ptCount val="6"/>
                <c:pt idx="0">
                  <c:v>-324.41</c:v>
                </c:pt>
                <c:pt idx="1">
                  <c:v>379.950000000001</c:v>
                </c:pt>
                <c:pt idx="2">
                  <c:v>-103.810000000001</c:v>
                </c:pt>
                <c:pt idx="3">
                  <c:v>736.980000000001</c:v>
                </c:pt>
                <c:pt idx="4">
                  <c:v>329.489999999999</c:v>
                </c:pt>
                <c:pt idx="5">
                  <c:v>1687.81</c:v>
                </c:pt>
              </c:numCache>
            </c:numRef>
          </c:val>
        </c:ser>
        <c:ser>
          <c:idx val="2"/>
          <c:order val="2"/>
          <c:tx>
            <c:v>Overhead</c:v>
          </c:tx>
          <c:spPr>
            <a:solidFill>
              <a:srgbClr val="1BA37A"/>
            </a:solidFill>
            <a:ln w="9525">
              <a:solidFill>
                <a:srgbClr val="FFFFFF"/>
              </a:solidFill>
            </a:ln>
          </c:spPr>
          <c:cat>
            <c:numRef>
              <c:f>Dashboard!$B$33:$B$38</c:f>
              <c:numCache>
                <c:formatCode>General</c:formatCode>
                <c:ptCount val="6"/>
                <c:pt idx="0">
                  <c:v>46113</c:v>
                </c:pt>
                <c:pt idx="1">
                  <c:v>46143</c:v>
                </c:pt>
                <c:pt idx="2">
                  <c:v>46174</c:v>
                </c:pt>
                <c:pt idx="3">
                  <c:v>46204</c:v>
                </c:pt>
                <c:pt idx="4">
                  <c:v>46235</c:v>
                </c:pt>
                <c:pt idx="5">
                  <c:v>46266</c:v>
                </c:pt>
              </c:numCache>
            </c:numRef>
          </c:cat>
          <c:val>
            <c:numRef>
              <c:f>Dashboard!$G$33:$G$38</c:f>
              <c:numCache>
                <c:formatCode>General</c:formatCode>
                <c:ptCount val="6"/>
                <c:pt idx="0">
                  <c:v>-1046.25</c:v>
                </c:pt>
                <c:pt idx="1">
                  <c:v>-525.6</c:v>
                </c:pt>
                <c:pt idx="2">
                  <c:v>-729.550000000002</c:v>
                </c:pt>
                <c:pt idx="3">
                  <c:v>63.4999999999989</c:v>
                </c:pt>
                <c:pt idx="4">
                  <c:v>1223.4</c:v>
                </c:pt>
                <c:pt idx="5">
                  <c:v>2365.4</c:v>
                </c:pt>
              </c:numCache>
            </c:numRef>
          </c:val>
        </c:ser>
        <c:gapWidth val="60"/>
        <c:overlap val="-10"/>
        <c:axId val="50020001"/>
        <c:axId val="50020002"/>
      </c:barChart>
      <c:catAx>
        <c:axId val="50020001"/>
        <c:scaling>
          <c:orientation val="minMax"/>
        </c:scaling>
        <c:axPos val="b"/>
        <c:numFmt formatCode="mmm yyyy" sourceLinked="0"/>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variance against standard by type: material price, material usage, labour rate, labour efficiency and overhead; bars above zero are unfavourable, below zero favourab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Clustered column chart of the material, labour and overhead variances for each month in view; bars above zero are unfavourab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andards" displayName="tblStandards" ref="B17:L23" totalsRowShown="0">
  <autoFilter ref="B17:L23"/>
  <tableColumns count="11">
    <tableColumn id="1" name="Product"/>
    <tableColumn id="2" name="Description"/>
    <tableColumn id="3" name="Material unit"/>
    <tableColumn id="4" name="Std material qty"/>
    <tableColumn id="5" name="Std material price"/>
    <tableColumn id="6" name="Std labour hours"/>
    <tableColumn id="7" name="Std labour rate"/>
    <tableColumn id="8" name="Std overhead rate"/>
    <tableColumn id="9" name="Std cost per unit">
      <calculatedColumnFormula>tblStandards[[#This Row],[Std material qty]]*tblStandards[[#This Row],[Std material price]]+tblStandards[[#This Row],[Std labour hours]]*(tblStandards[[#This Row],[Std labour rate]]+tblStandards[[#This Row],[Std overhead rate]])</calculatedColumnFormula>
    </tableColumn>
    <tableColumn id="10" name="Material share">
      <calculatedColumnFormula>IF((tblStandards[[#This Row],[Std cost per unit]])=0,"",(tblStandards[[#This Row],[Std material qty]]*tblStandards[[#This Row],[Std material price]])/(tblStandards[[#This Row],[Std cost per unit]]))</calculatedColumnFormula>
    </tableColumn>
    <tableColumn id="11" name="Notes"/>
  </tableColumns>
  <tableStyleInfo name="TableStyleLight1" showFirstColumn="0" showLastColumn="0" showRowStripes="0" showColumnStripes="0"/>
</table>
</file>

<file path=xl/tables/table2.xml><?xml version="1.0" encoding="utf-8"?>
<table xmlns="http://schemas.openxmlformats.org/spreadsheetml/2006/main" id="2" name="tblOrders" displayName="tblOrders" ref="B6:AD66" totalsRowShown="0">
  <autoFilter ref="B6:AD66"/>
  <tableColumns count="29">
    <tableColumn id="1" name="Date closed"/>
    <tableColumn id="2" name="Order"/>
    <tableColumn id="3" name="Product"/>
    <tableColumn id="4" name="Good qty"/>
    <tableColumn id="5" name="Material used"/>
    <tableColumn id="6" name="Material cost"/>
    <tableColumn id="7" name="Labour hours"/>
    <tableColumn id="8" name="Labour cost"/>
    <tableColumn id="9" name="Overhead charged"/>
    <tableColumn id="10" name="Std material qty">
      <calculatedColumnFormula>IF(tblOrders[[#This Row],[Date closed]]="","",IFERROR(INDEX(tblStandards[Std material qty],MATCH(tblOrders[[#This Row],[Product]],tblStandards[Product],0)),""))</calculatedColumnFormula>
    </tableColumn>
    <tableColumn id="11" name="Std material price">
      <calculatedColumnFormula>IF(tblOrders[[#This Row],[Date closed]]="","",IFERROR(INDEX(tblStandards[Std material price],MATCH(tblOrders[[#This Row],[Product]],tblStandards[Product],0)),""))</calculatedColumnFormula>
    </tableColumn>
    <tableColumn id="12" name="Std labour hours">
      <calculatedColumnFormula>IF(tblOrders[[#This Row],[Date closed]]="","",IFERROR(INDEX(tblStandards[Std labour hours],MATCH(tblOrders[[#This Row],[Product]],tblStandards[Product],0)),""))</calculatedColumnFormula>
    </tableColumn>
    <tableColumn id="13" name="Std labour rate">
      <calculatedColumnFormula>IF(tblOrders[[#This Row],[Date closed]]="","",IFERROR(INDEX(tblStandards[Std labour rate],MATCH(tblOrders[[#This Row],[Product]],tblStandards[Product],0)),""))</calculatedColumnFormula>
    </tableColumn>
    <tableColumn id="14" name="Std overhead rate">
      <calculatedColumnFormula>IF(tblOrders[[#This Row],[Date closed]]="","",IFERROR(INDEX(tblStandards[Std overhead rate],MATCH(tblOrders[[#This Row],[Product]],tblStandards[Product],0)),""))</calculatedColumnFormula>
    </tableColumn>
    <tableColumn id="15" name="Std qty allowed">
      <calculatedColumnFormula>IF(tblOrders[[#This Row],[Date closed]]="","",IF(tblOrders[[#This Row],[Std material qty]]="","",tblOrders[[#This Row],[Good qty]]*tblOrders[[#This Row],[Std material qty]]))</calculatedColumnFormula>
    </tableColumn>
    <tableColumn id="16" name="Std hours allowed">
      <calculatedColumnFormula>IF(tblOrders[[#This Row],[Date closed]]="","",IF(tblOrders[[#This Row],[Std labour hours]]="","",tblOrders[[#This Row],[Good qty]]*tblOrders[[#This Row],[Std labour hours]]))</calculatedColumnFormula>
    </tableColumn>
    <tableColumn id="17" name="Standard cost">
      <calculatedColumnFormula>IF(tblOrders[[#This Row],[Date closed]]="","",IF(tblOrders[[#This Row],[Std qty allowed]]="","",tblOrders[[#This Row],[Std qty allowed]]*tblOrders[[#This Row],[Std material price]]+tblOrders[[#This Row],[Std hours allowed]]*(tblOrders[[#This Row],[Std labour rate]]+tblOrders[[#This Row],[Std overhead rate]])))</calculatedColumnFormula>
    </tableColumn>
    <tableColumn id="18" name="Actual cost">
      <calculatedColumnFormula>IF(tblOrders[[#This Row],[Date closed]]="","",tblOrders[[#This Row],[Material cost]]+tblOrders[[#This Row],[Labour cost]]+tblOrders[[#This Row],[Overhead charged]])</calculatedColumnFormula>
    </tableColumn>
    <tableColumn id="19" name="Material price var.">
      <calculatedColumnFormula>IF(tblOrders[[#This Row],[Date closed]]="","",IF(tblOrders[[#This Row],[Std material price]]="","",tblOrders[[#This Row],[Material cost]]-tblOrders[[#This Row],[Material used]]*tblOrders[[#This Row],[Std material price]]))</calculatedColumnFormula>
    </tableColumn>
    <tableColumn id="20" name="Material usage var.">
      <calculatedColumnFormula>IF(tblOrders[[#This Row],[Date closed]]="","",IF(tblOrders[[#This Row],[Std qty allowed]]="","",(tblOrders[[#This Row],[Material used]]-tblOrders[[#This Row],[Std qty allowed]])*tblOrders[[#This Row],[Std material price]]))</calculatedColumnFormula>
    </tableColumn>
    <tableColumn id="21" name="Labour rate var.">
      <calculatedColumnFormula>IF(tblOrders[[#This Row],[Date closed]]="","",IF(tblOrders[[#This Row],[Std labour rate]]="","",tblOrders[[#This Row],[Labour cost]]-tblOrders[[#This Row],[Labour hours]]*tblOrders[[#This Row],[Std labour rate]]))</calculatedColumnFormula>
    </tableColumn>
    <tableColumn id="22" name="Labour efficiency var.">
      <calculatedColumnFormula>IF(tblOrders[[#This Row],[Date closed]]="","",IF(tblOrders[[#This Row],[Std hours allowed]]="","",(tblOrders[[#This Row],[Labour hours]]-tblOrders[[#This Row],[Std hours allowed]])*tblOrders[[#This Row],[Std labour rate]]))</calculatedColumnFormula>
    </tableColumn>
    <tableColumn id="23" name="Overhead var.">
      <calculatedColumnFormula>IF(tblOrders[[#This Row],[Date closed]]="","",IF(tblOrders[[#This Row],[Std hours allowed]]="","",tblOrders[[#This Row],[Overhead charged]]-tblOrders[[#This Row],[Std hours allowed]]*tblOrders[[#This Row],[Std overhead rate]]))</calculatedColumnFormula>
    </tableColumn>
    <tableColumn id="24" name="Total variance">
      <calculatedColumnFormula>IF(tblOrders[[#This Row],[Date closed]]="","",IF(tblOrders[[#This Row],[Standard cost]]="","",tblOrders[[#This Row],[Actual cost]]-tblOrders[[#This Row],[Standard cost]]))</calculatedColumnFormula>
    </tableColumn>
    <tableColumn id="25" name="Variance of standard">
      <calculatedColumnFormula>IF(tblOrders[[#This Row],[Date closed]]="","",IF(N(tblOrders[[#This Row],[Standard cost]])=0,"",tblOrders[[#This Row],[Total variance]]/tblOrders[[#This Row],[Standard cost]]))</calculatedColumnFormula>
    </tableColumn>
    <tableColumn id="26" name="Status">
      <calculatedColumnFormula>IF(tblOrders[[#This Row],[Date closed]]="","",IF(tblOrders[[#This Row],[Variance of standard]]="","",IF(AND(ABS(tblOrders[[#This Row],[Total variance]])&gt;=AmtLimit,ABS(tblOrders[[#This Row],[Variance of standard]])&gt;=PctLimit),"Out of limits","Within limits")))</calculatedColumnFormula>
    </tableColumn>
    <tableColumn id="27" name="Check">
      <calculatedColumnFormula>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calculatedColumnFormula>
    </tableColumn>
    <tableColumn id="28" name="View date">
      <calculatedColumnFormula>IF(tblOrders[[#This Row],[Date closed]]="","",IF(AND(tblOrders[[#This Row],[Date closed]]&gt;=FFrom,tblOrders[[#This Row],[Date closed]]&lt;=FTo,OR(DashProduct="",tblOrders[[#This Row],[Product]]=DashProduct)),tblOrders[[#This Row],[Date closed]],""))</calculatedColumnFormula>
    </tableColumn>
    <tableColumn id="29" name="Notes"/>
  </tableColumns>
  <tableStyleInfo name="TableStyleLight1" showFirstColumn="0" showLastColumn="0" showRowStripes="0" showColumnStripes="0"/>
</table>
</file>

<file path=xl/tables/table3.xml><?xml version="1.0" encoding="utf-8"?>
<table xmlns="http://schemas.openxmlformats.org/spreadsheetml/2006/main" id="3" name="tblVerifyOrders" displayName="tblVerifyOrders" ref="B50:AD54" totalsRowShown="0">
  <tableColumns count="29">
    <tableColumn id="1" name="Date closed"/>
    <tableColumn id="2" name="Order"/>
    <tableColumn id="3" name="Product"/>
    <tableColumn id="4" name="Good qty"/>
    <tableColumn id="5" name="Material used"/>
    <tableColumn id="6" name="Material cost"/>
    <tableColumn id="7" name="Labour hours"/>
    <tableColumn id="8" name="Labour cost"/>
    <tableColumn id="9" name="Overhead charged"/>
    <tableColumn id="10" name="Std material qty"/>
    <tableColumn id="11" name="Std material price"/>
    <tableColumn id="12" name="Std labour hours"/>
    <tableColumn id="13" name="Std labour rate"/>
    <tableColumn id="14" name="Std overhead rate"/>
    <tableColumn id="15" name="Std qty allowed">
      <calculatedColumnFormula>IF(tblVerifyOrders[[#This Row],[Date closed]]="","",IF(tblVerifyOrders[[#This Row],[Std material qty]]="","",tblVerifyOrders[[#This Row],[Good qty]]*tblVerifyOrders[[#This Row],[Std material qty]]))</calculatedColumnFormula>
    </tableColumn>
    <tableColumn id="16" name="Std hours allowed">
      <calculatedColumnFormula>IF(tblVerifyOrders[[#This Row],[Date closed]]="","",IF(tblVerifyOrders[[#This Row],[Std labour hours]]="","",tblVerifyOrders[[#This Row],[Good qty]]*tblVerifyOrders[[#This Row],[Std labour hours]]))</calculatedColumnFormula>
    </tableColumn>
    <tableColumn id="17" name="Standard cost">
      <calculatedColumnFormula>IF(tblVerifyOrders[[#This Row],[Date closed]]="","",IF(tblVerifyOrders[[#This Row],[Std qty allowed]]="","",tblVerifyOrders[[#This Row],[Std qty allowed]]*tblVerifyOrders[[#This Row],[Std material price]]+tblVerifyOrders[[#This Row],[Std hours allowed]]*(tblVerifyOrders[[#This Row],[Std labour rate]]+tblVerifyOrders[[#This Row],[Std overhead rate]])))</calculatedColumnFormula>
    </tableColumn>
    <tableColumn id="18" name="Actual cost">
      <calculatedColumnFormula>IF(tblVerifyOrders[[#This Row],[Date closed]]="","",tblVerifyOrders[[#This Row],[Material cost]]+tblVerifyOrders[[#This Row],[Labour cost]]+tblVerifyOrders[[#This Row],[Overhead charged]])</calculatedColumnFormula>
    </tableColumn>
    <tableColumn id="19" name="Material price var.">
      <calculatedColumnFormula>IF(tblVerifyOrders[[#This Row],[Date closed]]="","",IF(tblVerifyOrders[[#This Row],[Std material price]]="","",tblVerifyOrders[[#This Row],[Material cost]]-tblVerifyOrders[[#This Row],[Material used]]*tblVerifyOrders[[#This Row],[Std material price]]))</calculatedColumnFormula>
    </tableColumn>
    <tableColumn id="20" name="Material usage var.">
      <calculatedColumnFormula>IF(tblVerifyOrders[[#This Row],[Date closed]]="","",IF(tblVerifyOrders[[#This Row],[Std qty allowed]]="","",(tblVerifyOrders[[#This Row],[Material used]]-tblVerifyOrders[[#This Row],[Std qty allowed]])*tblVerifyOrders[[#This Row],[Std material price]]))</calculatedColumnFormula>
    </tableColumn>
    <tableColumn id="21" name="Labour rate var.">
      <calculatedColumnFormula>IF(tblVerifyOrders[[#This Row],[Date closed]]="","",IF(tblVerifyOrders[[#This Row],[Std labour rate]]="","",tblVerifyOrders[[#This Row],[Labour cost]]-tblVerifyOrders[[#This Row],[Labour hours]]*tblVerifyOrders[[#This Row],[Std labour rate]]))</calculatedColumnFormula>
    </tableColumn>
    <tableColumn id="22" name="Labour efficiency var.">
      <calculatedColumnFormula>IF(tblVerifyOrders[[#This Row],[Date closed]]="","",IF(tblVerifyOrders[[#This Row],[Std hours allowed]]="","",(tblVerifyOrders[[#This Row],[Labour hours]]-tblVerifyOrders[[#This Row],[Std hours allowed]])*tblVerifyOrders[[#This Row],[Std labour rate]]))</calculatedColumnFormula>
    </tableColumn>
    <tableColumn id="23" name="Overhead var.">
      <calculatedColumnFormula>IF(tblVerifyOrders[[#This Row],[Date closed]]="","",IF(tblVerifyOrders[[#This Row],[Std hours allowed]]="","",tblVerifyOrders[[#This Row],[Overhead charged]]-tblVerifyOrders[[#This Row],[Std hours allowed]]*tblVerifyOrders[[#This Row],[Std overhead rate]]))</calculatedColumnFormula>
    </tableColumn>
    <tableColumn id="24" name="Total variance">
      <calculatedColumnFormula>IF(tblVerifyOrders[[#This Row],[Date closed]]="","",IF(tblVerifyOrders[[#This Row],[Standard cost]]="","",tblVerifyOrders[[#This Row],[Actual cost]]-tblVerifyOrders[[#This Row],[Standard cost]]))</calculatedColumnFormula>
    </tableColumn>
    <tableColumn id="25" name="Variance of standard">
      <calculatedColumnFormula>IF(tblVerifyOrders[[#This Row],[Date closed]]="","",IF(N(tblVerifyOrders[[#This Row],[Standard cost]])=0,"",tblVerifyOrders[[#This Row],[Total variance]]/tblVerifyOrders[[#This Row],[Standard cost]]))</calculatedColumnFormula>
    </tableColumn>
    <tableColumn id="26" name="Status">
      <calculatedColumnFormula>IF(tblVerifyOrders[[#This Row],[Date closed]]="","",IF(tblVerifyOrders[[#This Row],[Variance of standard]]="","",IF(AND(ABS(tblVerifyOrders[[#This Row],[Total variance]])&gt;=$E$46,ABS(tblVerifyOrders[[#This Row],[Variance of standard]])&gt;=$E$45),"Out of limits","Within limits")))</calculatedColumnFormula>
    </tableColumn>
    <tableColumn id="27" name="Check">
      <calculatedColumnFormula>IF(tblVerifyOrders[[#This Row],[Date closed]]="","",IF(tblVerifyOrders[[#This Row],[Product]]="","Missing product",IF(tblVerifyOrders[[#This Row],[Good qty]]="","Missing good qty",IF(tblVerifyOrders[[#This Row],[Material used]]="","Missing material used",IF(tblVerifyOrders[[#This Row],[Labour hours]]="","Missing labour hours",IF(tblVerifyOrders[[#This Row],[Std material qty]]="","Product not on Setup list",IF(tblVerifyOrders[[#This Row],[Good qty]]=0,"No good output",IF(AND(tblVerifyOrders[[#This Row],[Material used]]&gt;0,tblVerifyOrders[[#This Row],[Material cost]]=""),"Material cost missing",IF(AND(tblVerifyOrders[[#This Row],[Labour hours]]&gt;0,tblVerifyOrders[[#This Row],[Labour cost]]=""),"Labour cost missing",IF(COUNTIF(tblVerifyOrders[Order],tblVerifyOrders[[#This Row],[Order]])&gt;1,"Duplicate order","OK"))))))))))</calculatedColumnFormula>
    </tableColumn>
    <tableColumn id="28" name="View date">
      <calculatedColumnFormula>IF(tblVerifyOrders[[#This Row],[Date closed]]="","",IF(AND(tblVerifyOrders[[#This Row],[Date closed]]&gt;=$E$42,tblVerifyOrders[[#This Row],[Date closed]]&lt;=$E$43,OR($E$44="",tblVerifyOrders[[#This Row],[Product]]=$E$44)),tblVerifyOrders[[#This Row],[Date closed]],""))</calculatedColumnFormula>
    </tableColumn>
    <tableColumn id="2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hyperlink" Target="https://www.mfgcalcs.com/calculators/manufacturing-cost-accounting-finance/standard-cost-variance?utm_source=mfgcalcs-template&amp;utm_medium=xlsx&amp;utm_campaign=standard-cost-variance" TargetMode="External"/><Relationship Id="rId3" Type="http://schemas.openxmlformats.org/officeDocument/2006/relationships/hyperlink" Target="https://www.mfgcalcs.com/templates/standard-cost-variance?utm_source=mfgcalcs-template&amp;utm_medium=xlsx&amp;utm_campaign=standard-cost-variance" TargetMode="External"/><Relationship Id="rId4" Type="http://schemas.openxmlformats.org/officeDocument/2006/relationships/hyperlink" Target="https://www.mfgcalcs.com/templates?utm_source=mfgcalcs-template&amp;utm_medium=xlsx&amp;utm_campaign=standard-cost-varianc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hyperlink" Target="https://www.mfgcalcs.com/calculators/manufacturing-cost-accounting-finance/standard-cost-variance?utm_source=mfgcalcs-template&amp;utm_medium=xlsx&amp;utm_campaign=standard-cost-varianc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tandard-cost-variance"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26 of 26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Orders!A1" tooltip="Go to Orders" display="Order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Standard Cost Variance&amp;R&amp;8&amp;A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L23"/>
  <sheetViews>
    <sheetView showGridLines="0" workbookViewId="0"/>
  </sheetViews>
  <sheetFormatPr defaultRowHeight="15"/>
  <cols>
    <col min="1" max="1" width="2.7109375" customWidth="1"/>
    <col min="2" max="2" width="30.7109375" customWidth="1"/>
    <col min="3" max="4" width="16.7109375" customWidth="1"/>
    <col min="5" max="5" width="12.7109375" customWidth="1"/>
    <col min="6" max="10" width="14.7109375" customWidth="1"/>
    <col min="11" max="11" width="15.7109375" customWidth="1"/>
    <col min="12" max="12" width="26.7109375" customWidth="1"/>
  </cols>
  <sheetData>
    <row r="1" spans="1:12" ht="30" customHeight="1">
      <c r="A1" s="1" t="s">
        <v>0</v>
      </c>
      <c r="B1" s="1"/>
      <c r="C1" s="1"/>
      <c r="D1" s="1"/>
      <c r="E1" s="1"/>
      <c r="F1" s="1"/>
      <c r="G1" s="1"/>
      <c r="H1" s="1"/>
      <c r="I1" s="1"/>
      <c r="J1" s="1"/>
      <c r="K1" s="1"/>
      <c r="L1" s="1"/>
    </row>
    <row r="2" spans="1:12" ht="21" customHeight="1">
      <c r="B2" s="2" t="s">
        <v>20</v>
      </c>
      <c r="C2" s="2"/>
      <c r="D2" s="2"/>
      <c r="E2" s="2"/>
      <c r="F2" s="2"/>
      <c r="G2" s="2"/>
      <c r="H2" s="2"/>
      <c r="I2" s="2"/>
      <c r="J2" s="2"/>
      <c r="K2" s="2"/>
      <c r="L2" s="3" t="s">
        <v>2</v>
      </c>
    </row>
    <row r="3" spans="1:12" ht="6" customHeight="1"/>
    <row r="4" spans="1:12" ht="21" customHeight="1">
      <c r="B4" s="8" t="s">
        <v>73</v>
      </c>
      <c r="C4" s="8"/>
      <c r="D4" s="8"/>
      <c r="E4" s="8"/>
      <c r="F4" s="8"/>
      <c r="G4" s="8"/>
      <c r="H4" s="8"/>
      <c r="I4" s="8"/>
      <c r="J4" s="8"/>
      <c r="K4" s="8"/>
      <c r="L4" s="8"/>
    </row>
    <row r="5" spans="1:12" ht="5" customHeight="1"/>
    <row r="6" spans="1:12">
      <c r="B6" s="27" t="s">
        <v>74</v>
      </c>
      <c r="C6" s="28" t="s">
        <v>75</v>
      </c>
      <c r="D6" s="28"/>
    </row>
    <row r="7" spans="1:12">
      <c r="B7" s="27" t="s">
        <v>76</v>
      </c>
      <c r="C7" s="28" t="s">
        <v>77</v>
      </c>
      <c r="D7" s="28"/>
    </row>
    <row r="8" spans="1:12">
      <c r="B8" s="27" t="s">
        <v>78</v>
      </c>
      <c r="C8" s="29">
        <v>0.05</v>
      </c>
      <c r="D8" s="7"/>
    </row>
    <row r="9" spans="1:12">
      <c r="B9" s="27" t="s">
        <v>79</v>
      </c>
      <c r="C9" s="30">
        <v>500</v>
      </c>
      <c r="D9" s="7" t="str">
        <f>Currency</f>
        <v>USD</v>
      </c>
    </row>
    <row r="11" spans="1:12" ht="35.4" customHeight="1">
      <c r="B11" s="25" t="s">
        <v>80</v>
      </c>
      <c r="C11" s="25"/>
      <c r="D11" s="25"/>
      <c r="E11" s="25"/>
      <c r="F11" s="25"/>
      <c r="G11" s="25"/>
      <c r="H11" s="25"/>
      <c r="I11" s="25"/>
      <c r="J11" s="25"/>
      <c r="K11" s="25"/>
      <c r="L11" s="25"/>
    </row>
    <row r="13" spans="1:12" ht="21" customHeight="1">
      <c r="B13" s="8" t="s">
        <v>81</v>
      </c>
      <c r="C13" s="8"/>
      <c r="D13" s="8"/>
      <c r="E13" s="8"/>
      <c r="F13" s="8"/>
      <c r="G13" s="8"/>
      <c r="H13" s="8"/>
      <c r="I13" s="8"/>
      <c r="J13" s="8"/>
      <c r="K13" s="8"/>
      <c r="L13" s="8"/>
    </row>
    <row r="14" spans="1:12" ht="5" customHeight="1"/>
    <row r="15" spans="1:12">
      <c r="B15" s="31" t="s">
        <v>82</v>
      </c>
      <c r="C15" s="31"/>
      <c r="D15" s="31"/>
      <c r="E15" s="31"/>
      <c r="F15" s="31"/>
      <c r="G15" s="31"/>
      <c r="H15" s="31"/>
      <c r="I15" s="31"/>
      <c r="J15" s="31"/>
      <c r="K15" s="31"/>
      <c r="L15" s="31"/>
    </row>
    <row r="16" spans="1:12" ht="14" customHeight="1">
      <c r="B16" s="32"/>
      <c r="C16" s="32"/>
      <c r="D16" s="32"/>
      <c r="E16" s="32" t="s">
        <v>83</v>
      </c>
      <c r="F16" s="32" t="str">
        <f>Currency&amp;"/mat. unit"</f>
        <v>USD/mat. unit</v>
      </c>
      <c r="G16" s="32" t="s">
        <v>84</v>
      </c>
      <c r="H16" s="32" t="str">
        <f>Currency&amp;"/h"</f>
        <v>USD/h</v>
      </c>
      <c r="I16" s="32" t="str">
        <f>Currency&amp;"/labour h"</f>
        <v>USD/labour h</v>
      </c>
      <c r="J16" s="32" t="str">
        <f>Currency&amp;"/unit"</f>
        <v>USD/unit</v>
      </c>
      <c r="K16" s="32" t="s">
        <v>85</v>
      </c>
      <c r="L16" s="32"/>
    </row>
    <row r="17" spans="2:12" ht="32" customHeight="1">
      <c r="B17" s="33" t="s">
        <v>62</v>
      </c>
      <c r="C17" s="33" t="s">
        <v>63</v>
      </c>
      <c r="D17" s="33" t="s">
        <v>64</v>
      </c>
      <c r="E17" s="33" t="s">
        <v>65</v>
      </c>
      <c r="F17" s="33" t="s">
        <v>66</v>
      </c>
      <c r="G17" s="33" t="s">
        <v>67</v>
      </c>
      <c r="H17" s="33" t="s">
        <v>68</v>
      </c>
      <c r="I17" s="33" t="s">
        <v>69</v>
      </c>
      <c r="J17" s="33" t="s">
        <v>70</v>
      </c>
      <c r="K17" s="33" t="s">
        <v>71</v>
      </c>
      <c r="L17" s="33" t="s">
        <v>72</v>
      </c>
    </row>
    <row r="18" spans="2:12">
      <c r="B18" s="34" t="s">
        <v>86</v>
      </c>
      <c r="C18" s="28" t="s">
        <v>87</v>
      </c>
      <c r="D18" s="28" t="s">
        <v>88</v>
      </c>
      <c r="E18" s="35">
        <v>1.8</v>
      </c>
      <c r="F18" s="36">
        <v>1.1</v>
      </c>
      <c r="G18" s="35">
        <v>0.12</v>
      </c>
      <c r="H18" s="37">
        <v>28</v>
      </c>
      <c r="I18" s="37">
        <v>42</v>
      </c>
      <c r="J18" s="38">
        <f>tblStandards[[#This Row],[Std material qty]]*tblStandards[[#This Row],[Std material price]]+tblStandards[[#This Row],[Std labour hours]]*(tblStandards[[#This Row],[Std labour rate]]+tblStandards[[#This Row],[Std overhead rate]])</f>
        <v>10.38</v>
      </c>
      <c r="K18" s="39">
        <f>IF((tblStandards[[#This Row],[Std cost per unit]])=0,"",(tblStandards[[#This Row],[Std material qty]]*tblStandards[[#This Row],[Std material price]])/(tblStandards[[#This Row],[Std cost per unit]]))</f>
        <v>0.190751445086705</v>
      </c>
      <c r="L18" s="28"/>
    </row>
    <row r="19" spans="2:12">
      <c r="B19" s="34" t="s">
        <v>89</v>
      </c>
      <c r="C19" s="28" t="s">
        <v>90</v>
      </c>
      <c r="D19" s="28" t="s">
        <v>88</v>
      </c>
      <c r="E19" s="35">
        <v>6.5</v>
      </c>
      <c r="F19" s="36">
        <v>1.1</v>
      </c>
      <c r="G19" s="35">
        <v>0.2</v>
      </c>
      <c r="H19" s="37">
        <v>28</v>
      </c>
      <c r="I19" s="37">
        <v>42</v>
      </c>
      <c r="J19" s="38">
        <f>tblStandards[[#This Row],[Std material qty]]*tblStandards[[#This Row],[Std material price]]+tblStandards[[#This Row],[Std labour hours]]*(tblStandards[[#This Row],[Std labour rate]]+tblStandards[[#This Row],[Std overhead rate]])</f>
        <v>21.15</v>
      </c>
      <c r="K19" s="39">
        <f>IF((tblStandards[[#This Row],[Std cost per unit]])=0,"",(tblStandards[[#This Row],[Std material qty]]*tblStandards[[#This Row],[Std material price]])/(tblStandards[[#This Row],[Std cost per unit]]))</f>
        <v>0.33806146572104</v>
      </c>
      <c r="L19" s="28"/>
    </row>
    <row r="20" spans="2:12">
      <c r="B20" s="34" t="s">
        <v>91</v>
      </c>
      <c r="C20" s="28" t="s">
        <v>92</v>
      </c>
      <c r="D20" s="28" t="s">
        <v>88</v>
      </c>
      <c r="E20" s="35">
        <v>14</v>
      </c>
      <c r="F20" s="36">
        <v>1.15</v>
      </c>
      <c r="G20" s="35">
        <v>1.1</v>
      </c>
      <c r="H20" s="37">
        <v>30</v>
      </c>
      <c r="I20" s="37">
        <v>42</v>
      </c>
      <c r="J20" s="38">
        <f>tblStandards[[#This Row],[Std material qty]]*tblStandards[[#This Row],[Std material price]]+tblStandards[[#This Row],[Std labour hours]]*(tblStandards[[#This Row],[Std labour rate]]+tblStandards[[#This Row],[Std overhead rate]])</f>
        <v>95.3</v>
      </c>
      <c r="K20" s="39">
        <f>IF((tblStandards[[#This Row],[Std cost per unit]])=0,"",(tblStandards[[#This Row],[Std material qty]]*tblStandards[[#This Row],[Std material price]])/(tblStandards[[#This Row],[Std cost per unit]]))</f>
        <v>0.16894018887723</v>
      </c>
      <c r="L20" s="28"/>
    </row>
    <row r="21" spans="2:12">
      <c r="B21" s="34" t="s">
        <v>93</v>
      </c>
      <c r="C21" s="28" t="s">
        <v>94</v>
      </c>
      <c r="D21" s="28" t="s">
        <v>88</v>
      </c>
      <c r="E21" s="35">
        <v>8.199999999999999</v>
      </c>
      <c r="F21" s="36">
        <v>1.25</v>
      </c>
      <c r="G21" s="35">
        <v>0.65</v>
      </c>
      <c r="H21" s="37">
        <v>28</v>
      </c>
      <c r="I21" s="37">
        <v>42</v>
      </c>
      <c r="J21" s="38">
        <f>tblStandards[[#This Row],[Std material qty]]*tblStandards[[#This Row],[Std material price]]+tblStandards[[#This Row],[Std labour hours]]*(tblStandards[[#This Row],[Std labour rate]]+tblStandards[[#This Row],[Std overhead rate]])</f>
        <v>55.75</v>
      </c>
      <c r="K21" s="39">
        <f>IF((tblStandards[[#This Row],[Std cost per unit]])=0,"",(tblStandards[[#This Row],[Std material qty]]*tblStandards[[#This Row],[Std material price]])/(tblStandards[[#This Row],[Std cost per unit]]))</f>
        <v>0.183856502242152</v>
      </c>
      <c r="L21" s="28"/>
    </row>
    <row r="22" spans="2:12">
      <c r="B22" s="34" t="s">
        <v>95</v>
      </c>
      <c r="C22" s="28" t="s">
        <v>96</v>
      </c>
      <c r="D22" s="28" t="s">
        <v>88</v>
      </c>
      <c r="E22" s="35">
        <v>11.5</v>
      </c>
      <c r="F22" s="36">
        <v>1.25</v>
      </c>
      <c r="G22" s="35">
        <v>1.4</v>
      </c>
      <c r="H22" s="37">
        <v>28</v>
      </c>
      <c r="I22" s="37">
        <v>42</v>
      </c>
      <c r="J22" s="38">
        <f>tblStandards[[#This Row],[Std material qty]]*tblStandards[[#This Row],[Std material price]]+tblStandards[[#This Row],[Std labour hours]]*(tblStandards[[#This Row],[Std labour rate]]+tblStandards[[#This Row],[Std overhead rate]])</f>
        <v>112.375</v>
      </c>
      <c r="K22" s="39">
        <f>IF((tblStandards[[#This Row],[Std cost per unit]])=0,"",(tblStandards[[#This Row],[Std material qty]]*tblStandards[[#This Row],[Std material price]])/(tblStandards[[#This Row],[Std cost per unit]]))</f>
        <v>0.127919911012236</v>
      </c>
      <c r="L22" s="28"/>
    </row>
    <row r="23" spans="2:12">
      <c r="B23" s="34" t="s">
        <v>97</v>
      </c>
      <c r="C23" s="28" t="s">
        <v>98</v>
      </c>
      <c r="D23" s="28" t="s">
        <v>88</v>
      </c>
      <c r="E23" s="35">
        <v>32</v>
      </c>
      <c r="F23" s="36">
        <v>1.1</v>
      </c>
      <c r="G23" s="35">
        <v>2.2</v>
      </c>
      <c r="H23" s="37">
        <v>30</v>
      </c>
      <c r="I23" s="37">
        <v>42</v>
      </c>
      <c r="J23" s="38">
        <f>tblStandards[[#This Row],[Std material qty]]*tblStandards[[#This Row],[Std material price]]+tblStandards[[#This Row],[Std labour hours]]*(tblStandards[[#This Row],[Std labour rate]]+tblStandards[[#This Row],[Std overhead rate]])</f>
        <v>193.6</v>
      </c>
      <c r="K23" s="39">
        <f>IF((tblStandards[[#This Row],[Std cost per unit]])=0,"",(tblStandards[[#This Row],[Std material qty]]*tblStandards[[#This Row],[Std material price]])/(tblStandards[[#This Row],[Std cost per unit]]))</f>
        <v>0.181818181818182</v>
      </c>
      <c r="L23" s="28"/>
    </row>
  </sheetData>
  <mergeCells count="8">
    <mergeCell ref="A1:L1"/>
    <mergeCell ref="B2:K2"/>
    <mergeCell ref="B4:L4"/>
    <mergeCell ref="C6:D6"/>
    <mergeCell ref="C7:D7"/>
    <mergeCell ref="B11:L11"/>
    <mergeCell ref="B13:L13"/>
    <mergeCell ref="B15:L15"/>
  </mergeCells>
  <dataValidations count="13">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every amount, e.g. USD, EUR, GBP, INR, MXN. No exchange rate is applied. Text up to 12 characters." sqref="C7">
      <formula1>0</formula1>
      <formula2>12</formula2>
    </dataValidation>
    <dataValidation type="decimal" allowBlank="1" showInputMessage="1" showErrorMessage="1" errorTitle="Check this entry" error="Enter a percentage from 0% to 1000% (type 85% or 0.85)." promptTitle="Threshold: share of standard ..." prompt="Share of the order's standard cost. Your own rule; no benchmark is assumed. Enter a percentage from 0% to 1000% (type 85% or 0.85)." sqref="C8">
      <formula1>0</formula1>
      <formula2>10</formula2>
    </dataValidation>
    <dataValidation type="decimal" allowBlank="1" showInputMessage="1" showErrorMessage="1" errorTitle="Check this entry" error="Enter a number of at least 0." promptTitle="Threshold: amount" prompt="Amount of the order's total variance, favourable or unfavourable. Enter a number of at least 0." sqref="C9">
      <formula1>0</formula1>
      <formula2>1000000000.0</formula2>
    </dataValidation>
    <dataValidation type="textLength" allowBlank="1" showInputMessage="1" showErrorMessage="1" errorTitle="Check this entry" error="Text up to 30 characters." promptTitle="Product" prompt="Text up to 30 characters." sqref="B18:B123">
      <formula1>0</formula1>
      <formula2>30</formula2>
    </dataValidation>
    <dataValidation type="textLength" allowBlank="1" showInputMessage="1" showErrorMessage="1" errorTitle="Check this entry" error="Text up to 60 characters." promptTitle="Description" prompt="Text up to 60 characters." sqref="C18:C123">
      <formula1>0</formula1>
      <formula2>60</formula2>
    </dataValidation>
    <dataValidation type="textLength" allowBlank="1" showInputMessage="1" showErrorMessage="1" errorTitle="Check this entry" error="Text up to 12 characters." promptTitle="Material unit" prompt="Unit the material is bought and issued in: kg, lb, m, ft, pcs. Text up to 12 characters." sqref="D18:D123">
      <formula1>0</formula1>
      <formula2>12</formula2>
    </dataValidation>
    <dataValidation type="decimal" allowBlank="1" showInputMessage="1" showErrorMessage="1" errorTitle="Check this entry" error="Enter a number from 0 to 10,000,000." promptTitle="Std material qty" prompt="Material per good unit of product, in the material unit, including the planned scrap allowance. Enter a number from 0 to 10,000,000." sqref="E18:E123">
      <formula1>0</formula1>
      <formula2>10000000.0</formula2>
    </dataValidation>
    <dataValidation type="decimal" allowBlank="1" showInputMessage="1" showErrorMessage="1" errorTitle="Check this entry" error="Enter a number from 0 to 10,000,000." promptTitle="Std material price" prompt="Standard price per material unit. Enter a number from 0 to 10,000,000." sqref="F18:F123">
      <formula1>0</formula1>
      <formula2>10000000.0</formula2>
    </dataValidation>
    <dataValidation type="decimal" allowBlank="1" showInputMessage="1" showErrorMessage="1" errorTitle="Check this entry" error="Enter a number from 0 to 10,000." promptTitle="Std labour hours" prompt="Standard direct labour hours per good unit (routing standard). Enter a number from 0 to 10,000." sqref="G18:G123">
      <formula1>0</formula1>
      <formula2>10000</formula2>
    </dataValidation>
    <dataValidation type="decimal" allowBlank="1" showInputMessage="1" showErrorMessage="1" errorTitle="Check this entry" error="Enter a number from 0 to 10,000." promptTitle="Std labour rate" prompt="Standard loaded labour rate per hour. Enter a number from 0 to 10,000." sqref="H18:H123">
      <formula1>0</formula1>
      <formula2>10000</formula2>
    </dataValidation>
    <dataValidation type="decimal" allowBlank="1" showInputMessage="1" showErrorMessage="1" errorTitle="Check this entry" error="Enter a number from 0 to 10,000." promptTitle="Std overhead rate" prompt="Standard overhead applied per direct labour hour. Enter a number from 0 to 10,000." sqref="I18:I123">
      <formula1>0</formula1>
      <formula2>10000</formula2>
    </dataValidation>
    <dataValidation type="textLength" allowBlank="1" showInputMessage="1" showErrorMessage="1" errorTitle="Check this entry" error="Text up to 120 characters." promptTitle="Notes" prompt="Text up to 120 characters." sqref="L18:L123">
      <formula1>0</formula1>
      <formula2>120</formula2>
    </dataValidation>
  </dataValidations>
  <hyperlinks>
    <hyperlink ref="L2" r:id="rId1" tooltip="Free manufacturing calculators and templates"/>
  </hyperlinks>
  <pageMargins left="0.4" right="0.4" top="0.7" bottom="0.65" header="0.3" footer="0.3"/>
  <pageSetup fitToHeight="0" orientation="landscape"/>
  <headerFooter>
    <oddHeader>&amp;L&amp;8MFG Calcs - Standard Cost Variance&amp;R&amp;8&amp;A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AD66"/>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1.7109375" customWidth="1"/>
    <col min="3" max="3" width="10.7109375" customWidth="1"/>
    <col min="4" max="4" width="9.7109375" customWidth="1"/>
    <col min="5" max="5" width="8.28515625" customWidth="1"/>
    <col min="6" max="6" width="9.7109375" customWidth="1"/>
    <col min="7" max="7" width="10.7109375" customWidth="1"/>
    <col min="8" max="8" width="8.7109375" customWidth="1"/>
    <col min="9" max="10" width="10.7109375" customWidth="1"/>
    <col min="11" max="15" width="9.28515625" customWidth="1"/>
    <col min="16" max="16" width="9.7109375" customWidth="1"/>
    <col min="17" max="17" width="9.28515625" customWidth="1"/>
    <col min="18" max="19" width="10.28515625" customWidth="1"/>
    <col min="20" max="22" width="9.7109375" customWidth="1"/>
    <col min="23" max="23" width="10.28515625" customWidth="1"/>
    <col min="24" max="24" width="9.7109375" customWidth="1"/>
    <col min="25" max="26" width="10.28515625" customWidth="1"/>
    <col min="27" max="27" width="11.7109375" customWidth="1"/>
    <col min="28" max="28" width="17.7109375" customWidth="1"/>
    <col min="29" max="29" width="11.28515625" customWidth="1"/>
    <col min="30" max="30" width="22.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22</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18" customHeight="1">
      <c r="B4" s="40" t="s">
        <v>121</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14" customHeight="1">
      <c r="B5" s="32"/>
      <c r="C5" s="32"/>
      <c r="D5" s="32"/>
      <c r="E5" s="32" t="s">
        <v>122</v>
      </c>
      <c r="F5" s="32" t="s">
        <v>123</v>
      </c>
      <c r="G5" s="32" t="str">
        <f>Currency</f>
        <v>USD</v>
      </c>
      <c r="H5" s="32" t="s">
        <v>124</v>
      </c>
      <c r="I5" s="32" t="str">
        <f>Currency</f>
        <v>USD</v>
      </c>
      <c r="J5" s="32" t="str">
        <f>Currency</f>
        <v>USD</v>
      </c>
      <c r="K5" s="32" t="s">
        <v>83</v>
      </c>
      <c r="L5" s="32" t="str">
        <f>Currency&amp;"/mat. unit"</f>
        <v>USD/mat. unit</v>
      </c>
      <c r="M5" s="32" t="s">
        <v>84</v>
      </c>
      <c r="N5" s="32" t="str">
        <f>Currency&amp;"/h"</f>
        <v>USD/h</v>
      </c>
      <c r="O5" s="32" t="str">
        <f>Currency&amp;"/h"</f>
        <v>USD/h</v>
      </c>
      <c r="P5" s="32" t="s">
        <v>123</v>
      </c>
      <c r="Q5" s="32" t="s">
        <v>124</v>
      </c>
      <c r="R5" s="32" t="str">
        <f>Currency</f>
        <v>USD</v>
      </c>
      <c r="S5" s="32" t="str">
        <f>Currency</f>
        <v>USD</v>
      </c>
      <c r="T5" s="32" t="str">
        <f>Currency</f>
        <v>USD</v>
      </c>
      <c r="U5" s="32" t="str">
        <f>Currency</f>
        <v>USD</v>
      </c>
      <c r="V5" s="32" t="str">
        <f>Currency</f>
        <v>USD</v>
      </c>
      <c r="W5" s="32" t="str">
        <f>Currency</f>
        <v>USD</v>
      </c>
      <c r="X5" s="32" t="str">
        <f>Currency</f>
        <v>USD</v>
      </c>
      <c r="Y5" s="32" t="str">
        <f>Currency</f>
        <v>USD</v>
      </c>
      <c r="Z5" s="32" t="s">
        <v>85</v>
      </c>
      <c r="AA5" s="32"/>
      <c r="AB5" s="32"/>
      <c r="AC5" s="32"/>
      <c r="AD5" s="32"/>
    </row>
    <row r="6" spans="1:30" ht="45.5" customHeight="1">
      <c r="B6" s="33" t="s">
        <v>99</v>
      </c>
      <c r="C6" s="33" t="s">
        <v>100</v>
      </c>
      <c r="D6" s="33" t="s">
        <v>62</v>
      </c>
      <c r="E6" s="33" t="s">
        <v>101</v>
      </c>
      <c r="F6" s="33" t="s">
        <v>102</v>
      </c>
      <c r="G6" s="33" t="s">
        <v>103</v>
      </c>
      <c r="H6" s="33" t="s">
        <v>104</v>
      </c>
      <c r="I6" s="33" t="s">
        <v>105</v>
      </c>
      <c r="J6" s="33" t="s">
        <v>106</v>
      </c>
      <c r="K6" s="33" t="s">
        <v>65</v>
      </c>
      <c r="L6" s="33" t="s">
        <v>66</v>
      </c>
      <c r="M6" s="33" t="s">
        <v>67</v>
      </c>
      <c r="N6" s="33" t="s">
        <v>68</v>
      </c>
      <c r="O6" s="33" t="s">
        <v>69</v>
      </c>
      <c r="P6" s="33" t="s">
        <v>107</v>
      </c>
      <c r="Q6" s="33" t="s">
        <v>108</v>
      </c>
      <c r="R6" s="33" t="s">
        <v>109</v>
      </c>
      <c r="S6" s="33" t="s">
        <v>110</v>
      </c>
      <c r="T6" s="33" t="s">
        <v>111</v>
      </c>
      <c r="U6" s="33" t="s">
        <v>112</v>
      </c>
      <c r="V6" s="33" t="s">
        <v>113</v>
      </c>
      <c r="W6" s="33" t="s">
        <v>114</v>
      </c>
      <c r="X6" s="33" t="s">
        <v>115</v>
      </c>
      <c r="Y6" s="33" t="s">
        <v>116</v>
      </c>
      <c r="Z6" s="33" t="s">
        <v>117</v>
      </c>
      <c r="AA6" s="33" t="s">
        <v>118</v>
      </c>
      <c r="AB6" s="33" t="s">
        <v>119</v>
      </c>
      <c r="AC6" s="33" t="s">
        <v>120</v>
      </c>
      <c r="AD6" s="33" t="s">
        <v>72</v>
      </c>
    </row>
    <row r="7" spans="1:30">
      <c r="B7" s="41">
        <v>46113</v>
      </c>
      <c r="C7" s="28" t="s">
        <v>125</v>
      </c>
      <c r="D7" s="28" t="s">
        <v>86</v>
      </c>
      <c r="E7" s="30">
        <v>590</v>
      </c>
      <c r="F7" s="42">
        <v>1098.7</v>
      </c>
      <c r="G7" s="37">
        <v>1196.48</v>
      </c>
      <c r="H7" s="42">
        <v>70.7</v>
      </c>
      <c r="I7" s="37">
        <v>1974.32</v>
      </c>
      <c r="J7" s="37">
        <v>2934.05</v>
      </c>
      <c r="K7" s="43">
        <f>IF(tblOrders[[#This Row],[Date closed]]="","",IFERROR(INDEX(tblStandards[Std material qty],MATCH(tblOrders[[#This Row],[Product]],tblStandards[Product],0)),""))</f>
        <v>1.8</v>
      </c>
      <c r="L7" s="44">
        <f>IF(tblOrders[[#This Row],[Date closed]]="","",IFERROR(INDEX(tblStandards[Std material price],MATCH(tblOrders[[#This Row],[Product]],tblStandards[Product],0)),""))</f>
        <v>1.1</v>
      </c>
      <c r="M7" s="43">
        <f>IF(tblOrders[[#This Row],[Date closed]]="","",IFERROR(INDEX(tblStandards[Std labour hours],MATCH(tblOrders[[#This Row],[Product]],tblStandards[Product],0)),""))</f>
        <v>0.12</v>
      </c>
      <c r="N7" s="45">
        <f>IF(tblOrders[[#This Row],[Date closed]]="","",IFERROR(INDEX(tblStandards[Std labour rate],MATCH(tblOrders[[#This Row],[Product]],tblStandards[Product],0)),""))</f>
        <v>28</v>
      </c>
      <c r="O7" s="45">
        <f>IF(tblOrders[[#This Row],[Date closed]]="","",IFERROR(INDEX(tblStandards[Std overhead rate],MATCH(tblOrders[[#This Row],[Product]],tblStandards[Product],0)),""))</f>
        <v>42</v>
      </c>
      <c r="P7" s="46">
        <f>IF(tblOrders[[#This Row],[Date closed]]="","",IF(tblOrders[[#This Row],[Std material qty]]="","",tblOrders[[#This Row],[Good qty]]*tblOrders[[#This Row],[Std material qty]]))</f>
        <v>1062</v>
      </c>
      <c r="Q7" s="46">
        <f>IF(tblOrders[[#This Row],[Date closed]]="","",IF(tblOrders[[#This Row],[Std labour hours]]="","",tblOrders[[#This Row],[Good qty]]*tblOrders[[#This Row],[Std labour hours]]))</f>
        <v>70.8</v>
      </c>
      <c r="R7" s="47">
        <f>IF(tblOrders[[#This Row],[Date closed]]="","",IF(tblOrders[[#This Row],[Std qty allowed]]="","",tblOrders[[#This Row],[Std qty allowed]]*tblOrders[[#This Row],[Std material price]]+tblOrders[[#This Row],[Std hours allowed]]*(tblOrders[[#This Row],[Std labour rate]]+tblOrders[[#This Row],[Std overhead rate]])))</f>
        <v>6124.2</v>
      </c>
      <c r="S7" s="47">
        <f>IF(tblOrders[[#This Row],[Date closed]]="","",tblOrders[[#This Row],[Material cost]]+tblOrders[[#This Row],[Labour cost]]+tblOrders[[#This Row],[Overhead charged]])</f>
        <v>6104.85</v>
      </c>
      <c r="T7" s="47">
        <f>IF(tblOrders[[#This Row],[Date closed]]="","",IF(tblOrders[[#This Row],[Std material price]]="","",tblOrders[[#This Row],[Material cost]]-tblOrders[[#This Row],[Material used]]*tblOrders[[#This Row],[Std material price]]))</f>
        <v>-12.0900000000001</v>
      </c>
      <c r="U7" s="47">
        <f>IF(tblOrders[[#This Row],[Date closed]]="","",IF(tblOrders[[#This Row],[Std qty allowed]]="","",(tblOrders[[#This Row],[Material used]]-tblOrders[[#This Row],[Std qty allowed]])*tblOrders[[#This Row],[Std material price]]))</f>
        <v>40.3700000000001</v>
      </c>
      <c r="V7" s="47">
        <f>IF(tblOrders[[#This Row],[Date closed]]="","",IF(tblOrders[[#This Row],[Std labour rate]]="","",tblOrders[[#This Row],[Labour cost]]-tblOrders[[#This Row],[Labour hours]]*tblOrders[[#This Row],[Std labour rate]]))</f>
        <v>-5.2800000000002</v>
      </c>
      <c r="W7" s="47">
        <f>IF(tblOrders[[#This Row],[Date closed]]="","",IF(tblOrders[[#This Row],[Std hours allowed]]="","",(tblOrders[[#This Row],[Labour hours]]-tblOrders[[#This Row],[Std hours allowed]])*tblOrders[[#This Row],[Std labour rate]]))</f>
        <v>-2.79999999999984</v>
      </c>
      <c r="X7" s="47">
        <f>IF(tblOrders[[#This Row],[Date closed]]="","",IF(tblOrders[[#This Row],[Std hours allowed]]="","",tblOrders[[#This Row],[Overhead charged]]-tblOrders[[#This Row],[Std hours allowed]]*tblOrders[[#This Row],[Std overhead rate]]))</f>
        <v>-39.5499999999997</v>
      </c>
      <c r="Y7" s="48">
        <f>IF(tblOrders[[#This Row],[Date closed]]="","",IF(tblOrders[[#This Row],[Standard cost]]="","",tblOrders[[#This Row],[Actual cost]]-tblOrders[[#This Row],[Standard cost]]))</f>
        <v>-19.3499999999995</v>
      </c>
      <c r="Z7" s="49">
        <f>IF(tblOrders[[#This Row],[Date closed]]="","",IF(N(tblOrders[[#This Row],[Standard cost]])=0,"",tblOrders[[#This Row],[Total variance]]/tblOrders[[#This Row],[Standard cost]]))</f>
        <v>-0.00315959635544225</v>
      </c>
      <c r="AA7" s="50" t="str">
        <f>IF(tblOrders[[#This Row],[Date closed]]="","",IF(tblOrders[[#This Row],[Variance of standard]]="","",IF(AND(ABS(tblOrders[[#This Row],[Total variance]])&gt;=AmtLimit,ABS(tblOrders[[#This Row],[Variance of standard]])&gt;=PctLimit),"Out of limits","Within limits")))</f>
        <v>Within limits</v>
      </c>
      <c r="AB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7" s="52">
        <f>IF(tblOrders[[#This Row],[Date closed]]="","",IF(AND(tblOrders[[#This Row],[Date closed]]&gt;=FFrom,tblOrders[[#This Row],[Date closed]]&lt;=FTo,OR(DashProduct="",tblOrders[[#This Row],[Product]]=DashProduct)),tblOrders[[#This Row],[Date closed]],""))</f>
        <v>46113</v>
      </c>
      <c r="AD7" s="28" t="s">
        <v>126</v>
      </c>
    </row>
    <row r="8" spans="1:30">
      <c r="B8" s="41">
        <v>46114</v>
      </c>
      <c r="C8" s="28" t="s">
        <v>127</v>
      </c>
      <c r="D8" s="28" t="s">
        <v>89</v>
      </c>
      <c r="E8" s="30">
        <v>300</v>
      </c>
      <c r="F8" s="42">
        <v>1930.7</v>
      </c>
      <c r="G8" s="37">
        <v>2121.84</v>
      </c>
      <c r="H8" s="42">
        <v>58.5</v>
      </c>
      <c r="I8" s="37">
        <v>1660.79</v>
      </c>
      <c r="J8" s="37">
        <v>2427.75</v>
      </c>
      <c r="K8" s="43">
        <f>IF(tblOrders[[#This Row],[Date closed]]="","",IFERROR(INDEX(tblStandards[Std material qty],MATCH(tblOrders[[#This Row],[Product]],tblStandards[Product],0)),""))</f>
        <v>6.5</v>
      </c>
      <c r="L8" s="44">
        <f>IF(tblOrders[[#This Row],[Date closed]]="","",IFERROR(INDEX(tblStandards[Std material price],MATCH(tblOrders[[#This Row],[Product]],tblStandards[Product],0)),""))</f>
        <v>1.1</v>
      </c>
      <c r="M8" s="43">
        <f>IF(tblOrders[[#This Row],[Date closed]]="","",IFERROR(INDEX(tblStandards[Std labour hours],MATCH(tblOrders[[#This Row],[Product]],tblStandards[Product],0)),""))</f>
        <v>0.2</v>
      </c>
      <c r="N8" s="45">
        <f>IF(tblOrders[[#This Row],[Date closed]]="","",IFERROR(INDEX(tblStandards[Std labour rate],MATCH(tblOrders[[#This Row],[Product]],tblStandards[Product],0)),""))</f>
        <v>28</v>
      </c>
      <c r="O8" s="45">
        <f>IF(tblOrders[[#This Row],[Date closed]]="","",IFERROR(INDEX(tblStandards[Std overhead rate],MATCH(tblOrders[[#This Row],[Product]],tblStandards[Product],0)),""))</f>
        <v>42</v>
      </c>
      <c r="P8" s="46">
        <f>IF(tblOrders[[#This Row],[Date closed]]="","",IF(tblOrders[[#This Row],[Std material qty]]="","",tblOrders[[#This Row],[Good qty]]*tblOrders[[#This Row],[Std material qty]]))</f>
        <v>1950</v>
      </c>
      <c r="Q8" s="46">
        <f>IF(tblOrders[[#This Row],[Date closed]]="","",IF(tblOrders[[#This Row],[Std labour hours]]="","",tblOrders[[#This Row],[Good qty]]*tblOrders[[#This Row],[Std labour hours]]))</f>
        <v>60</v>
      </c>
      <c r="R8" s="47">
        <f>IF(tblOrders[[#This Row],[Date closed]]="","",IF(tblOrders[[#This Row],[Std qty allowed]]="","",tblOrders[[#This Row],[Std qty allowed]]*tblOrders[[#This Row],[Std material price]]+tblOrders[[#This Row],[Std hours allowed]]*(tblOrders[[#This Row],[Std labour rate]]+tblOrders[[#This Row],[Std overhead rate]])))</f>
        <v>6345</v>
      </c>
      <c r="S8" s="47">
        <f>IF(tblOrders[[#This Row],[Date closed]]="","",tblOrders[[#This Row],[Material cost]]+tblOrders[[#This Row],[Labour cost]]+tblOrders[[#This Row],[Overhead charged]])</f>
        <v>6210.38</v>
      </c>
      <c r="T8" s="47">
        <f>IF(tblOrders[[#This Row],[Date closed]]="","",IF(tblOrders[[#This Row],[Std material price]]="","",tblOrders[[#This Row],[Material cost]]-tblOrders[[#This Row],[Material used]]*tblOrders[[#This Row],[Std material price]]))</f>
        <v>-1.93000000000029</v>
      </c>
      <c r="U8" s="47">
        <f>IF(tblOrders[[#This Row],[Date closed]]="","",IF(tblOrders[[#This Row],[Std qty allowed]]="","",(tblOrders[[#This Row],[Material used]]-tblOrders[[#This Row],[Std qty allowed]])*tblOrders[[#This Row],[Std material price]]))</f>
        <v>-21.23</v>
      </c>
      <c r="V8" s="47">
        <f>IF(tblOrders[[#This Row],[Date closed]]="","",IF(tblOrders[[#This Row],[Std labour rate]]="","",tblOrders[[#This Row],[Labour cost]]-tblOrders[[#This Row],[Labour hours]]*tblOrders[[#This Row],[Std labour rate]]))</f>
        <v>22.79</v>
      </c>
      <c r="W8" s="47">
        <f>IF(tblOrders[[#This Row],[Date closed]]="","",IF(tblOrders[[#This Row],[Std hours allowed]]="","",(tblOrders[[#This Row],[Labour hours]]-tblOrders[[#This Row],[Std hours allowed]])*tblOrders[[#This Row],[Std labour rate]]))</f>
        <v>-42</v>
      </c>
      <c r="X8" s="47">
        <f>IF(tblOrders[[#This Row],[Date closed]]="","",IF(tblOrders[[#This Row],[Std hours allowed]]="","",tblOrders[[#This Row],[Overhead charged]]-tblOrders[[#This Row],[Std hours allowed]]*tblOrders[[#This Row],[Std overhead rate]]))</f>
        <v>-92.25</v>
      </c>
      <c r="Y8" s="48">
        <f>IF(tblOrders[[#This Row],[Date closed]]="","",IF(tblOrders[[#This Row],[Standard cost]]="","",tblOrders[[#This Row],[Actual cost]]-tblOrders[[#This Row],[Standard cost]]))</f>
        <v>-134.62</v>
      </c>
      <c r="Z8" s="49">
        <f>IF(tblOrders[[#This Row],[Date closed]]="","",IF(N(tblOrders[[#This Row],[Standard cost]])=0,"",tblOrders[[#This Row],[Total variance]]/tblOrders[[#This Row],[Standard cost]]))</f>
        <v>-0.0212167060677699</v>
      </c>
      <c r="AA8" s="50" t="str">
        <f>IF(tblOrders[[#This Row],[Date closed]]="","",IF(tblOrders[[#This Row],[Variance of standard]]="","",IF(AND(ABS(tblOrders[[#This Row],[Total variance]])&gt;=AmtLimit,ABS(tblOrders[[#This Row],[Variance of standard]])&gt;=PctLimit),"Out of limits","Within limits")))</f>
        <v>Within limits</v>
      </c>
      <c r="AB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8" s="52">
        <f>IF(tblOrders[[#This Row],[Date closed]]="","",IF(AND(tblOrders[[#This Row],[Date closed]]&gt;=FFrom,tblOrders[[#This Row],[Date closed]]&lt;=FTo,OR(DashProduct="",tblOrders[[#This Row],[Product]]=DashProduct)),tblOrders[[#This Row],[Date closed]],""))</f>
        <v>46114</v>
      </c>
      <c r="AD8" s="28" t="s">
        <v>126</v>
      </c>
    </row>
    <row r="9" spans="1:30">
      <c r="B9" s="41">
        <v>46118</v>
      </c>
      <c r="C9" s="28" t="s">
        <v>128</v>
      </c>
      <c r="D9" s="28" t="s">
        <v>91</v>
      </c>
      <c r="E9" s="30">
        <v>70</v>
      </c>
      <c r="F9" s="42">
        <v>1002.9</v>
      </c>
      <c r="G9" s="37">
        <v>1157.35</v>
      </c>
      <c r="H9" s="42">
        <v>73</v>
      </c>
      <c r="I9" s="37">
        <v>2195.91</v>
      </c>
      <c r="J9" s="37">
        <v>3029.5</v>
      </c>
      <c r="K9" s="43">
        <f>IF(tblOrders[[#This Row],[Date closed]]="","",IFERROR(INDEX(tblStandards[Std material qty],MATCH(tblOrders[[#This Row],[Product]],tblStandards[Product],0)),""))</f>
        <v>14</v>
      </c>
      <c r="L9" s="44">
        <f>IF(tblOrders[[#This Row],[Date closed]]="","",IFERROR(INDEX(tblStandards[Std material price],MATCH(tblOrders[[#This Row],[Product]],tblStandards[Product],0)),""))</f>
        <v>1.15</v>
      </c>
      <c r="M9" s="43">
        <f>IF(tblOrders[[#This Row],[Date closed]]="","",IFERROR(INDEX(tblStandards[Std labour hours],MATCH(tblOrders[[#This Row],[Product]],tblStandards[Product],0)),""))</f>
        <v>1.1</v>
      </c>
      <c r="N9" s="45">
        <f>IF(tblOrders[[#This Row],[Date closed]]="","",IFERROR(INDEX(tblStandards[Std labour rate],MATCH(tblOrders[[#This Row],[Product]],tblStandards[Product],0)),""))</f>
        <v>30</v>
      </c>
      <c r="O9" s="45">
        <f>IF(tblOrders[[#This Row],[Date closed]]="","",IFERROR(INDEX(tblStandards[Std overhead rate],MATCH(tblOrders[[#This Row],[Product]],tblStandards[Product],0)),""))</f>
        <v>42</v>
      </c>
      <c r="P9" s="46">
        <f>IF(tblOrders[[#This Row],[Date closed]]="","",IF(tblOrders[[#This Row],[Std material qty]]="","",tblOrders[[#This Row],[Good qty]]*tblOrders[[#This Row],[Std material qty]]))</f>
        <v>980</v>
      </c>
      <c r="Q9" s="46">
        <f>IF(tblOrders[[#This Row],[Date closed]]="","",IF(tblOrders[[#This Row],[Std labour hours]]="","",tblOrders[[#This Row],[Good qty]]*tblOrders[[#This Row],[Std labour hours]]))</f>
        <v>77</v>
      </c>
      <c r="R9" s="47">
        <f>IF(tblOrders[[#This Row],[Date closed]]="","",IF(tblOrders[[#This Row],[Std qty allowed]]="","",tblOrders[[#This Row],[Std qty allowed]]*tblOrders[[#This Row],[Std material price]]+tblOrders[[#This Row],[Std hours allowed]]*(tblOrders[[#This Row],[Std labour rate]]+tblOrders[[#This Row],[Std overhead rate]])))</f>
        <v>6671</v>
      </c>
      <c r="S9" s="47">
        <f>IF(tblOrders[[#This Row],[Date closed]]="","",tblOrders[[#This Row],[Material cost]]+tblOrders[[#This Row],[Labour cost]]+tblOrders[[#This Row],[Overhead charged]])</f>
        <v>6382.76</v>
      </c>
      <c r="T9" s="47">
        <f>IF(tblOrders[[#This Row],[Date closed]]="","",IF(tblOrders[[#This Row],[Std material price]]="","",tblOrders[[#This Row],[Material cost]]-tblOrders[[#This Row],[Material used]]*tblOrders[[#This Row],[Std material price]]))</f>
        <v>4.0150000000001</v>
      </c>
      <c r="U9" s="47">
        <f>IF(tblOrders[[#This Row],[Date closed]]="","",IF(tblOrders[[#This Row],[Std qty allowed]]="","",(tblOrders[[#This Row],[Material used]]-tblOrders[[#This Row],[Std qty allowed]])*tblOrders[[#This Row],[Std material price]]))</f>
        <v>26.335</v>
      </c>
      <c r="V9" s="47">
        <f>IF(tblOrders[[#This Row],[Date closed]]="","",IF(tblOrders[[#This Row],[Std labour rate]]="","",tblOrders[[#This Row],[Labour cost]]-tblOrders[[#This Row],[Labour hours]]*tblOrders[[#This Row],[Std labour rate]]))</f>
        <v>5.90999999999985</v>
      </c>
      <c r="W9" s="47">
        <f>IF(tblOrders[[#This Row],[Date closed]]="","",IF(tblOrders[[#This Row],[Std hours allowed]]="","",(tblOrders[[#This Row],[Labour hours]]-tblOrders[[#This Row],[Std hours allowed]])*tblOrders[[#This Row],[Std labour rate]]))</f>
        <v>-120</v>
      </c>
      <c r="X9" s="47">
        <f>IF(tblOrders[[#This Row],[Date closed]]="","",IF(tblOrders[[#This Row],[Std hours allowed]]="","",tblOrders[[#This Row],[Overhead charged]]-tblOrders[[#This Row],[Std hours allowed]]*tblOrders[[#This Row],[Std overhead rate]]))</f>
        <v>-204.5</v>
      </c>
      <c r="Y9" s="48">
        <f>IF(tblOrders[[#This Row],[Date closed]]="","",IF(tblOrders[[#This Row],[Standard cost]]="","",tblOrders[[#This Row],[Actual cost]]-tblOrders[[#This Row],[Standard cost]]))</f>
        <v>-288.24</v>
      </c>
      <c r="Z9" s="49">
        <f>IF(tblOrders[[#This Row],[Date closed]]="","",IF(N(tblOrders[[#This Row],[Standard cost]])=0,"",tblOrders[[#This Row],[Total variance]]/tblOrders[[#This Row],[Standard cost]]))</f>
        <v>-0.043207914855344</v>
      </c>
      <c r="AA9" s="50" t="str">
        <f>IF(tblOrders[[#This Row],[Date closed]]="","",IF(tblOrders[[#This Row],[Variance of standard]]="","",IF(AND(ABS(tblOrders[[#This Row],[Total variance]])&gt;=AmtLimit,ABS(tblOrders[[#This Row],[Variance of standard]])&gt;=PctLimit),"Out of limits","Within limits")))</f>
        <v>Within limits</v>
      </c>
      <c r="AB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9" s="52">
        <f>IF(tblOrders[[#This Row],[Date closed]]="","",IF(AND(tblOrders[[#This Row],[Date closed]]&gt;=FFrom,tblOrders[[#This Row],[Date closed]]&lt;=FTo,OR(DashProduct="",tblOrders[[#This Row],[Product]]=DashProduct)),tblOrders[[#This Row],[Date closed]],""))</f>
        <v>46118</v>
      </c>
      <c r="AD9" s="28" t="s">
        <v>126</v>
      </c>
    </row>
    <row r="10" spans="1:30">
      <c r="B10" s="41">
        <v>46126</v>
      </c>
      <c r="C10" s="28" t="s">
        <v>129</v>
      </c>
      <c r="D10" s="28" t="s">
        <v>93</v>
      </c>
      <c r="E10" s="30">
        <v>70</v>
      </c>
      <c r="F10" s="42">
        <v>577.4</v>
      </c>
      <c r="G10" s="37">
        <v>729.26</v>
      </c>
      <c r="H10" s="42">
        <v>44.1</v>
      </c>
      <c r="I10" s="37">
        <v>1242.76</v>
      </c>
      <c r="J10" s="37">
        <v>1830.15</v>
      </c>
      <c r="K10" s="43">
        <f>IF(tblOrders[[#This Row],[Date closed]]="","",IFERROR(INDEX(tblStandards[Std material qty],MATCH(tblOrders[[#This Row],[Product]],tblStandards[Product],0)),""))</f>
        <v>8.2</v>
      </c>
      <c r="L10" s="44">
        <f>IF(tblOrders[[#This Row],[Date closed]]="","",IFERROR(INDEX(tblStandards[Std material price],MATCH(tblOrders[[#This Row],[Product]],tblStandards[Product],0)),""))</f>
        <v>1.25</v>
      </c>
      <c r="M10" s="43">
        <f>IF(tblOrders[[#This Row],[Date closed]]="","",IFERROR(INDEX(tblStandards[Std labour hours],MATCH(tblOrders[[#This Row],[Product]],tblStandards[Product],0)),""))</f>
        <v>0.65</v>
      </c>
      <c r="N10" s="45">
        <f>IF(tblOrders[[#This Row],[Date closed]]="","",IFERROR(INDEX(tblStandards[Std labour rate],MATCH(tblOrders[[#This Row],[Product]],tblStandards[Product],0)),""))</f>
        <v>28</v>
      </c>
      <c r="O10" s="45">
        <f>IF(tblOrders[[#This Row],[Date closed]]="","",IFERROR(INDEX(tblStandards[Std overhead rate],MATCH(tblOrders[[#This Row],[Product]],tblStandards[Product],0)),""))</f>
        <v>42</v>
      </c>
      <c r="P10" s="46">
        <f>IF(tblOrders[[#This Row],[Date closed]]="","",IF(tblOrders[[#This Row],[Std material qty]]="","",tblOrders[[#This Row],[Good qty]]*tblOrders[[#This Row],[Std material qty]]))</f>
        <v>574</v>
      </c>
      <c r="Q10" s="46">
        <f>IF(tblOrders[[#This Row],[Date closed]]="","",IF(tblOrders[[#This Row],[Std labour hours]]="","",tblOrders[[#This Row],[Good qty]]*tblOrders[[#This Row],[Std labour hours]]))</f>
        <v>45.5</v>
      </c>
      <c r="R10" s="47">
        <f>IF(tblOrders[[#This Row],[Date closed]]="","",IF(tblOrders[[#This Row],[Std qty allowed]]="","",tblOrders[[#This Row],[Std qty allowed]]*tblOrders[[#This Row],[Std material price]]+tblOrders[[#This Row],[Std hours allowed]]*(tblOrders[[#This Row],[Std labour rate]]+tblOrders[[#This Row],[Std overhead rate]])))</f>
        <v>3902.5</v>
      </c>
      <c r="S10" s="47">
        <f>IF(tblOrders[[#This Row],[Date closed]]="","",tblOrders[[#This Row],[Material cost]]+tblOrders[[#This Row],[Labour cost]]+tblOrders[[#This Row],[Overhead charged]])</f>
        <v>3802.17</v>
      </c>
      <c r="T10" s="47">
        <f>IF(tblOrders[[#This Row],[Date closed]]="","",IF(tblOrders[[#This Row],[Std material price]]="","",tblOrders[[#This Row],[Material cost]]-tblOrders[[#This Row],[Material used]]*tblOrders[[#This Row],[Std material price]]))</f>
        <v>7.50999999999999</v>
      </c>
      <c r="U10" s="47">
        <f>IF(tblOrders[[#This Row],[Date closed]]="","",IF(tblOrders[[#This Row],[Std qty allowed]]="","",(tblOrders[[#This Row],[Material used]]-tblOrders[[#This Row],[Std qty allowed]])*tblOrders[[#This Row],[Std material price]]))</f>
        <v>4.24999999999997</v>
      </c>
      <c r="V10" s="47">
        <f>IF(tblOrders[[#This Row],[Date closed]]="","",IF(tblOrders[[#This Row],[Std labour rate]]="","",tblOrders[[#This Row],[Labour cost]]-tblOrders[[#This Row],[Labour hours]]*tblOrders[[#This Row],[Std labour rate]]))</f>
        <v>7.96000000000004</v>
      </c>
      <c r="W10" s="47">
        <f>IF(tblOrders[[#This Row],[Date closed]]="","",IF(tblOrders[[#This Row],[Std hours allowed]]="","",(tblOrders[[#This Row],[Labour hours]]-tblOrders[[#This Row],[Std hours allowed]])*tblOrders[[#This Row],[Std labour rate]]))</f>
        <v>-39.2</v>
      </c>
      <c r="X10" s="47">
        <f>IF(tblOrders[[#This Row],[Date closed]]="","",IF(tblOrders[[#This Row],[Std hours allowed]]="","",tblOrders[[#This Row],[Overhead charged]]-tblOrders[[#This Row],[Std hours allowed]]*tblOrders[[#This Row],[Std overhead rate]]))</f>
        <v>-80.8499999999999</v>
      </c>
      <c r="Y10" s="48">
        <f>IF(tblOrders[[#This Row],[Date closed]]="","",IF(tblOrders[[#This Row],[Standard cost]]="","",tblOrders[[#This Row],[Actual cost]]-tblOrders[[#This Row],[Standard cost]]))</f>
        <v>-100.33</v>
      </c>
      <c r="Z10" s="49">
        <f>IF(tblOrders[[#This Row],[Date closed]]="","",IF(N(tblOrders[[#This Row],[Standard cost]])=0,"",tblOrders[[#This Row],[Total variance]]/tblOrders[[#This Row],[Standard cost]]))</f>
        <v>-0.0257091607943626</v>
      </c>
      <c r="AA10" s="50" t="str">
        <f>IF(tblOrders[[#This Row],[Date closed]]="","",IF(tblOrders[[#This Row],[Variance of standard]]="","",IF(AND(ABS(tblOrders[[#This Row],[Total variance]])&gt;=AmtLimit,ABS(tblOrders[[#This Row],[Variance of standard]])&gt;=PctLimit),"Out of limits","Within limits")))</f>
        <v>Within limits</v>
      </c>
      <c r="AB1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0" s="52">
        <f>IF(tblOrders[[#This Row],[Date closed]]="","",IF(AND(tblOrders[[#This Row],[Date closed]]&gt;=FFrom,tblOrders[[#This Row],[Date closed]]&lt;=FTo,OR(DashProduct="",tblOrders[[#This Row],[Product]]=DashProduct)),tblOrders[[#This Row],[Date closed]],""))</f>
        <v>46126</v>
      </c>
      <c r="AD10" s="28" t="s">
        <v>126</v>
      </c>
    </row>
    <row r="11" spans="1:30">
      <c r="B11" s="41">
        <v>46129</v>
      </c>
      <c r="C11" s="28" t="s">
        <v>130</v>
      </c>
      <c r="D11" s="28" t="s">
        <v>95</v>
      </c>
      <c r="E11" s="30">
        <v>110</v>
      </c>
      <c r="F11" s="42">
        <v>1407.1</v>
      </c>
      <c r="G11" s="37">
        <v>1788.42</v>
      </c>
      <c r="H11" s="42">
        <v>154</v>
      </c>
      <c r="I11" s="37">
        <v>4308.94</v>
      </c>
      <c r="J11" s="37">
        <v>6391</v>
      </c>
      <c r="K11" s="43">
        <f>IF(tblOrders[[#This Row],[Date closed]]="","",IFERROR(INDEX(tblStandards[Std material qty],MATCH(tblOrders[[#This Row],[Product]],tblStandards[Product],0)),""))</f>
        <v>11.5</v>
      </c>
      <c r="L11" s="44">
        <f>IF(tblOrders[[#This Row],[Date closed]]="","",IFERROR(INDEX(tblStandards[Std material price],MATCH(tblOrders[[#This Row],[Product]],tblStandards[Product],0)),""))</f>
        <v>1.25</v>
      </c>
      <c r="M11" s="43">
        <f>IF(tblOrders[[#This Row],[Date closed]]="","",IFERROR(INDEX(tblStandards[Std labour hours],MATCH(tblOrders[[#This Row],[Product]],tblStandards[Product],0)),""))</f>
        <v>1.4</v>
      </c>
      <c r="N11" s="45">
        <f>IF(tblOrders[[#This Row],[Date closed]]="","",IFERROR(INDEX(tblStandards[Std labour rate],MATCH(tblOrders[[#This Row],[Product]],tblStandards[Product],0)),""))</f>
        <v>28</v>
      </c>
      <c r="O11" s="45">
        <f>IF(tblOrders[[#This Row],[Date closed]]="","",IFERROR(INDEX(tblStandards[Std overhead rate],MATCH(tblOrders[[#This Row],[Product]],tblStandards[Product],0)),""))</f>
        <v>42</v>
      </c>
      <c r="P11" s="46">
        <f>IF(tblOrders[[#This Row],[Date closed]]="","",IF(tblOrders[[#This Row],[Std material qty]]="","",tblOrders[[#This Row],[Good qty]]*tblOrders[[#This Row],[Std material qty]]))</f>
        <v>1265</v>
      </c>
      <c r="Q11" s="46">
        <f>IF(tblOrders[[#This Row],[Date closed]]="","",IF(tblOrders[[#This Row],[Std labour hours]]="","",tblOrders[[#This Row],[Good qty]]*tblOrders[[#This Row],[Std labour hours]]))</f>
        <v>154</v>
      </c>
      <c r="R11" s="47">
        <f>IF(tblOrders[[#This Row],[Date closed]]="","",IF(tblOrders[[#This Row],[Std qty allowed]]="","",tblOrders[[#This Row],[Std qty allowed]]*tblOrders[[#This Row],[Std material price]]+tblOrders[[#This Row],[Std hours allowed]]*(tblOrders[[#This Row],[Std labour rate]]+tblOrders[[#This Row],[Std overhead rate]])))</f>
        <v>12361.25</v>
      </c>
      <c r="S11" s="47">
        <f>IF(tblOrders[[#This Row],[Date closed]]="","",tblOrders[[#This Row],[Material cost]]+tblOrders[[#This Row],[Labour cost]]+tblOrders[[#This Row],[Overhead charged]])</f>
        <v>12488.36</v>
      </c>
      <c r="T11" s="47">
        <f>IF(tblOrders[[#This Row],[Date closed]]="","",IF(tblOrders[[#This Row],[Std material price]]="","",tblOrders[[#This Row],[Material cost]]-tblOrders[[#This Row],[Material used]]*tblOrders[[#This Row],[Std material price]]))</f>
        <v>29.5450000000001</v>
      </c>
      <c r="U11" s="47">
        <f>IF(tblOrders[[#This Row],[Date closed]]="","",IF(tblOrders[[#This Row],[Std qty allowed]]="","",(tblOrders[[#This Row],[Material used]]-tblOrders[[#This Row],[Std qty allowed]])*tblOrders[[#This Row],[Std material price]]))</f>
        <v>177.625</v>
      </c>
      <c r="V11" s="47">
        <f>IF(tblOrders[[#This Row],[Date closed]]="","",IF(tblOrders[[#This Row],[Std labour rate]]="","",tblOrders[[#This Row],[Labour cost]]-tblOrders[[#This Row],[Labour hours]]*tblOrders[[#This Row],[Std labour rate]]))</f>
        <v>-3.0600000000004</v>
      </c>
      <c r="W11" s="47">
        <f>IF(tblOrders[[#This Row],[Date closed]]="","",IF(tblOrders[[#This Row],[Std hours allowed]]="","",(tblOrders[[#This Row],[Labour hours]]-tblOrders[[#This Row],[Std hours allowed]])*tblOrders[[#This Row],[Std labour rate]]))</f>
        <v>0</v>
      </c>
      <c r="X11" s="47">
        <f>IF(tblOrders[[#This Row],[Date closed]]="","",IF(tblOrders[[#This Row],[Std hours allowed]]="","",tblOrders[[#This Row],[Overhead charged]]-tblOrders[[#This Row],[Std hours allowed]]*tblOrders[[#This Row],[Std overhead rate]]))</f>
        <v>-77</v>
      </c>
      <c r="Y11" s="48">
        <f>IF(tblOrders[[#This Row],[Date closed]]="","",IF(tblOrders[[#This Row],[Standard cost]]="","",tblOrders[[#This Row],[Actual cost]]-tblOrders[[#This Row],[Standard cost]]))</f>
        <v>127.110000000001</v>
      </c>
      <c r="Z11" s="49">
        <f>IF(tblOrders[[#This Row],[Date closed]]="","",IF(N(tblOrders[[#This Row],[Standard cost]])=0,"",tblOrders[[#This Row],[Total variance]]/tblOrders[[#This Row],[Standard cost]]))</f>
        <v>0.0102829406411164</v>
      </c>
      <c r="AA11" s="50" t="str">
        <f>IF(tblOrders[[#This Row],[Date closed]]="","",IF(tblOrders[[#This Row],[Variance of standard]]="","",IF(AND(ABS(tblOrders[[#This Row],[Total variance]])&gt;=AmtLimit,ABS(tblOrders[[#This Row],[Variance of standard]])&gt;=PctLimit),"Out of limits","Within limits")))</f>
        <v>Within limits</v>
      </c>
      <c r="AB1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1" s="52">
        <f>IF(tblOrders[[#This Row],[Date closed]]="","",IF(AND(tblOrders[[#This Row],[Date closed]]&gt;=FFrom,tblOrders[[#This Row],[Date closed]]&lt;=FTo,OR(DashProduct="",tblOrders[[#This Row],[Product]]=DashProduct)),tblOrders[[#This Row],[Date closed]],""))</f>
        <v>46129</v>
      </c>
      <c r="AD11" s="28" t="s">
        <v>126</v>
      </c>
    </row>
    <row r="12" spans="1:30">
      <c r="B12" s="41">
        <v>46133</v>
      </c>
      <c r="C12" s="28" t="s">
        <v>131</v>
      </c>
      <c r="D12" s="28" t="s">
        <v>97</v>
      </c>
      <c r="E12" s="30">
        <v>50</v>
      </c>
      <c r="F12" s="42">
        <v>1643.9</v>
      </c>
      <c r="G12" s="37">
        <v>1805</v>
      </c>
      <c r="H12" s="42">
        <v>105.5</v>
      </c>
      <c r="I12" s="37">
        <v>3254.52</v>
      </c>
      <c r="J12" s="37">
        <v>4378.25</v>
      </c>
      <c r="K12" s="43">
        <f>IF(tblOrders[[#This Row],[Date closed]]="","",IFERROR(INDEX(tblStandards[Std material qty],MATCH(tblOrders[[#This Row],[Product]],tblStandards[Product],0)),""))</f>
        <v>32</v>
      </c>
      <c r="L12" s="44">
        <f>IF(tblOrders[[#This Row],[Date closed]]="","",IFERROR(INDEX(tblStandards[Std material price],MATCH(tblOrders[[#This Row],[Product]],tblStandards[Product],0)),""))</f>
        <v>1.1</v>
      </c>
      <c r="M12" s="43">
        <f>IF(tblOrders[[#This Row],[Date closed]]="","",IFERROR(INDEX(tblStandards[Std labour hours],MATCH(tblOrders[[#This Row],[Product]],tblStandards[Product],0)),""))</f>
        <v>2.2</v>
      </c>
      <c r="N12" s="45">
        <f>IF(tblOrders[[#This Row],[Date closed]]="","",IFERROR(INDEX(tblStandards[Std labour rate],MATCH(tblOrders[[#This Row],[Product]],tblStandards[Product],0)),""))</f>
        <v>30</v>
      </c>
      <c r="O12" s="45">
        <f>IF(tblOrders[[#This Row],[Date closed]]="","",IFERROR(INDEX(tblStandards[Std overhead rate],MATCH(tblOrders[[#This Row],[Product]],tblStandards[Product],0)),""))</f>
        <v>42</v>
      </c>
      <c r="P12" s="46">
        <f>IF(tblOrders[[#This Row],[Date closed]]="","",IF(tblOrders[[#This Row],[Std material qty]]="","",tblOrders[[#This Row],[Good qty]]*tblOrders[[#This Row],[Std material qty]]))</f>
        <v>1600</v>
      </c>
      <c r="Q12" s="46">
        <f>IF(tblOrders[[#This Row],[Date closed]]="","",IF(tblOrders[[#This Row],[Std labour hours]]="","",tblOrders[[#This Row],[Good qty]]*tblOrders[[#This Row],[Std labour hours]]))</f>
        <v>110</v>
      </c>
      <c r="R12" s="47">
        <f>IF(tblOrders[[#This Row],[Date closed]]="","",IF(tblOrders[[#This Row],[Std qty allowed]]="","",tblOrders[[#This Row],[Std qty allowed]]*tblOrders[[#This Row],[Std material price]]+tblOrders[[#This Row],[Std hours allowed]]*(tblOrders[[#This Row],[Std labour rate]]+tblOrders[[#This Row],[Std overhead rate]])))</f>
        <v>9680</v>
      </c>
      <c r="S12" s="47">
        <f>IF(tblOrders[[#This Row],[Date closed]]="","",tblOrders[[#This Row],[Material cost]]+tblOrders[[#This Row],[Labour cost]]+tblOrders[[#This Row],[Overhead charged]])</f>
        <v>9437.77</v>
      </c>
      <c r="T12" s="47">
        <f>IF(tblOrders[[#This Row],[Date closed]]="","",IF(tblOrders[[#This Row],[Std material price]]="","",tblOrders[[#This Row],[Material cost]]-tblOrders[[#This Row],[Material used]]*tblOrders[[#This Row],[Std material price]]))</f>
        <v>-3.29000000000019</v>
      </c>
      <c r="U12" s="47">
        <f>IF(tblOrders[[#This Row],[Date closed]]="","",IF(tblOrders[[#This Row],[Std qty allowed]]="","",(tblOrders[[#This Row],[Material used]]-tblOrders[[#This Row],[Std qty allowed]])*tblOrders[[#This Row],[Std material price]]))</f>
        <v>48.2900000000001</v>
      </c>
      <c r="V12" s="47">
        <f>IF(tblOrders[[#This Row],[Date closed]]="","",IF(tblOrders[[#This Row],[Std labour rate]]="","",tblOrders[[#This Row],[Labour cost]]-tblOrders[[#This Row],[Labour hours]]*tblOrders[[#This Row],[Std labour rate]]))</f>
        <v>89.52</v>
      </c>
      <c r="W12" s="47">
        <f>IF(tblOrders[[#This Row],[Date closed]]="","",IF(tblOrders[[#This Row],[Std hours allowed]]="","",(tblOrders[[#This Row],[Labour hours]]-tblOrders[[#This Row],[Std hours allowed]])*tblOrders[[#This Row],[Std labour rate]]))</f>
        <v>-135</v>
      </c>
      <c r="X12" s="47">
        <f>IF(tblOrders[[#This Row],[Date closed]]="","",IF(tblOrders[[#This Row],[Std hours allowed]]="","",tblOrders[[#This Row],[Overhead charged]]-tblOrders[[#This Row],[Std hours allowed]]*tblOrders[[#This Row],[Std overhead rate]]))</f>
        <v>-241.750000000001</v>
      </c>
      <c r="Y12" s="48">
        <f>IF(tblOrders[[#This Row],[Date closed]]="","",IF(tblOrders[[#This Row],[Standard cost]]="","",tblOrders[[#This Row],[Actual cost]]-tblOrders[[#This Row],[Standard cost]]))</f>
        <v>-242.230000000001</v>
      </c>
      <c r="Z12" s="49">
        <f>IF(tblOrders[[#This Row],[Date closed]]="","",IF(N(tblOrders[[#This Row],[Standard cost]])=0,"",tblOrders[[#This Row],[Total variance]]/tblOrders[[#This Row],[Standard cost]]))</f>
        <v>-0.0250237603305787</v>
      </c>
      <c r="AA12" s="50" t="str">
        <f>IF(tblOrders[[#This Row],[Date closed]]="","",IF(tblOrders[[#This Row],[Variance of standard]]="","",IF(AND(ABS(tblOrders[[#This Row],[Total variance]])&gt;=AmtLimit,ABS(tblOrders[[#This Row],[Variance of standard]])&gt;=PctLimit),"Out of limits","Within limits")))</f>
        <v>Within limits</v>
      </c>
      <c r="AB1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2" s="52">
        <f>IF(tblOrders[[#This Row],[Date closed]]="","",IF(AND(tblOrders[[#This Row],[Date closed]]&gt;=FFrom,tblOrders[[#This Row],[Date closed]]&lt;=FTo,OR(DashProduct="",tblOrders[[#This Row],[Product]]=DashProduct)),tblOrders[[#This Row],[Date closed]],""))</f>
        <v>46133</v>
      </c>
      <c r="AD12" s="28" t="s">
        <v>126</v>
      </c>
    </row>
    <row r="13" spans="1:30">
      <c r="B13" s="41">
        <v>46136</v>
      </c>
      <c r="C13" s="28" t="s">
        <v>132</v>
      </c>
      <c r="D13" s="28" t="s">
        <v>86</v>
      </c>
      <c r="E13" s="30">
        <v>570</v>
      </c>
      <c r="F13" s="42">
        <v>1055.2</v>
      </c>
      <c r="G13" s="37">
        <v>1180.77</v>
      </c>
      <c r="H13" s="42">
        <v>65.7</v>
      </c>
      <c r="I13" s="37">
        <v>1825.13</v>
      </c>
      <c r="J13" s="37">
        <v>2726.55</v>
      </c>
      <c r="K13" s="43">
        <f>IF(tblOrders[[#This Row],[Date closed]]="","",IFERROR(INDEX(tblStandards[Std material qty],MATCH(tblOrders[[#This Row],[Product]],tblStandards[Product],0)),""))</f>
        <v>1.8</v>
      </c>
      <c r="L13" s="44">
        <f>IF(tblOrders[[#This Row],[Date closed]]="","",IFERROR(INDEX(tblStandards[Std material price],MATCH(tblOrders[[#This Row],[Product]],tblStandards[Product],0)),""))</f>
        <v>1.1</v>
      </c>
      <c r="M13" s="43">
        <f>IF(tblOrders[[#This Row],[Date closed]]="","",IFERROR(INDEX(tblStandards[Std labour hours],MATCH(tblOrders[[#This Row],[Product]],tblStandards[Product],0)),""))</f>
        <v>0.12</v>
      </c>
      <c r="N13" s="45">
        <f>IF(tblOrders[[#This Row],[Date closed]]="","",IFERROR(INDEX(tblStandards[Std labour rate],MATCH(tblOrders[[#This Row],[Product]],tblStandards[Product],0)),""))</f>
        <v>28</v>
      </c>
      <c r="O13" s="45">
        <f>IF(tblOrders[[#This Row],[Date closed]]="","",IFERROR(INDEX(tblStandards[Std overhead rate],MATCH(tblOrders[[#This Row],[Product]],tblStandards[Product],0)),""))</f>
        <v>42</v>
      </c>
      <c r="P13" s="46">
        <f>IF(tblOrders[[#This Row],[Date closed]]="","",IF(tblOrders[[#This Row],[Std material qty]]="","",tblOrders[[#This Row],[Good qty]]*tblOrders[[#This Row],[Std material qty]]))</f>
        <v>1026</v>
      </c>
      <c r="Q13" s="46">
        <f>IF(tblOrders[[#This Row],[Date closed]]="","",IF(tblOrders[[#This Row],[Std labour hours]]="","",tblOrders[[#This Row],[Good qty]]*tblOrders[[#This Row],[Std labour hours]]))</f>
        <v>68.4</v>
      </c>
      <c r="R13" s="47">
        <f>IF(tblOrders[[#This Row],[Date closed]]="","",IF(tblOrders[[#This Row],[Std qty allowed]]="","",tblOrders[[#This Row],[Std qty allowed]]*tblOrders[[#This Row],[Std material price]]+tblOrders[[#This Row],[Std hours allowed]]*(tblOrders[[#This Row],[Std labour rate]]+tblOrders[[#This Row],[Std overhead rate]])))</f>
        <v>5916.6</v>
      </c>
      <c r="S13" s="47">
        <f>IF(tblOrders[[#This Row],[Date closed]]="","",tblOrders[[#This Row],[Material cost]]+tblOrders[[#This Row],[Labour cost]]+tblOrders[[#This Row],[Overhead charged]])</f>
        <v>5732.45</v>
      </c>
      <c r="T13" s="47">
        <f>IF(tblOrders[[#This Row],[Date closed]]="","",IF(tblOrders[[#This Row],[Std material price]]="","",tblOrders[[#This Row],[Material cost]]-tblOrders[[#This Row],[Material used]]*tblOrders[[#This Row],[Std material price]]))</f>
        <v>20.0499999999997</v>
      </c>
      <c r="U13" s="47">
        <f>IF(tblOrders[[#This Row],[Date closed]]="","",IF(tblOrders[[#This Row],[Std qty allowed]]="","",(tblOrders[[#This Row],[Material used]]-tblOrders[[#This Row],[Std qty allowed]])*tblOrders[[#This Row],[Std material price]]))</f>
        <v>32.1200000000001</v>
      </c>
      <c r="V13" s="47">
        <f>IF(tblOrders[[#This Row],[Date closed]]="","",IF(tblOrders[[#This Row],[Std labour rate]]="","",tblOrders[[#This Row],[Labour cost]]-tblOrders[[#This Row],[Labour hours]]*tblOrders[[#This Row],[Std labour rate]]))</f>
        <v>-14.47</v>
      </c>
      <c r="W13" s="47">
        <f>IF(tblOrders[[#This Row],[Date closed]]="","",IF(tblOrders[[#This Row],[Std hours allowed]]="","",(tblOrders[[#This Row],[Labour hours]]-tblOrders[[#This Row],[Std hours allowed]])*tblOrders[[#This Row],[Std labour rate]]))</f>
        <v>-75.5999999999997</v>
      </c>
      <c r="X13" s="47">
        <f>IF(tblOrders[[#This Row],[Date closed]]="","",IF(tblOrders[[#This Row],[Std hours allowed]]="","",tblOrders[[#This Row],[Overhead charged]]-tblOrders[[#This Row],[Std hours allowed]]*tblOrders[[#This Row],[Std overhead rate]]))</f>
        <v>-146.25</v>
      </c>
      <c r="Y13" s="48">
        <f>IF(tblOrders[[#This Row],[Date closed]]="","",IF(tblOrders[[#This Row],[Standard cost]]="","",tblOrders[[#This Row],[Actual cost]]-tblOrders[[#This Row],[Standard cost]]))</f>
        <v>-184.149999999999</v>
      </c>
      <c r="Z13" s="49">
        <f>IF(tblOrders[[#This Row],[Date closed]]="","",IF(N(tblOrders[[#This Row],[Standard cost]])=0,"",tblOrders[[#This Row],[Total variance]]/tblOrders[[#This Row],[Standard cost]]))</f>
        <v>-0.0311242943582461</v>
      </c>
      <c r="AA13" s="50" t="str">
        <f>IF(tblOrders[[#This Row],[Date closed]]="","",IF(tblOrders[[#This Row],[Variance of standard]]="","",IF(AND(ABS(tblOrders[[#This Row],[Total variance]])&gt;=AmtLimit,ABS(tblOrders[[#This Row],[Variance of standard]])&gt;=PctLimit),"Out of limits","Within limits")))</f>
        <v>Within limits</v>
      </c>
      <c r="AB1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3" s="52">
        <f>IF(tblOrders[[#This Row],[Date closed]]="","",IF(AND(tblOrders[[#This Row],[Date closed]]&gt;=FFrom,tblOrders[[#This Row],[Date closed]]&lt;=FTo,OR(DashProduct="",tblOrders[[#This Row],[Product]]=DashProduct)),tblOrders[[#This Row],[Date closed]],""))</f>
        <v>46136</v>
      </c>
      <c r="AD13" s="28" t="s">
        <v>126</v>
      </c>
    </row>
    <row r="14" spans="1:30">
      <c r="B14" s="41">
        <v>46139</v>
      </c>
      <c r="C14" s="28" t="s">
        <v>133</v>
      </c>
      <c r="D14" s="28" t="s">
        <v>89</v>
      </c>
      <c r="E14" s="30">
        <v>260</v>
      </c>
      <c r="F14" s="42">
        <v>1702.9</v>
      </c>
      <c r="G14" s="37">
        <v>1864.68</v>
      </c>
      <c r="H14" s="42">
        <v>52.2</v>
      </c>
      <c r="I14" s="37">
        <v>1495.13</v>
      </c>
      <c r="J14" s="37">
        <v>2166.3</v>
      </c>
      <c r="K14" s="43">
        <f>IF(tblOrders[[#This Row],[Date closed]]="","",IFERROR(INDEX(tblStandards[Std material qty],MATCH(tblOrders[[#This Row],[Product]],tblStandards[Product],0)),""))</f>
        <v>6.5</v>
      </c>
      <c r="L14" s="44">
        <f>IF(tblOrders[[#This Row],[Date closed]]="","",IFERROR(INDEX(tblStandards[Std material price],MATCH(tblOrders[[#This Row],[Product]],tblStandards[Product],0)),""))</f>
        <v>1.1</v>
      </c>
      <c r="M14" s="43">
        <f>IF(tblOrders[[#This Row],[Date closed]]="","",IFERROR(INDEX(tblStandards[Std labour hours],MATCH(tblOrders[[#This Row],[Product]],tblStandards[Product],0)),""))</f>
        <v>0.2</v>
      </c>
      <c r="N14" s="45">
        <f>IF(tblOrders[[#This Row],[Date closed]]="","",IFERROR(INDEX(tblStandards[Std labour rate],MATCH(tblOrders[[#This Row],[Product]],tblStandards[Product],0)),""))</f>
        <v>28</v>
      </c>
      <c r="O14" s="45">
        <f>IF(tblOrders[[#This Row],[Date closed]]="","",IFERROR(INDEX(tblStandards[Std overhead rate],MATCH(tblOrders[[#This Row],[Product]],tblStandards[Product],0)),""))</f>
        <v>42</v>
      </c>
      <c r="P14" s="46">
        <f>IF(tblOrders[[#This Row],[Date closed]]="","",IF(tblOrders[[#This Row],[Std material qty]]="","",tblOrders[[#This Row],[Good qty]]*tblOrders[[#This Row],[Std material qty]]))</f>
        <v>1690</v>
      </c>
      <c r="Q14" s="46">
        <f>IF(tblOrders[[#This Row],[Date closed]]="","",IF(tblOrders[[#This Row],[Std labour hours]]="","",tblOrders[[#This Row],[Good qty]]*tblOrders[[#This Row],[Std labour hours]]))</f>
        <v>52</v>
      </c>
      <c r="R14" s="47">
        <f>IF(tblOrders[[#This Row],[Date closed]]="","",IF(tblOrders[[#This Row],[Std qty allowed]]="","",tblOrders[[#This Row],[Std qty allowed]]*tblOrders[[#This Row],[Std material price]]+tblOrders[[#This Row],[Std hours allowed]]*(tblOrders[[#This Row],[Std labour rate]]+tblOrders[[#This Row],[Std overhead rate]])))</f>
        <v>5499</v>
      </c>
      <c r="S14" s="47">
        <f>IF(tblOrders[[#This Row],[Date closed]]="","",tblOrders[[#This Row],[Material cost]]+tblOrders[[#This Row],[Labour cost]]+tblOrders[[#This Row],[Overhead charged]])</f>
        <v>5526.11</v>
      </c>
      <c r="T14" s="47">
        <f>IF(tblOrders[[#This Row],[Date closed]]="","",IF(tblOrders[[#This Row],[Std material price]]="","",tblOrders[[#This Row],[Material cost]]-tblOrders[[#This Row],[Material used]]*tblOrders[[#This Row],[Std material price]]))</f>
        <v>-8.51000000000022</v>
      </c>
      <c r="U14" s="47">
        <f>IF(tblOrders[[#This Row],[Date closed]]="","",IF(tblOrders[[#This Row],[Std qty allowed]]="","",(tblOrders[[#This Row],[Material used]]-tblOrders[[#This Row],[Std qty allowed]])*tblOrders[[#This Row],[Std material price]]))</f>
        <v>14.1900000000001</v>
      </c>
      <c r="V14" s="47">
        <f>IF(tblOrders[[#This Row],[Date closed]]="","",IF(tblOrders[[#This Row],[Std labour rate]]="","",tblOrders[[#This Row],[Labour cost]]-tblOrders[[#This Row],[Labour hours]]*tblOrders[[#This Row],[Std labour rate]]))</f>
        <v>33.53</v>
      </c>
      <c r="W14" s="47">
        <f>IF(tblOrders[[#This Row],[Date closed]]="","",IF(tblOrders[[#This Row],[Std hours allowed]]="","",(tblOrders[[#This Row],[Labour hours]]-tblOrders[[#This Row],[Std hours allowed]])*tblOrders[[#This Row],[Std labour rate]]))</f>
        <v>5.60000000000008</v>
      </c>
      <c r="X14" s="47">
        <f>IF(tblOrders[[#This Row],[Date closed]]="","",IF(tblOrders[[#This Row],[Std hours allowed]]="","",tblOrders[[#This Row],[Overhead charged]]-tblOrders[[#This Row],[Std hours allowed]]*tblOrders[[#This Row],[Std overhead rate]]))</f>
        <v>-17.6999999999998</v>
      </c>
      <c r="Y14" s="48">
        <f>IF(tblOrders[[#This Row],[Date closed]]="","",IF(tblOrders[[#This Row],[Standard cost]]="","",tblOrders[[#This Row],[Actual cost]]-tblOrders[[#This Row],[Standard cost]]))</f>
        <v>27.1100000000006</v>
      </c>
      <c r="Z14" s="49">
        <f>IF(tblOrders[[#This Row],[Date closed]]="","",IF(N(tblOrders[[#This Row],[Standard cost]])=0,"",tblOrders[[#This Row],[Total variance]]/tblOrders[[#This Row],[Standard cost]]))</f>
        <v>0.00492998727041291</v>
      </c>
      <c r="AA14" s="50" t="str">
        <f>IF(tblOrders[[#This Row],[Date closed]]="","",IF(tblOrders[[#This Row],[Variance of standard]]="","",IF(AND(ABS(tblOrders[[#This Row],[Total variance]])&gt;=AmtLimit,ABS(tblOrders[[#This Row],[Variance of standard]])&gt;=PctLimit),"Out of limits","Within limits")))</f>
        <v>Within limits</v>
      </c>
      <c r="AB1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4" s="52">
        <f>IF(tblOrders[[#This Row],[Date closed]]="","",IF(AND(tblOrders[[#This Row],[Date closed]]&gt;=FFrom,tblOrders[[#This Row],[Date closed]]&lt;=FTo,OR(DashProduct="",tblOrders[[#This Row],[Product]]=DashProduct)),tblOrders[[#This Row],[Date closed]],""))</f>
        <v>46139</v>
      </c>
      <c r="AD14" s="28" t="s">
        <v>126</v>
      </c>
    </row>
    <row r="15" spans="1:30">
      <c r="B15" s="41">
        <v>46142</v>
      </c>
      <c r="C15" s="28" t="s">
        <v>134</v>
      </c>
      <c r="D15" s="28" t="s">
        <v>91</v>
      </c>
      <c r="E15" s="30">
        <v>70</v>
      </c>
      <c r="F15" s="42">
        <v>1021.7</v>
      </c>
      <c r="G15" s="37">
        <v>1159.63</v>
      </c>
      <c r="H15" s="42">
        <v>74.40000000000001</v>
      </c>
      <c r="I15" s="37">
        <v>2257.69</v>
      </c>
      <c r="J15" s="37">
        <v>3087.6</v>
      </c>
      <c r="K15" s="43">
        <f>IF(tblOrders[[#This Row],[Date closed]]="","",IFERROR(INDEX(tblStandards[Std material qty],MATCH(tblOrders[[#This Row],[Product]],tblStandards[Product],0)),""))</f>
        <v>14</v>
      </c>
      <c r="L15" s="44">
        <f>IF(tblOrders[[#This Row],[Date closed]]="","",IFERROR(INDEX(tblStandards[Std material price],MATCH(tblOrders[[#This Row],[Product]],tblStandards[Product],0)),""))</f>
        <v>1.15</v>
      </c>
      <c r="M15" s="43">
        <f>IF(tblOrders[[#This Row],[Date closed]]="","",IFERROR(INDEX(tblStandards[Std labour hours],MATCH(tblOrders[[#This Row],[Product]],tblStandards[Product],0)),""))</f>
        <v>1.1</v>
      </c>
      <c r="N15" s="45">
        <f>IF(tblOrders[[#This Row],[Date closed]]="","",IFERROR(INDEX(tblStandards[Std labour rate],MATCH(tblOrders[[#This Row],[Product]],tblStandards[Product],0)),""))</f>
        <v>30</v>
      </c>
      <c r="O15" s="45">
        <f>IF(tblOrders[[#This Row],[Date closed]]="","",IFERROR(INDEX(tblStandards[Std overhead rate],MATCH(tblOrders[[#This Row],[Product]],tblStandards[Product],0)),""))</f>
        <v>42</v>
      </c>
      <c r="P15" s="46">
        <f>IF(tblOrders[[#This Row],[Date closed]]="","",IF(tblOrders[[#This Row],[Std material qty]]="","",tblOrders[[#This Row],[Good qty]]*tblOrders[[#This Row],[Std material qty]]))</f>
        <v>980</v>
      </c>
      <c r="Q15" s="46">
        <f>IF(tblOrders[[#This Row],[Date closed]]="","",IF(tblOrders[[#This Row],[Std labour hours]]="","",tblOrders[[#This Row],[Good qty]]*tblOrders[[#This Row],[Std labour hours]]))</f>
        <v>77</v>
      </c>
      <c r="R15" s="47">
        <f>IF(tblOrders[[#This Row],[Date closed]]="","",IF(tblOrders[[#This Row],[Std qty allowed]]="","",tblOrders[[#This Row],[Std qty allowed]]*tblOrders[[#This Row],[Std material price]]+tblOrders[[#This Row],[Std hours allowed]]*(tblOrders[[#This Row],[Std labour rate]]+tblOrders[[#This Row],[Std overhead rate]])))</f>
        <v>6671</v>
      </c>
      <c r="S15" s="47">
        <f>IF(tblOrders[[#This Row],[Date closed]]="","",tblOrders[[#This Row],[Material cost]]+tblOrders[[#This Row],[Labour cost]]+tblOrders[[#This Row],[Overhead charged]])</f>
        <v>6504.92</v>
      </c>
      <c r="T15" s="47">
        <f>IF(tblOrders[[#This Row],[Date closed]]="","",IF(tblOrders[[#This Row],[Std material price]]="","",tblOrders[[#This Row],[Material cost]]-tblOrders[[#This Row],[Material used]]*tblOrders[[#This Row],[Std material price]]))</f>
        <v>-15.3249999999998</v>
      </c>
      <c r="U15" s="47">
        <f>IF(tblOrders[[#This Row],[Date closed]]="","",IF(tblOrders[[#This Row],[Std qty allowed]]="","",(tblOrders[[#This Row],[Material used]]-tblOrders[[#This Row],[Std qty allowed]])*tblOrders[[#This Row],[Std material price]]))</f>
        <v>47.9550000000001</v>
      </c>
      <c r="V15" s="47">
        <f>IF(tblOrders[[#This Row],[Date closed]]="","",IF(tblOrders[[#This Row],[Std labour rate]]="","",tblOrders[[#This Row],[Labour cost]]-tblOrders[[#This Row],[Labour hours]]*tblOrders[[#This Row],[Std labour rate]]))</f>
        <v>25.6900000000001</v>
      </c>
      <c r="W15" s="47">
        <f>IF(tblOrders[[#This Row],[Date closed]]="","",IF(tblOrders[[#This Row],[Std hours allowed]]="","",(tblOrders[[#This Row],[Labour hours]]-tblOrders[[#This Row],[Std hours allowed]])*tblOrders[[#This Row],[Std labour rate]]))</f>
        <v>-77.9999999999998</v>
      </c>
      <c r="X15" s="47">
        <f>IF(tblOrders[[#This Row],[Date closed]]="","",IF(tblOrders[[#This Row],[Std hours allowed]]="","",tblOrders[[#This Row],[Overhead charged]]-tblOrders[[#This Row],[Std hours allowed]]*tblOrders[[#This Row],[Std overhead rate]]))</f>
        <v>-146.4</v>
      </c>
      <c r="Y15" s="48">
        <f>IF(tblOrders[[#This Row],[Date closed]]="","",IF(tblOrders[[#This Row],[Standard cost]]="","",tblOrders[[#This Row],[Actual cost]]-tblOrders[[#This Row],[Standard cost]]))</f>
        <v>-166.08</v>
      </c>
      <c r="Z15" s="49">
        <f>IF(tblOrders[[#This Row],[Date closed]]="","",IF(N(tblOrders[[#This Row],[Standard cost]])=0,"",tblOrders[[#This Row],[Total variance]]/tblOrders[[#This Row],[Standard cost]]))</f>
        <v>-0.024895817718483</v>
      </c>
      <c r="AA15" s="50" t="str">
        <f>IF(tblOrders[[#This Row],[Date closed]]="","",IF(tblOrders[[#This Row],[Variance of standard]]="","",IF(AND(ABS(tblOrders[[#This Row],[Total variance]])&gt;=AmtLimit,ABS(tblOrders[[#This Row],[Variance of standard]])&gt;=PctLimit),"Out of limits","Within limits")))</f>
        <v>Within limits</v>
      </c>
      <c r="AB1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5" s="52">
        <f>IF(tblOrders[[#This Row],[Date closed]]="","",IF(AND(tblOrders[[#This Row],[Date closed]]&gt;=FFrom,tblOrders[[#This Row],[Date closed]]&lt;=FTo,OR(DashProduct="",tblOrders[[#This Row],[Product]]=DashProduct)),tblOrders[[#This Row],[Date closed]],""))</f>
        <v>46142</v>
      </c>
      <c r="AD15" s="28" t="s">
        <v>126</v>
      </c>
    </row>
    <row r="16" spans="1:30">
      <c r="B16" s="41">
        <v>46146</v>
      </c>
      <c r="C16" s="28" t="s">
        <v>135</v>
      </c>
      <c r="D16" s="28" t="s">
        <v>93</v>
      </c>
      <c r="E16" s="30">
        <v>180</v>
      </c>
      <c r="F16" s="42">
        <v>1516.9</v>
      </c>
      <c r="G16" s="37">
        <v>1900.68</v>
      </c>
      <c r="H16" s="42">
        <v>116.3</v>
      </c>
      <c r="I16" s="37">
        <v>3251.99</v>
      </c>
      <c r="J16" s="37">
        <v>4768.3</v>
      </c>
      <c r="K16" s="43">
        <f>IF(tblOrders[[#This Row],[Date closed]]="","",IFERROR(INDEX(tblStandards[Std material qty],MATCH(tblOrders[[#This Row],[Product]],tblStandards[Product],0)),""))</f>
        <v>8.2</v>
      </c>
      <c r="L16" s="44">
        <f>IF(tblOrders[[#This Row],[Date closed]]="","",IFERROR(INDEX(tblStandards[Std material price],MATCH(tblOrders[[#This Row],[Product]],tblStandards[Product],0)),""))</f>
        <v>1.25</v>
      </c>
      <c r="M16" s="43">
        <f>IF(tblOrders[[#This Row],[Date closed]]="","",IFERROR(INDEX(tblStandards[Std labour hours],MATCH(tblOrders[[#This Row],[Product]],tblStandards[Product],0)),""))</f>
        <v>0.65</v>
      </c>
      <c r="N16" s="45">
        <f>IF(tblOrders[[#This Row],[Date closed]]="","",IFERROR(INDEX(tblStandards[Std labour rate],MATCH(tblOrders[[#This Row],[Product]],tblStandards[Product],0)),""))</f>
        <v>28</v>
      </c>
      <c r="O16" s="45">
        <f>IF(tblOrders[[#This Row],[Date closed]]="","",IFERROR(INDEX(tblStandards[Std overhead rate],MATCH(tblOrders[[#This Row],[Product]],tblStandards[Product],0)),""))</f>
        <v>42</v>
      </c>
      <c r="P16" s="46">
        <f>IF(tblOrders[[#This Row],[Date closed]]="","",IF(tblOrders[[#This Row],[Std material qty]]="","",tblOrders[[#This Row],[Good qty]]*tblOrders[[#This Row],[Std material qty]]))</f>
        <v>1476</v>
      </c>
      <c r="Q16" s="46">
        <f>IF(tblOrders[[#This Row],[Date closed]]="","",IF(tblOrders[[#This Row],[Std labour hours]]="","",tblOrders[[#This Row],[Good qty]]*tblOrders[[#This Row],[Std labour hours]]))</f>
        <v>117</v>
      </c>
      <c r="R16" s="47">
        <f>IF(tblOrders[[#This Row],[Date closed]]="","",IF(tblOrders[[#This Row],[Std qty allowed]]="","",tblOrders[[#This Row],[Std qty allowed]]*tblOrders[[#This Row],[Std material price]]+tblOrders[[#This Row],[Std hours allowed]]*(tblOrders[[#This Row],[Std labour rate]]+tblOrders[[#This Row],[Std overhead rate]])))</f>
        <v>10035</v>
      </c>
      <c r="S16" s="47">
        <f>IF(tblOrders[[#This Row],[Date closed]]="","",tblOrders[[#This Row],[Material cost]]+tblOrders[[#This Row],[Labour cost]]+tblOrders[[#This Row],[Overhead charged]])</f>
        <v>9920.97</v>
      </c>
      <c r="T16" s="47">
        <f>IF(tblOrders[[#This Row],[Date closed]]="","",IF(tblOrders[[#This Row],[Std material price]]="","",tblOrders[[#This Row],[Material cost]]-tblOrders[[#This Row],[Material used]]*tblOrders[[#This Row],[Std material price]]))</f>
        <v>4.55500000000006</v>
      </c>
      <c r="U16" s="47">
        <f>IF(tblOrders[[#This Row],[Date closed]]="","",IF(tblOrders[[#This Row],[Std qty allowed]]="","",(tblOrders[[#This Row],[Material used]]-tblOrders[[#This Row],[Std qty allowed]])*tblOrders[[#This Row],[Std material price]]))</f>
        <v>51.1250000000004</v>
      </c>
      <c r="V16" s="47">
        <f>IF(tblOrders[[#This Row],[Date closed]]="","",IF(tblOrders[[#This Row],[Std labour rate]]="","",tblOrders[[#This Row],[Labour cost]]-tblOrders[[#This Row],[Labour hours]]*tblOrders[[#This Row],[Std labour rate]]))</f>
        <v>-4.41000000000031</v>
      </c>
      <c r="W16" s="47">
        <f>IF(tblOrders[[#This Row],[Date closed]]="","",IF(tblOrders[[#This Row],[Std hours allowed]]="","",(tblOrders[[#This Row],[Labour hours]]-tblOrders[[#This Row],[Std hours allowed]])*tblOrders[[#This Row],[Std labour rate]]))</f>
        <v>-19.6000000000001</v>
      </c>
      <c r="X16" s="47">
        <f>IF(tblOrders[[#This Row],[Date closed]]="","",IF(tblOrders[[#This Row],[Std hours allowed]]="","",tblOrders[[#This Row],[Overhead charged]]-tblOrders[[#This Row],[Std hours allowed]]*tblOrders[[#This Row],[Std overhead rate]]))</f>
        <v>-145.7</v>
      </c>
      <c r="Y16" s="48">
        <f>IF(tblOrders[[#This Row],[Date closed]]="","",IF(tblOrders[[#This Row],[Standard cost]]="","",tblOrders[[#This Row],[Actual cost]]-tblOrders[[#This Row],[Standard cost]]))</f>
        <v>-114.029999999999</v>
      </c>
      <c r="Z16" s="49">
        <f>IF(tblOrders[[#This Row],[Date closed]]="","",IF(N(tblOrders[[#This Row],[Standard cost]])=0,"",tblOrders[[#This Row],[Total variance]]/tblOrders[[#This Row],[Standard cost]]))</f>
        <v>-0.0113632286995515</v>
      </c>
      <c r="AA16" s="50" t="str">
        <f>IF(tblOrders[[#This Row],[Date closed]]="","",IF(tblOrders[[#This Row],[Variance of standard]]="","",IF(AND(ABS(tblOrders[[#This Row],[Total variance]])&gt;=AmtLimit,ABS(tblOrders[[#This Row],[Variance of standard]])&gt;=PctLimit),"Out of limits","Within limits")))</f>
        <v>Within limits</v>
      </c>
      <c r="AB1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6" s="52">
        <f>IF(tblOrders[[#This Row],[Date closed]]="","",IF(AND(tblOrders[[#This Row],[Date closed]]&gt;=FFrom,tblOrders[[#This Row],[Date closed]]&lt;=FTo,OR(DashProduct="",tblOrders[[#This Row],[Product]]=DashProduct)),tblOrders[[#This Row],[Date closed]],""))</f>
        <v>46146</v>
      </c>
      <c r="AD16" s="28" t="s">
        <v>126</v>
      </c>
    </row>
    <row r="17" spans="2:30">
      <c r="B17" s="41">
        <v>46153</v>
      </c>
      <c r="C17" s="28" t="s">
        <v>136</v>
      </c>
      <c r="D17" s="28" t="s">
        <v>95</v>
      </c>
      <c r="E17" s="30">
        <v>40</v>
      </c>
      <c r="F17" s="42">
        <v>498.2</v>
      </c>
      <c r="G17" s="37">
        <v>631.72</v>
      </c>
      <c r="H17" s="42">
        <v>53.7</v>
      </c>
      <c r="I17" s="37">
        <v>1510.66</v>
      </c>
      <c r="J17" s="37">
        <v>2201.7</v>
      </c>
      <c r="K17" s="43">
        <f>IF(tblOrders[[#This Row],[Date closed]]="","",IFERROR(INDEX(tblStandards[Std material qty],MATCH(tblOrders[[#This Row],[Product]],tblStandards[Product],0)),""))</f>
        <v>11.5</v>
      </c>
      <c r="L17" s="44">
        <f>IF(tblOrders[[#This Row],[Date closed]]="","",IFERROR(INDEX(tblStandards[Std material price],MATCH(tblOrders[[#This Row],[Product]],tblStandards[Product],0)),""))</f>
        <v>1.25</v>
      </c>
      <c r="M17" s="43">
        <f>IF(tblOrders[[#This Row],[Date closed]]="","",IFERROR(INDEX(tblStandards[Std labour hours],MATCH(tblOrders[[#This Row],[Product]],tblStandards[Product],0)),""))</f>
        <v>1.4</v>
      </c>
      <c r="N17" s="45">
        <f>IF(tblOrders[[#This Row],[Date closed]]="","",IFERROR(INDEX(tblStandards[Std labour rate],MATCH(tblOrders[[#This Row],[Product]],tblStandards[Product],0)),""))</f>
        <v>28</v>
      </c>
      <c r="O17" s="45">
        <f>IF(tblOrders[[#This Row],[Date closed]]="","",IFERROR(INDEX(tblStandards[Std overhead rate],MATCH(tblOrders[[#This Row],[Product]],tblStandards[Product],0)),""))</f>
        <v>42</v>
      </c>
      <c r="P17" s="46">
        <f>IF(tblOrders[[#This Row],[Date closed]]="","",IF(tblOrders[[#This Row],[Std material qty]]="","",tblOrders[[#This Row],[Good qty]]*tblOrders[[#This Row],[Std material qty]]))</f>
        <v>460</v>
      </c>
      <c r="Q17" s="46">
        <f>IF(tblOrders[[#This Row],[Date closed]]="","",IF(tblOrders[[#This Row],[Std labour hours]]="","",tblOrders[[#This Row],[Good qty]]*tblOrders[[#This Row],[Std labour hours]]))</f>
        <v>56</v>
      </c>
      <c r="R17" s="47">
        <f>IF(tblOrders[[#This Row],[Date closed]]="","",IF(tblOrders[[#This Row],[Std qty allowed]]="","",tblOrders[[#This Row],[Std qty allowed]]*tblOrders[[#This Row],[Std material price]]+tblOrders[[#This Row],[Std hours allowed]]*(tblOrders[[#This Row],[Std labour rate]]+tblOrders[[#This Row],[Std overhead rate]])))</f>
        <v>4495</v>
      </c>
      <c r="S17" s="47">
        <f>IF(tblOrders[[#This Row],[Date closed]]="","",tblOrders[[#This Row],[Material cost]]+tblOrders[[#This Row],[Labour cost]]+tblOrders[[#This Row],[Overhead charged]])</f>
        <v>4344.08</v>
      </c>
      <c r="T17" s="47">
        <f>IF(tblOrders[[#This Row],[Date closed]]="","",IF(tblOrders[[#This Row],[Std material price]]="","",tblOrders[[#This Row],[Material cost]]-tblOrders[[#This Row],[Material used]]*tblOrders[[#This Row],[Std material price]]))</f>
        <v>8.97000000000003</v>
      </c>
      <c r="U17" s="47">
        <f>IF(tblOrders[[#This Row],[Date closed]]="","",IF(tblOrders[[#This Row],[Std qty allowed]]="","",(tblOrders[[#This Row],[Material used]]-tblOrders[[#This Row],[Std qty allowed]])*tblOrders[[#This Row],[Std material price]]))</f>
        <v>47.75</v>
      </c>
      <c r="V17" s="47">
        <f>IF(tblOrders[[#This Row],[Date closed]]="","",IF(tblOrders[[#This Row],[Std labour rate]]="","",tblOrders[[#This Row],[Labour cost]]-tblOrders[[#This Row],[Labour hours]]*tblOrders[[#This Row],[Std labour rate]]))</f>
        <v>7.05999999999995</v>
      </c>
      <c r="W17" s="47">
        <f>IF(tblOrders[[#This Row],[Date closed]]="","",IF(tblOrders[[#This Row],[Std hours allowed]]="","",(tblOrders[[#This Row],[Labour hours]]-tblOrders[[#This Row],[Std hours allowed]])*tblOrders[[#This Row],[Std labour rate]]))</f>
        <v>-64.3999999999999</v>
      </c>
      <c r="X17" s="47">
        <f>IF(tblOrders[[#This Row],[Date closed]]="","",IF(tblOrders[[#This Row],[Std hours allowed]]="","",tblOrders[[#This Row],[Overhead charged]]-tblOrders[[#This Row],[Std hours allowed]]*tblOrders[[#This Row],[Std overhead rate]]))</f>
        <v>-150.3</v>
      </c>
      <c r="Y17" s="48">
        <f>IF(tblOrders[[#This Row],[Date closed]]="","",IF(tblOrders[[#This Row],[Standard cost]]="","",tblOrders[[#This Row],[Actual cost]]-tblOrders[[#This Row],[Standard cost]]))</f>
        <v>-150.92</v>
      </c>
      <c r="Z17" s="49">
        <f>IF(tblOrders[[#This Row],[Date closed]]="","",IF(N(tblOrders[[#This Row],[Standard cost]])=0,"",tblOrders[[#This Row],[Total variance]]/tblOrders[[#This Row],[Standard cost]]))</f>
        <v>-0.0335750834260289</v>
      </c>
      <c r="AA17" s="50" t="str">
        <f>IF(tblOrders[[#This Row],[Date closed]]="","",IF(tblOrders[[#This Row],[Variance of standard]]="","",IF(AND(ABS(tblOrders[[#This Row],[Total variance]])&gt;=AmtLimit,ABS(tblOrders[[#This Row],[Variance of standard]])&gt;=PctLimit),"Out of limits","Within limits")))</f>
        <v>Within limits</v>
      </c>
      <c r="AB1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7" s="52">
        <f>IF(tblOrders[[#This Row],[Date closed]]="","",IF(AND(tblOrders[[#This Row],[Date closed]]&gt;=FFrom,tblOrders[[#This Row],[Date closed]]&lt;=FTo,OR(DashProduct="",tblOrders[[#This Row],[Product]]=DashProduct)),tblOrders[[#This Row],[Date closed]],""))</f>
        <v>46153</v>
      </c>
      <c r="AD17" s="28" t="s">
        <v>126</v>
      </c>
    </row>
    <row r="18" spans="2:30">
      <c r="B18" s="41">
        <v>46157</v>
      </c>
      <c r="C18" s="28" t="s">
        <v>137</v>
      </c>
      <c r="D18" s="28" t="s">
        <v>97</v>
      </c>
      <c r="E18" s="30">
        <v>40</v>
      </c>
      <c r="F18" s="42">
        <v>1280.9</v>
      </c>
      <c r="G18" s="37">
        <v>1411.55</v>
      </c>
      <c r="H18" s="42">
        <v>91.7</v>
      </c>
      <c r="I18" s="37">
        <v>2775.48</v>
      </c>
      <c r="J18" s="37">
        <v>3759.7</v>
      </c>
      <c r="K18" s="43">
        <f>IF(tblOrders[[#This Row],[Date closed]]="","",IFERROR(INDEX(tblStandards[Std material qty],MATCH(tblOrders[[#This Row],[Product]],tblStandards[Product],0)),""))</f>
        <v>32</v>
      </c>
      <c r="L18" s="44">
        <f>IF(tblOrders[[#This Row],[Date closed]]="","",IFERROR(INDEX(tblStandards[Std material price],MATCH(tblOrders[[#This Row],[Product]],tblStandards[Product],0)),""))</f>
        <v>1.1</v>
      </c>
      <c r="M18" s="43">
        <f>IF(tblOrders[[#This Row],[Date closed]]="","",IFERROR(INDEX(tblStandards[Std labour hours],MATCH(tblOrders[[#This Row],[Product]],tblStandards[Product],0)),""))</f>
        <v>2.2</v>
      </c>
      <c r="N18" s="45">
        <f>IF(tblOrders[[#This Row],[Date closed]]="","",IFERROR(INDEX(tblStandards[Std labour rate],MATCH(tblOrders[[#This Row],[Product]],tblStandards[Product],0)),""))</f>
        <v>30</v>
      </c>
      <c r="O18" s="45">
        <f>IF(tblOrders[[#This Row],[Date closed]]="","",IFERROR(INDEX(tblStandards[Std overhead rate],MATCH(tblOrders[[#This Row],[Product]],tblStandards[Product],0)),""))</f>
        <v>42</v>
      </c>
      <c r="P18" s="46">
        <f>IF(tblOrders[[#This Row],[Date closed]]="","",IF(tblOrders[[#This Row],[Std material qty]]="","",tblOrders[[#This Row],[Good qty]]*tblOrders[[#This Row],[Std material qty]]))</f>
        <v>1280</v>
      </c>
      <c r="Q18" s="46">
        <f>IF(tblOrders[[#This Row],[Date closed]]="","",IF(tblOrders[[#This Row],[Std labour hours]]="","",tblOrders[[#This Row],[Good qty]]*tblOrders[[#This Row],[Std labour hours]]))</f>
        <v>88</v>
      </c>
      <c r="R18" s="47">
        <f>IF(tblOrders[[#This Row],[Date closed]]="","",IF(tblOrders[[#This Row],[Std qty allowed]]="","",tblOrders[[#This Row],[Std qty allowed]]*tblOrders[[#This Row],[Std material price]]+tblOrders[[#This Row],[Std hours allowed]]*(tblOrders[[#This Row],[Std labour rate]]+tblOrders[[#This Row],[Std overhead rate]])))</f>
        <v>7744</v>
      </c>
      <c r="S18" s="47">
        <f>IF(tblOrders[[#This Row],[Date closed]]="","",tblOrders[[#This Row],[Material cost]]+tblOrders[[#This Row],[Labour cost]]+tblOrders[[#This Row],[Overhead charged]])</f>
        <v>7946.73</v>
      </c>
      <c r="T18" s="47">
        <f>IF(tblOrders[[#This Row],[Date closed]]="","",IF(tblOrders[[#This Row],[Std material price]]="","",tblOrders[[#This Row],[Material cost]]-tblOrders[[#This Row],[Material used]]*tblOrders[[#This Row],[Std material price]]))</f>
        <v>2.55999999999972</v>
      </c>
      <c r="U18" s="47">
        <f>IF(tblOrders[[#This Row],[Date closed]]="","",IF(tblOrders[[#This Row],[Std qty allowed]]="","",(tblOrders[[#This Row],[Material used]]-tblOrders[[#This Row],[Std qty allowed]])*tblOrders[[#This Row],[Std material price]]))</f>
        <v>0.9900000000001</v>
      </c>
      <c r="V18" s="47">
        <f>IF(tblOrders[[#This Row],[Date closed]]="","",IF(tblOrders[[#This Row],[Std labour rate]]="","",tblOrders[[#This Row],[Labour cost]]-tblOrders[[#This Row],[Labour hours]]*tblOrders[[#This Row],[Std labour rate]]))</f>
        <v>24.48</v>
      </c>
      <c r="W18" s="47">
        <f>IF(tblOrders[[#This Row],[Date closed]]="","",IF(tblOrders[[#This Row],[Std hours allowed]]="","",(tblOrders[[#This Row],[Labour hours]]-tblOrders[[#This Row],[Std hours allowed]])*tblOrders[[#This Row],[Std labour rate]]))</f>
        <v>111</v>
      </c>
      <c r="X18" s="47">
        <f>IF(tblOrders[[#This Row],[Date closed]]="","",IF(tblOrders[[#This Row],[Std hours allowed]]="","",tblOrders[[#This Row],[Overhead charged]]-tblOrders[[#This Row],[Std hours allowed]]*tblOrders[[#This Row],[Std overhead rate]]))</f>
        <v>63.6999999999998</v>
      </c>
      <c r="Y18" s="48">
        <f>IF(tblOrders[[#This Row],[Date closed]]="","",IF(tblOrders[[#This Row],[Standard cost]]="","",tblOrders[[#This Row],[Actual cost]]-tblOrders[[#This Row],[Standard cost]]))</f>
        <v>202.73</v>
      </c>
      <c r="Z18" s="49">
        <f>IF(tblOrders[[#This Row],[Date closed]]="","",IF(N(tblOrders[[#This Row],[Standard cost]])=0,"",tblOrders[[#This Row],[Total variance]]/tblOrders[[#This Row],[Standard cost]]))</f>
        <v>0.0261789772727272</v>
      </c>
      <c r="AA18" s="50" t="str">
        <f>IF(tblOrders[[#This Row],[Date closed]]="","",IF(tblOrders[[#This Row],[Variance of standard]]="","",IF(AND(ABS(tblOrders[[#This Row],[Total variance]])&gt;=AmtLimit,ABS(tblOrders[[#This Row],[Variance of standard]])&gt;=PctLimit),"Out of limits","Within limits")))</f>
        <v>Within limits</v>
      </c>
      <c r="AB1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8" s="52">
        <f>IF(tblOrders[[#This Row],[Date closed]]="","",IF(AND(tblOrders[[#This Row],[Date closed]]&gt;=FFrom,tblOrders[[#This Row],[Date closed]]&lt;=FTo,OR(DashProduct="",tblOrders[[#This Row],[Product]]=DashProduct)),tblOrders[[#This Row],[Date closed]],""))</f>
        <v>46157</v>
      </c>
      <c r="AD18" s="28" t="s">
        <v>126</v>
      </c>
    </row>
    <row r="19" spans="2:30">
      <c r="B19" s="41">
        <v>46161</v>
      </c>
      <c r="C19" s="28" t="s">
        <v>138</v>
      </c>
      <c r="D19" s="28" t="s">
        <v>86</v>
      </c>
      <c r="E19" s="30">
        <v>620</v>
      </c>
      <c r="F19" s="42">
        <v>1127.8</v>
      </c>
      <c r="G19" s="37">
        <v>1255.24</v>
      </c>
      <c r="H19" s="42">
        <v>78.40000000000001</v>
      </c>
      <c r="I19" s="37">
        <v>2215.08</v>
      </c>
      <c r="J19" s="37">
        <v>3214.4</v>
      </c>
      <c r="K19" s="43">
        <f>IF(tblOrders[[#This Row],[Date closed]]="","",IFERROR(INDEX(tblStandards[Std material qty],MATCH(tblOrders[[#This Row],[Product]],tblStandards[Product],0)),""))</f>
        <v>1.8</v>
      </c>
      <c r="L19" s="44">
        <f>IF(tblOrders[[#This Row],[Date closed]]="","",IFERROR(INDEX(tblStandards[Std material price],MATCH(tblOrders[[#This Row],[Product]],tblStandards[Product],0)),""))</f>
        <v>1.1</v>
      </c>
      <c r="M19" s="43">
        <f>IF(tblOrders[[#This Row],[Date closed]]="","",IFERROR(INDEX(tblStandards[Std labour hours],MATCH(tblOrders[[#This Row],[Product]],tblStandards[Product],0)),""))</f>
        <v>0.12</v>
      </c>
      <c r="N19" s="45">
        <f>IF(tblOrders[[#This Row],[Date closed]]="","",IFERROR(INDEX(tblStandards[Std labour rate],MATCH(tblOrders[[#This Row],[Product]],tblStandards[Product],0)),""))</f>
        <v>28</v>
      </c>
      <c r="O19" s="45">
        <f>IF(tblOrders[[#This Row],[Date closed]]="","",IFERROR(INDEX(tblStandards[Std overhead rate],MATCH(tblOrders[[#This Row],[Product]],tblStandards[Product],0)),""))</f>
        <v>42</v>
      </c>
      <c r="P19" s="46">
        <f>IF(tblOrders[[#This Row],[Date closed]]="","",IF(tblOrders[[#This Row],[Std material qty]]="","",tblOrders[[#This Row],[Good qty]]*tblOrders[[#This Row],[Std material qty]]))</f>
        <v>1116</v>
      </c>
      <c r="Q19" s="46">
        <f>IF(tblOrders[[#This Row],[Date closed]]="","",IF(tblOrders[[#This Row],[Std labour hours]]="","",tblOrders[[#This Row],[Good qty]]*tblOrders[[#This Row],[Std labour hours]]))</f>
        <v>74.4</v>
      </c>
      <c r="R19" s="47">
        <f>IF(tblOrders[[#This Row],[Date closed]]="","",IF(tblOrders[[#This Row],[Std qty allowed]]="","",tblOrders[[#This Row],[Std qty allowed]]*tblOrders[[#This Row],[Std material price]]+tblOrders[[#This Row],[Std hours allowed]]*(tblOrders[[#This Row],[Std labour rate]]+tblOrders[[#This Row],[Std overhead rate]])))</f>
        <v>6435.6</v>
      </c>
      <c r="S19" s="47">
        <f>IF(tblOrders[[#This Row],[Date closed]]="","",tblOrders[[#This Row],[Material cost]]+tblOrders[[#This Row],[Labour cost]]+tblOrders[[#This Row],[Overhead charged]])</f>
        <v>6684.72</v>
      </c>
      <c r="T19" s="47">
        <f>IF(tblOrders[[#This Row],[Date closed]]="","",IF(tblOrders[[#This Row],[Std material price]]="","",tblOrders[[#This Row],[Material cost]]-tblOrders[[#This Row],[Material used]]*tblOrders[[#This Row],[Std material price]]))</f>
        <v>14.6599999999999</v>
      </c>
      <c r="U19" s="47">
        <f>IF(tblOrders[[#This Row],[Date closed]]="","",IF(tblOrders[[#This Row],[Std qty allowed]]="","",(tblOrders[[#This Row],[Material used]]-tblOrders[[#This Row],[Std qty allowed]])*tblOrders[[#This Row],[Std material price]]))</f>
        <v>12.98</v>
      </c>
      <c r="V19" s="47">
        <f>IF(tblOrders[[#This Row],[Date closed]]="","",IF(tblOrders[[#This Row],[Std labour rate]]="","",tblOrders[[#This Row],[Labour cost]]-tblOrders[[#This Row],[Labour hours]]*tblOrders[[#This Row],[Std labour rate]]))</f>
        <v>19.8799999999997</v>
      </c>
      <c r="W19" s="47">
        <f>IF(tblOrders[[#This Row],[Date closed]]="","",IF(tblOrders[[#This Row],[Std hours allowed]]="","",(tblOrders[[#This Row],[Labour hours]]-tblOrders[[#This Row],[Std hours allowed]])*tblOrders[[#This Row],[Std labour rate]]))</f>
        <v>112</v>
      </c>
      <c r="X19" s="47">
        <f>IF(tblOrders[[#This Row],[Date closed]]="","",IF(tblOrders[[#This Row],[Std hours allowed]]="","",tblOrders[[#This Row],[Overhead charged]]-tblOrders[[#This Row],[Std hours allowed]]*tblOrders[[#This Row],[Std overhead rate]]))</f>
        <v>89.6000000000004</v>
      </c>
      <c r="Y19" s="48">
        <f>IF(tblOrders[[#This Row],[Date closed]]="","",IF(tblOrders[[#This Row],[Standard cost]]="","",tblOrders[[#This Row],[Actual cost]]-tblOrders[[#This Row],[Standard cost]]))</f>
        <v>249.12</v>
      </c>
      <c r="Z19" s="49">
        <f>IF(tblOrders[[#This Row],[Date closed]]="","",IF(N(tblOrders[[#This Row],[Standard cost]])=0,"",tblOrders[[#This Row],[Total variance]]/tblOrders[[#This Row],[Standard cost]]))</f>
        <v>0.0387096774193548</v>
      </c>
      <c r="AA19" s="50" t="str">
        <f>IF(tblOrders[[#This Row],[Date closed]]="","",IF(tblOrders[[#This Row],[Variance of standard]]="","",IF(AND(ABS(tblOrders[[#This Row],[Total variance]])&gt;=AmtLimit,ABS(tblOrders[[#This Row],[Variance of standard]])&gt;=PctLimit),"Out of limits","Within limits")))</f>
        <v>Within limits</v>
      </c>
      <c r="AB1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19" s="52">
        <f>IF(tblOrders[[#This Row],[Date closed]]="","",IF(AND(tblOrders[[#This Row],[Date closed]]&gt;=FFrom,tblOrders[[#This Row],[Date closed]]&lt;=FTo,OR(DashProduct="",tblOrders[[#This Row],[Product]]=DashProduct)),tblOrders[[#This Row],[Date closed]],""))</f>
        <v>46161</v>
      </c>
      <c r="AD19" s="28" t="s">
        <v>126</v>
      </c>
    </row>
    <row r="20" spans="2:30">
      <c r="B20" s="41">
        <v>46162</v>
      </c>
      <c r="C20" s="28" t="s">
        <v>139</v>
      </c>
      <c r="D20" s="28" t="s">
        <v>89</v>
      </c>
      <c r="E20" s="30">
        <v>170</v>
      </c>
      <c r="F20" s="42">
        <v>1103.4</v>
      </c>
      <c r="G20" s="37">
        <v>1219.26</v>
      </c>
      <c r="H20" s="42">
        <v>32.9</v>
      </c>
      <c r="I20" s="37">
        <v>935.5599999999999</v>
      </c>
      <c r="J20" s="37">
        <v>1348.9</v>
      </c>
      <c r="K20" s="43">
        <f>IF(tblOrders[[#This Row],[Date closed]]="","",IFERROR(INDEX(tblStandards[Std material qty],MATCH(tblOrders[[#This Row],[Product]],tblStandards[Product],0)),""))</f>
        <v>6.5</v>
      </c>
      <c r="L20" s="44">
        <f>IF(tblOrders[[#This Row],[Date closed]]="","",IFERROR(INDEX(tblStandards[Std material price],MATCH(tblOrders[[#This Row],[Product]],tblStandards[Product],0)),""))</f>
        <v>1.1</v>
      </c>
      <c r="M20" s="43">
        <f>IF(tblOrders[[#This Row],[Date closed]]="","",IFERROR(INDEX(tblStandards[Std labour hours],MATCH(tblOrders[[#This Row],[Product]],tblStandards[Product],0)),""))</f>
        <v>0.2</v>
      </c>
      <c r="N20" s="45">
        <f>IF(tblOrders[[#This Row],[Date closed]]="","",IFERROR(INDEX(tblStandards[Std labour rate],MATCH(tblOrders[[#This Row],[Product]],tblStandards[Product],0)),""))</f>
        <v>28</v>
      </c>
      <c r="O20" s="45">
        <f>IF(tblOrders[[#This Row],[Date closed]]="","",IFERROR(INDEX(tblStandards[Std overhead rate],MATCH(tblOrders[[#This Row],[Product]],tblStandards[Product],0)),""))</f>
        <v>42</v>
      </c>
      <c r="P20" s="46">
        <f>IF(tblOrders[[#This Row],[Date closed]]="","",IF(tblOrders[[#This Row],[Std material qty]]="","",tblOrders[[#This Row],[Good qty]]*tblOrders[[#This Row],[Std material qty]]))</f>
        <v>1105</v>
      </c>
      <c r="Q20" s="46">
        <f>IF(tblOrders[[#This Row],[Date closed]]="","",IF(tblOrders[[#This Row],[Std labour hours]]="","",tblOrders[[#This Row],[Good qty]]*tblOrders[[#This Row],[Std labour hours]]))</f>
        <v>34</v>
      </c>
      <c r="R20" s="47">
        <f>IF(tblOrders[[#This Row],[Date closed]]="","",IF(tblOrders[[#This Row],[Std qty allowed]]="","",tblOrders[[#This Row],[Std qty allowed]]*tblOrders[[#This Row],[Std material price]]+tblOrders[[#This Row],[Std hours allowed]]*(tblOrders[[#This Row],[Std labour rate]]+tblOrders[[#This Row],[Std overhead rate]])))</f>
        <v>3595.5</v>
      </c>
      <c r="S20" s="47">
        <f>IF(tblOrders[[#This Row],[Date closed]]="","",tblOrders[[#This Row],[Material cost]]+tblOrders[[#This Row],[Labour cost]]+tblOrders[[#This Row],[Overhead charged]])</f>
        <v>3503.72</v>
      </c>
      <c r="T20" s="47">
        <f>IF(tblOrders[[#This Row],[Date closed]]="","",IF(tblOrders[[#This Row],[Std material price]]="","",tblOrders[[#This Row],[Material cost]]-tblOrders[[#This Row],[Material used]]*tblOrders[[#This Row],[Std material price]]))</f>
        <v>5.51999999999975</v>
      </c>
      <c r="U20" s="47">
        <f>IF(tblOrders[[#This Row],[Date closed]]="","",IF(tblOrders[[#This Row],[Std qty allowed]]="","",(tblOrders[[#This Row],[Material used]]-tblOrders[[#This Row],[Std qty allowed]])*tblOrders[[#This Row],[Std material price]]))</f>
        <v>-1.7599999999999</v>
      </c>
      <c r="V20" s="47">
        <f>IF(tblOrders[[#This Row],[Date closed]]="","",IF(tblOrders[[#This Row],[Std labour rate]]="","",tblOrders[[#This Row],[Labour cost]]-tblOrders[[#This Row],[Labour hours]]*tblOrders[[#This Row],[Std labour rate]]))</f>
        <v>14.36</v>
      </c>
      <c r="W20" s="47">
        <f>IF(tblOrders[[#This Row],[Date closed]]="","",IF(tblOrders[[#This Row],[Std hours allowed]]="","",(tblOrders[[#This Row],[Labour hours]]-tblOrders[[#This Row],[Std hours allowed]])*tblOrders[[#This Row],[Std labour rate]]))</f>
        <v>-30.8</v>
      </c>
      <c r="X20" s="47">
        <f>IF(tblOrders[[#This Row],[Date closed]]="","",IF(tblOrders[[#This Row],[Std hours allowed]]="","",tblOrders[[#This Row],[Overhead charged]]-tblOrders[[#This Row],[Std hours allowed]]*tblOrders[[#This Row],[Std overhead rate]]))</f>
        <v>-79.0999999999999</v>
      </c>
      <c r="Y20" s="48">
        <f>IF(tblOrders[[#This Row],[Date closed]]="","",IF(tblOrders[[#This Row],[Standard cost]]="","",tblOrders[[#This Row],[Actual cost]]-tblOrders[[#This Row],[Standard cost]]))</f>
        <v>-91.7800000000002</v>
      </c>
      <c r="Z20" s="49">
        <f>IF(tblOrders[[#This Row],[Date closed]]="","",IF(N(tblOrders[[#This Row],[Standard cost]])=0,"",tblOrders[[#This Row],[Total variance]]/tblOrders[[#This Row],[Standard cost]]))</f>
        <v>-0.0255263523849257</v>
      </c>
      <c r="AA20" s="50" t="str">
        <f>IF(tblOrders[[#This Row],[Date closed]]="","",IF(tblOrders[[#This Row],[Variance of standard]]="","",IF(AND(ABS(tblOrders[[#This Row],[Total variance]])&gt;=AmtLimit,ABS(tblOrders[[#This Row],[Variance of standard]])&gt;=PctLimit),"Out of limits","Within limits")))</f>
        <v>Within limits</v>
      </c>
      <c r="AB2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0" s="52">
        <f>IF(tblOrders[[#This Row],[Date closed]]="","",IF(AND(tblOrders[[#This Row],[Date closed]]&gt;=FFrom,tblOrders[[#This Row],[Date closed]]&lt;=FTo,OR(DashProduct="",tblOrders[[#This Row],[Product]]=DashProduct)),tblOrders[[#This Row],[Date closed]],""))</f>
        <v>46162</v>
      </c>
      <c r="AD20" s="28" t="s">
        <v>126</v>
      </c>
    </row>
    <row r="21" spans="2:30">
      <c r="B21" s="41">
        <v>46163</v>
      </c>
      <c r="C21" s="28" t="s">
        <v>140</v>
      </c>
      <c r="D21" s="28" t="s">
        <v>91</v>
      </c>
      <c r="E21" s="30">
        <v>80</v>
      </c>
      <c r="F21" s="42">
        <v>1148.2</v>
      </c>
      <c r="G21" s="37">
        <v>1336.5</v>
      </c>
      <c r="H21" s="42">
        <v>91.3</v>
      </c>
      <c r="I21" s="37">
        <v>2778.11</v>
      </c>
      <c r="J21" s="37">
        <v>3743.3</v>
      </c>
      <c r="K21" s="43">
        <f>IF(tblOrders[[#This Row],[Date closed]]="","",IFERROR(INDEX(tblStandards[Std material qty],MATCH(tblOrders[[#This Row],[Product]],tblStandards[Product],0)),""))</f>
        <v>14</v>
      </c>
      <c r="L21" s="44">
        <f>IF(tblOrders[[#This Row],[Date closed]]="","",IFERROR(INDEX(tblStandards[Std material price],MATCH(tblOrders[[#This Row],[Product]],tblStandards[Product],0)),""))</f>
        <v>1.15</v>
      </c>
      <c r="M21" s="43">
        <f>IF(tblOrders[[#This Row],[Date closed]]="","",IFERROR(INDEX(tblStandards[Std labour hours],MATCH(tblOrders[[#This Row],[Product]],tblStandards[Product],0)),""))</f>
        <v>1.1</v>
      </c>
      <c r="N21" s="45">
        <f>IF(tblOrders[[#This Row],[Date closed]]="","",IFERROR(INDEX(tblStandards[Std labour rate],MATCH(tblOrders[[#This Row],[Product]],tblStandards[Product],0)),""))</f>
        <v>30</v>
      </c>
      <c r="O21" s="45">
        <f>IF(tblOrders[[#This Row],[Date closed]]="","",IFERROR(INDEX(tblStandards[Std overhead rate],MATCH(tblOrders[[#This Row],[Product]],tblStandards[Product],0)),""))</f>
        <v>42</v>
      </c>
      <c r="P21" s="46">
        <f>IF(tblOrders[[#This Row],[Date closed]]="","",IF(tblOrders[[#This Row],[Std material qty]]="","",tblOrders[[#This Row],[Good qty]]*tblOrders[[#This Row],[Std material qty]]))</f>
        <v>1120</v>
      </c>
      <c r="Q21" s="46">
        <f>IF(tblOrders[[#This Row],[Date closed]]="","",IF(tblOrders[[#This Row],[Std labour hours]]="","",tblOrders[[#This Row],[Good qty]]*tblOrders[[#This Row],[Std labour hours]]))</f>
        <v>88</v>
      </c>
      <c r="R21" s="47">
        <f>IF(tblOrders[[#This Row],[Date closed]]="","",IF(tblOrders[[#This Row],[Std qty allowed]]="","",tblOrders[[#This Row],[Std qty allowed]]*tblOrders[[#This Row],[Std material price]]+tblOrders[[#This Row],[Std hours allowed]]*(tblOrders[[#This Row],[Std labour rate]]+tblOrders[[#This Row],[Std overhead rate]])))</f>
        <v>7624</v>
      </c>
      <c r="S21" s="47">
        <f>IF(tblOrders[[#This Row],[Date closed]]="","",tblOrders[[#This Row],[Material cost]]+tblOrders[[#This Row],[Labour cost]]+tblOrders[[#This Row],[Overhead charged]])</f>
        <v>7857.91</v>
      </c>
      <c r="T21" s="47">
        <f>IF(tblOrders[[#This Row],[Date closed]]="","",IF(tblOrders[[#This Row],[Std material price]]="","",tblOrders[[#This Row],[Material cost]]-tblOrders[[#This Row],[Material used]]*tblOrders[[#This Row],[Std material price]]))</f>
        <v>16.0699999999999</v>
      </c>
      <c r="U21" s="47">
        <f>IF(tblOrders[[#This Row],[Date closed]]="","",IF(tblOrders[[#This Row],[Std qty allowed]]="","",(tblOrders[[#This Row],[Material used]]-tblOrders[[#This Row],[Std qty allowed]])*tblOrders[[#This Row],[Std material price]]))</f>
        <v>32.4300000000001</v>
      </c>
      <c r="V21" s="47">
        <f>IF(tblOrders[[#This Row],[Date closed]]="","",IF(tblOrders[[#This Row],[Std labour rate]]="","",tblOrders[[#This Row],[Labour cost]]-tblOrders[[#This Row],[Labour hours]]*tblOrders[[#This Row],[Std labour rate]]))</f>
        <v>39.1100000000001</v>
      </c>
      <c r="W21" s="47">
        <f>IF(tblOrders[[#This Row],[Date closed]]="","",IF(tblOrders[[#This Row],[Std hours allowed]]="","",(tblOrders[[#This Row],[Labour hours]]-tblOrders[[#This Row],[Std hours allowed]])*tblOrders[[#This Row],[Std labour rate]]))</f>
        <v>98.9999999999999</v>
      </c>
      <c r="X21" s="47">
        <f>IF(tblOrders[[#This Row],[Date closed]]="","",IF(tblOrders[[#This Row],[Std hours allowed]]="","",tblOrders[[#This Row],[Overhead charged]]-tblOrders[[#This Row],[Std hours allowed]]*tblOrders[[#This Row],[Std overhead rate]]))</f>
        <v>47.3000000000002</v>
      </c>
      <c r="Y21" s="48">
        <f>IF(tblOrders[[#This Row],[Date closed]]="","",IF(tblOrders[[#This Row],[Standard cost]]="","",tblOrders[[#This Row],[Actual cost]]-tblOrders[[#This Row],[Standard cost]]))</f>
        <v>233.910000000001</v>
      </c>
      <c r="Z21" s="49">
        <f>IF(tblOrders[[#This Row],[Date closed]]="","",IF(N(tblOrders[[#This Row],[Standard cost]])=0,"",tblOrders[[#This Row],[Total variance]]/tblOrders[[#This Row],[Standard cost]]))</f>
        <v>0.0306807450157399</v>
      </c>
      <c r="AA21" s="50" t="str">
        <f>IF(tblOrders[[#This Row],[Date closed]]="","",IF(tblOrders[[#This Row],[Variance of standard]]="","",IF(AND(ABS(tblOrders[[#This Row],[Total variance]])&gt;=AmtLimit,ABS(tblOrders[[#This Row],[Variance of standard]])&gt;=PctLimit),"Out of limits","Within limits")))</f>
        <v>Within limits</v>
      </c>
      <c r="AB2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1" s="52">
        <f>IF(tblOrders[[#This Row],[Date closed]]="","",IF(AND(tblOrders[[#This Row],[Date closed]]&gt;=FFrom,tblOrders[[#This Row],[Date closed]]&lt;=FTo,OR(DashProduct="",tblOrders[[#This Row],[Product]]=DashProduct)),tblOrders[[#This Row],[Date closed]],""))</f>
        <v>46163</v>
      </c>
      <c r="AD21" s="28" t="s">
        <v>126</v>
      </c>
    </row>
    <row r="22" spans="2:30">
      <c r="B22" s="41">
        <v>46164</v>
      </c>
      <c r="C22" s="28" t="s">
        <v>141</v>
      </c>
      <c r="D22" s="28" t="s">
        <v>93</v>
      </c>
      <c r="E22" s="30">
        <v>70</v>
      </c>
      <c r="F22" s="42">
        <v>584.9</v>
      </c>
      <c r="G22" s="37">
        <v>731.71</v>
      </c>
      <c r="H22" s="42">
        <v>44.5</v>
      </c>
      <c r="I22" s="37">
        <v>1234.69</v>
      </c>
      <c r="J22" s="37">
        <v>1824.5</v>
      </c>
      <c r="K22" s="43">
        <f>IF(tblOrders[[#This Row],[Date closed]]="","",IFERROR(INDEX(tblStandards[Std material qty],MATCH(tblOrders[[#This Row],[Product]],tblStandards[Product],0)),""))</f>
        <v>8.2</v>
      </c>
      <c r="L22" s="44">
        <f>IF(tblOrders[[#This Row],[Date closed]]="","",IFERROR(INDEX(tblStandards[Std material price],MATCH(tblOrders[[#This Row],[Product]],tblStandards[Product],0)),""))</f>
        <v>1.25</v>
      </c>
      <c r="M22" s="43">
        <f>IF(tblOrders[[#This Row],[Date closed]]="","",IFERROR(INDEX(tblStandards[Std labour hours],MATCH(tblOrders[[#This Row],[Product]],tblStandards[Product],0)),""))</f>
        <v>0.65</v>
      </c>
      <c r="N22" s="45">
        <f>IF(tblOrders[[#This Row],[Date closed]]="","",IFERROR(INDEX(tblStandards[Std labour rate],MATCH(tblOrders[[#This Row],[Product]],tblStandards[Product],0)),""))</f>
        <v>28</v>
      </c>
      <c r="O22" s="45">
        <f>IF(tblOrders[[#This Row],[Date closed]]="","",IFERROR(INDEX(tblStandards[Std overhead rate],MATCH(tblOrders[[#This Row],[Product]],tblStandards[Product],0)),""))</f>
        <v>42</v>
      </c>
      <c r="P22" s="46">
        <f>IF(tblOrders[[#This Row],[Date closed]]="","",IF(tblOrders[[#This Row],[Std material qty]]="","",tblOrders[[#This Row],[Good qty]]*tblOrders[[#This Row],[Std material qty]]))</f>
        <v>574</v>
      </c>
      <c r="Q22" s="46">
        <f>IF(tblOrders[[#This Row],[Date closed]]="","",IF(tblOrders[[#This Row],[Std labour hours]]="","",tblOrders[[#This Row],[Good qty]]*tblOrders[[#This Row],[Std labour hours]]))</f>
        <v>45.5</v>
      </c>
      <c r="R22" s="47">
        <f>IF(tblOrders[[#This Row],[Date closed]]="","",IF(tblOrders[[#This Row],[Std qty allowed]]="","",tblOrders[[#This Row],[Std qty allowed]]*tblOrders[[#This Row],[Std material price]]+tblOrders[[#This Row],[Std hours allowed]]*(tblOrders[[#This Row],[Std labour rate]]+tblOrders[[#This Row],[Std overhead rate]])))</f>
        <v>3902.5</v>
      </c>
      <c r="S22" s="47">
        <f>IF(tblOrders[[#This Row],[Date closed]]="","",tblOrders[[#This Row],[Material cost]]+tblOrders[[#This Row],[Labour cost]]+tblOrders[[#This Row],[Overhead charged]])</f>
        <v>3790.9</v>
      </c>
      <c r="T22" s="47">
        <f>IF(tblOrders[[#This Row],[Date closed]]="","",IF(tblOrders[[#This Row],[Std material price]]="","",tblOrders[[#This Row],[Material cost]]-tblOrders[[#This Row],[Material used]]*tblOrders[[#This Row],[Std material price]]))</f>
        <v>0.585000000000036</v>
      </c>
      <c r="U22" s="47">
        <f>IF(tblOrders[[#This Row],[Date closed]]="","",IF(tblOrders[[#This Row],[Std qty allowed]]="","",(tblOrders[[#This Row],[Material used]]-tblOrders[[#This Row],[Std qty allowed]])*tblOrders[[#This Row],[Std material price]]))</f>
        <v>13.625</v>
      </c>
      <c r="V22" s="47">
        <f>IF(tblOrders[[#This Row],[Date closed]]="","",IF(tblOrders[[#This Row],[Std labour rate]]="","",tblOrders[[#This Row],[Labour cost]]-tblOrders[[#This Row],[Labour hours]]*tblOrders[[#This Row],[Std labour rate]]))</f>
        <v>-11.3099999999999</v>
      </c>
      <c r="W22" s="47">
        <f>IF(tblOrders[[#This Row],[Date closed]]="","",IF(tblOrders[[#This Row],[Std hours allowed]]="","",(tblOrders[[#This Row],[Labour hours]]-tblOrders[[#This Row],[Std hours allowed]])*tblOrders[[#This Row],[Std labour rate]]))</f>
        <v>-28</v>
      </c>
      <c r="X22" s="47">
        <f>IF(tblOrders[[#This Row],[Date closed]]="","",IF(tblOrders[[#This Row],[Std hours allowed]]="","",tblOrders[[#This Row],[Overhead charged]]-tblOrders[[#This Row],[Std hours allowed]]*tblOrders[[#This Row],[Std overhead rate]]))</f>
        <v>-86.5</v>
      </c>
      <c r="Y22" s="48">
        <f>IF(tblOrders[[#This Row],[Date closed]]="","",IF(tblOrders[[#This Row],[Standard cost]]="","",tblOrders[[#This Row],[Actual cost]]-tblOrders[[#This Row],[Standard cost]]))</f>
        <v>-111.6</v>
      </c>
      <c r="Z22" s="49">
        <f>IF(tblOrders[[#This Row],[Date closed]]="","",IF(N(tblOrders[[#This Row],[Standard cost]])=0,"",tblOrders[[#This Row],[Total variance]]/tblOrders[[#This Row],[Standard cost]]))</f>
        <v>-0.0285970531710442</v>
      </c>
      <c r="AA22" s="50" t="str">
        <f>IF(tblOrders[[#This Row],[Date closed]]="","",IF(tblOrders[[#This Row],[Variance of standard]]="","",IF(AND(ABS(tblOrders[[#This Row],[Total variance]])&gt;=AmtLimit,ABS(tblOrders[[#This Row],[Variance of standard]])&gt;=PctLimit),"Out of limits","Within limits")))</f>
        <v>Within limits</v>
      </c>
      <c r="AB2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2" s="52">
        <f>IF(tblOrders[[#This Row],[Date closed]]="","",IF(AND(tblOrders[[#This Row],[Date closed]]&gt;=FFrom,tblOrders[[#This Row],[Date closed]]&lt;=FTo,OR(DashProduct="",tblOrders[[#This Row],[Product]]=DashProduct)),tblOrders[[#This Row],[Date closed]],""))</f>
        <v>46164</v>
      </c>
      <c r="AD22" s="28" t="s">
        <v>126</v>
      </c>
    </row>
    <row r="23" spans="2:30">
      <c r="B23" s="41">
        <v>46167</v>
      </c>
      <c r="C23" s="28" t="s">
        <v>142</v>
      </c>
      <c r="D23" s="28" t="s">
        <v>95</v>
      </c>
      <c r="E23" s="30">
        <v>140</v>
      </c>
      <c r="F23" s="42">
        <v>1759</v>
      </c>
      <c r="G23" s="37">
        <v>2181.16</v>
      </c>
      <c r="H23" s="42">
        <v>195.9</v>
      </c>
      <c r="I23" s="37">
        <v>5605.89</v>
      </c>
      <c r="J23" s="37">
        <v>8031.9</v>
      </c>
      <c r="K23" s="43">
        <f>IF(tblOrders[[#This Row],[Date closed]]="","",IFERROR(INDEX(tblStandards[Std material qty],MATCH(tblOrders[[#This Row],[Product]],tblStandards[Product],0)),""))</f>
        <v>11.5</v>
      </c>
      <c r="L23" s="44">
        <f>IF(tblOrders[[#This Row],[Date closed]]="","",IFERROR(INDEX(tblStandards[Std material price],MATCH(tblOrders[[#This Row],[Product]],tblStandards[Product],0)),""))</f>
        <v>1.25</v>
      </c>
      <c r="M23" s="43">
        <f>IF(tblOrders[[#This Row],[Date closed]]="","",IFERROR(INDEX(tblStandards[Std labour hours],MATCH(tblOrders[[#This Row],[Product]],tblStandards[Product],0)),""))</f>
        <v>1.4</v>
      </c>
      <c r="N23" s="45">
        <f>IF(tblOrders[[#This Row],[Date closed]]="","",IFERROR(INDEX(tblStandards[Std labour rate],MATCH(tblOrders[[#This Row],[Product]],tblStandards[Product],0)),""))</f>
        <v>28</v>
      </c>
      <c r="O23" s="45">
        <f>IF(tblOrders[[#This Row],[Date closed]]="","",IFERROR(INDEX(tblStandards[Std overhead rate],MATCH(tblOrders[[#This Row],[Product]],tblStandards[Product],0)),""))</f>
        <v>42</v>
      </c>
      <c r="P23" s="46">
        <f>IF(tblOrders[[#This Row],[Date closed]]="","",IF(tblOrders[[#This Row],[Std material qty]]="","",tblOrders[[#This Row],[Good qty]]*tblOrders[[#This Row],[Std material qty]]))</f>
        <v>1610</v>
      </c>
      <c r="Q23" s="46">
        <f>IF(tblOrders[[#This Row],[Date closed]]="","",IF(tblOrders[[#This Row],[Std labour hours]]="","",tblOrders[[#This Row],[Good qty]]*tblOrders[[#This Row],[Std labour hours]]))</f>
        <v>196</v>
      </c>
      <c r="R23" s="47">
        <f>IF(tblOrders[[#This Row],[Date closed]]="","",IF(tblOrders[[#This Row],[Std qty allowed]]="","",tblOrders[[#This Row],[Std qty allowed]]*tblOrders[[#This Row],[Std material price]]+tblOrders[[#This Row],[Std hours allowed]]*(tblOrders[[#This Row],[Std labour rate]]+tblOrders[[#This Row],[Std overhead rate]])))</f>
        <v>15732.5</v>
      </c>
      <c r="S23" s="47">
        <f>IF(tblOrders[[#This Row],[Date closed]]="","",tblOrders[[#This Row],[Material cost]]+tblOrders[[#This Row],[Labour cost]]+tblOrders[[#This Row],[Overhead charged]])</f>
        <v>15818.95</v>
      </c>
      <c r="T23" s="47">
        <f>IF(tblOrders[[#This Row],[Date closed]]="","",IF(tblOrders[[#This Row],[Std material price]]="","",tblOrders[[#This Row],[Material cost]]-tblOrders[[#This Row],[Material used]]*tblOrders[[#This Row],[Std material price]]))</f>
        <v>-17.5900000000001</v>
      </c>
      <c r="U23" s="47">
        <f>IF(tblOrders[[#This Row],[Date closed]]="","",IF(tblOrders[[#This Row],[Std qty allowed]]="","",(tblOrders[[#This Row],[Material used]]-tblOrders[[#This Row],[Std qty allowed]])*tblOrders[[#This Row],[Std material price]]))</f>
        <v>186.25</v>
      </c>
      <c r="V23" s="47">
        <f>IF(tblOrders[[#This Row],[Date closed]]="","",IF(tblOrders[[#This Row],[Std labour rate]]="","",tblOrders[[#This Row],[Labour cost]]-tblOrders[[#This Row],[Labour hours]]*tblOrders[[#This Row],[Std labour rate]]))</f>
        <v>120.690000000001</v>
      </c>
      <c r="W23" s="47">
        <f>IF(tblOrders[[#This Row],[Date closed]]="","",IF(tblOrders[[#This Row],[Std hours allowed]]="","",(tblOrders[[#This Row],[Labour hours]]-tblOrders[[#This Row],[Std hours allowed]])*tblOrders[[#This Row],[Std labour rate]]))</f>
        <v>-2.79999999999984</v>
      </c>
      <c r="X23" s="47">
        <f>IF(tblOrders[[#This Row],[Date closed]]="","",IF(tblOrders[[#This Row],[Std hours allowed]]="","",tblOrders[[#This Row],[Overhead charged]]-tblOrders[[#This Row],[Std hours allowed]]*tblOrders[[#This Row],[Std overhead rate]]))</f>
        <v>-200.1</v>
      </c>
      <c r="Y23" s="48">
        <f>IF(tblOrders[[#This Row],[Date closed]]="","",IF(tblOrders[[#This Row],[Standard cost]]="","",tblOrders[[#This Row],[Actual cost]]-tblOrders[[#This Row],[Standard cost]]))</f>
        <v>86.4500000000007</v>
      </c>
      <c r="Z23" s="49">
        <f>IF(tblOrders[[#This Row],[Date closed]]="","",IF(N(tblOrders[[#This Row],[Standard cost]])=0,"",tblOrders[[#This Row],[Total variance]]/tblOrders[[#This Row],[Standard cost]]))</f>
        <v>0.00549499443826479</v>
      </c>
      <c r="AA23" s="50" t="str">
        <f>IF(tblOrders[[#This Row],[Date closed]]="","",IF(tblOrders[[#This Row],[Variance of standard]]="","",IF(AND(ABS(tblOrders[[#This Row],[Total variance]])&gt;=AmtLimit,ABS(tblOrders[[#This Row],[Variance of standard]])&gt;=PctLimit),"Out of limits","Within limits")))</f>
        <v>Within limits</v>
      </c>
      <c r="AB2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3" s="52">
        <f>IF(tblOrders[[#This Row],[Date closed]]="","",IF(AND(tblOrders[[#This Row],[Date closed]]&gt;=FFrom,tblOrders[[#This Row],[Date closed]]&lt;=FTo,OR(DashProduct="",tblOrders[[#This Row],[Product]]=DashProduct)),tblOrders[[#This Row],[Date closed]],""))</f>
        <v>46167</v>
      </c>
      <c r="AD23" s="28" t="s">
        <v>126</v>
      </c>
    </row>
    <row r="24" spans="2:30">
      <c r="B24" s="41">
        <v>46169</v>
      </c>
      <c r="C24" s="28" t="s">
        <v>143</v>
      </c>
      <c r="D24" s="28" t="s">
        <v>97</v>
      </c>
      <c r="E24" s="30">
        <v>20</v>
      </c>
      <c r="F24" s="42">
        <v>655.7</v>
      </c>
      <c r="G24" s="37">
        <v>717.99</v>
      </c>
      <c r="H24" s="42">
        <v>43.5</v>
      </c>
      <c r="I24" s="37">
        <v>1313.69</v>
      </c>
      <c r="J24" s="37">
        <v>1783.5</v>
      </c>
      <c r="K24" s="43">
        <f>IF(tblOrders[[#This Row],[Date closed]]="","",IFERROR(INDEX(tblStandards[Std material qty],MATCH(tblOrders[[#This Row],[Product]],tblStandards[Product],0)),""))</f>
        <v>32</v>
      </c>
      <c r="L24" s="44">
        <f>IF(tblOrders[[#This Row],[Date closed]]="","",IFERROR(INDEX(tblStandards[Std material price],MATCH(tblOrders[[#This Row],[Product]],tblStandards[Product],0)),""))</f>
        <v>1.1</v>
      </c>
      <c r="M24" s="43">
        <f>IF(tblOrders[[#This Row],[Date closed]]="","",IFERROR(INDEX(tblStandards[Std labour hours],MATCH(tblOrders[[#This Row],[Product]],tblStandards[Product],0)),""))</f>
        <v>2.2</v>
      </c>
      <c r="N24" s="45">
        <f>IF(tblOrders[[#This Row],[Date closed]]="","",IFERROR(INDEX(tblStandards[Std labour rate],MATCH(tblOrders[[#This Row],[Product]],tblStandards[Product],0)),""))</f>
        <v>30</v>
      </c>
      <c r="O24" s="45">
        <f>IF(tblOrders[[#This Row],[Date closed]]="","",IFERROR(INDEX(tblStandards[Std overhead rate],MATCH(tblOrders[[#This Row],[Product]],tblStandards[Product],0)),""))</f>
        <v>42</v>
      </c>
      <c r="P24" s="46">
        <f>IF(tblOrders[[#This Row],[Date closed]]="","",IF(tblOrders[[#This Row],[Std material qty]]="","",tblOrders[[#This Row],[Good qty]]*tblOrders[[#This Row],[Std material qty]]))</f>
        <v>640</v>
      </c>
      <c r="Q24" s="46">
        <f>IF(tblOrders[[#This Row],[Date closed]]="","",IF(tblOrders[[#This Row],[Std labour hours]]="","",tblOrders[[#This Row],[Good qty]]*tblOrders[[#This Row],[Std labour hours]]))</f>
        <v>44</v>
      </c>
      <c r="R24" s="47">
        <f>IF(tblOrders[[#This Row],[Date closed]]="","",IF(tblOrders[[#This Row],[Std qty allowed]]="","",tblOrders[[#This Row],[Std qty allowed]]*tblOrders[[#This Row],[Std material price]]+tblOrders[[#This Row],[Std hours allowed]]*(tblOrders[[#This Row],[Std labour rate]]+tblOrders[[#This Row],[Std overhead rate]])))</f>
        <v>3872</v>
      </c>
      <c r="S24" s="47">
        <f>IF(tblOrders[[#This Row],[Date closed]]="","",tblOrders[[#This Row],[Material cost]]+tblOrders[[#This Row],[Labour cost]]+tblOrders[[#This Row],[Overhead charged]])</f>
        <v>3815.18</v>
      </c>
      <c r="T24" s="47">
        <f>IF(tblOrders[[#This Row],[Date closed]]="","",IF(tblOrders[[#This Row],[Std material price]]="","",tblOrders[[#This Row],[Material cost]]-tblOrders[[#This Row],[Material used]]*tblOrders[[#This Row],[Std material price]]))</f>
        <v>-3.28000000000009</v>
      </c>
      <c r="U24" s="47">
        <f>IF(tblOrders[[#This Row],[Date closed]]="","",IF(tblOrders[[#This Row],[Std qty allowed]]="","",(tblOrders[[#This Row],[Material used]]-tblOrders[[#This Row],[Std qty allowed]])*tblOrders[[#This Row],[Std material price]]))</f>
        <v>17.2700000000001</v>
      </c>
      <c r="V24" s="47">
        <f>IF(tblOrders[[#This Row],[Date closed]]="","",IF(tblOrders[[#This Row],[Std labour rate]]="","",tblOrders[[#This Row],[Labour cost]]-tblOrders[[#This Row],[Labour hours]]*tblOrders[[#This Row],[Std labour rate]]))</f>
        <v>8.69000000000006</v>
      </c>
      <c r="W24" s="47">
        <f>IF(tblOrders[[#This Row],[Date closed]]="","",IF(tblOrders[[#This Row],[Std hours allowed]]="","",(tblOrders[[#This Row],[Labour hours]]-tblOrders[[#This Row],[Std hours allowed]])*tblOrders[[#This Row],[Std labour rate]]))</f>
        <v>-15</v>
      </c>
      <c r="X24" s="47">
        <f>IF(tblOrders[[#This Row],[Date closed]]="","",IF(tblOrders[[#This Row],[Std hours allowed]]="","",tblOrders[[#This Row],[Overhead charged]]-tblOrders[[#This Row],[Std hours allowed]]*tblOrders[[#This Row],[Std overhead rate]]))</f>
        <v>-64.5</v>
      </c>
      <c r="Y24" s="48">
        <f>IF(tblOrders[[#This Row],[Date closed]]="","",IF(tblOrders[[#This Row],[Standard cost]]="","",tblOrders[[#This Row],[Actual cost]]-tblOrders[[#This Row],[Standard cost]]))</f>
        <v>-56.8199999999997</v>
      </c>
      <c r="Z24" s="49">
        <f>IF(tblOrders[[#This Row],[Date closed]]="","",IF(N(tblOrders[[#This Row],[Standard cost]])=0,"",tblOrders[[#This Row],[Total variance]]/tblOrders[[#This Row],[Standard cost]]))</f>
        <v>-0.0146745867768594</v>
      </c>
      <c r="AA24" s="50" t="str">
        <f>IF(tblOrders[[#This Row],[Date closed]]="","",IF(tblOrders[[#This Row],[Variance of standard]]="","",IF(AND(ABS(tblOrders[[#This Row],[Total variance]])&gt;=AmtLimit,ABS(tblOrders[[#This Row],[Variance of standard]])&gt;=PctLimit),"Out of limits","Within limits")))</f>
        <v>Within limits</v>
      </c>
      <c r="AB2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4" s="52">
        <f>IF(tblOrders[[#This Row],[Date closed]]="","",IF(AND(tblOrders[[#This Row],[Date closed]]&gt;=FFrom,tblOrders[[#This Row],[Date closed]]&lt;=FTo,OR(DashProduct="",tblOrders[[#This Row],[Product]]=DashProduct)),tblOrders[[#This Row],[Date closed]],""))</f>
        <v>46169</v>
      </c>
      <c r="AD24" s="28" t="s">
        <v>126</v>
      </c>
    </row>
    <row r="25" spans="2:30">
      <c r="B25" s="41">
        <v>46175</v>
      </c>
      <c r="C25" s="28" t="s">
        <v>144</v>
      </c>
      <c r="D25" s="28" t="s">
        <v>86</v>
      </c>
      <c r="E25" s="30">
        <v>720</v>
      </c>
      <c r="F25" s="42">
        <v>1314.1</v>
      </c>
      <c r="G25" s="37">
        <v>1473.11</v>
      </c>
      <c r="H25" s="42">
        <v>88.7</v>
      </c>
      <c r="I25" s="37">
        <v>2518.12</v>
      </c>
      <c r="J25" s="37">
        <v>3681.05</v>
      </c>
      <c r="K25" s="43">
        <f>IF(tblOrders[[#This Row],[Date closed]]="","",IFERROR(INDEX(tblStandards[Std material qty],MATCH(tblOrders[[#This Row],[Product]],tblStandards[Product],0)),""))</f>
        <v>1.8</v>
      </c>
      <c r="L25" s="44">
        <f>IF(tblOrders[[#This Row],[Date closed]]="","",IFERROR(INDEX(tblStandards[Std material price],MATCH(tblOrders[[#This Row],[Product]],tblStandards[Product],0)),""))</f>
        <v>1.1</v>
      </c>
      <c r="M25" s="43">
        <f>IF(tblOrders[[#This Row],[Date closed]]="","",IFERROR(INDEX(tblStandards[Std labour hours],MATCH(tblOrders[[#This Row],[Product]],tblStandards[Product],0)),""))</f>
        <v>0.12</v>
      </c>
      <c r="N25" s="45">
        <f>IF(tblOrders[[#This Row],[Date closed]]="","",IFERROR(INDEX(tblStandards[Std labour rate],MATCH(tblOrders[[#This Row],[Product]],tblStandards[Product],0)),""))</f>
        <v>28</v>
      </c>
      <c r="O25" s="45">
        <f>IF(tblOrders[[#This Row],[Date closed]]="","",IFERROR(INDEX(tblStandards[Std overhead rate],MATCH(tblOrders[[#This Row],[Product]],tblStandards[Product],0)),""))</f>
        <v>42</v>
      </c>
      <c r="P25" s="46">
        <f>IF(tblOrders[[#This Row],[Date closed]]="","",IF(tblOrders[[#This Row],[Std material qty]]="","",tblOrders[[#This Row],[Good qty]]*tblOrders[[#This Row],[Std material qty]]))</f>
        <v>1296</v>
      </c>
      <c r="Q25" s="46">
        <f>IF(tblOrders[[#This Row],[Date closed]]="","",IF(tblOrders[[#This Row],[Std labour hours]]="","",tblOrders[[#This Row],[Good qty]]*tblOrders[[#This Row],[Std labour hours]]))</f>
        <v>86.4</v>
      </c>
      <c r="R25" s="47">
        <f>IF(tblOrders[[#This Row],[Date closed]]="","",IF(tblOrders[[#This Row],[Std qty allowed]]="","",tblOrders[[#This Row],[Std qty allowed]]*tblOrders[[#This Row],[Std material price]]+tblOrders[[#This Row],[Std hours allowed]]*(tblOrders[[#This Row],[Std labour rate]]+tblOrders[[#This Row],[Std overhead rate]])))</f>
        <v>7473.6</v>
      </c>
      <c r="S25" s="47">
        <f>IF(tblOrders[[#This Row],[Date closed]]="","",tblOrders[[#This Row],[Material cost]]+tblOrders[[#This Row],[Labour cost]]+tblOrders[[#This Row],[Overhead charged]])</f>
        <v>7672.28</v>
      </c>
      <c r="T25" s="47">
        <f>IF(tblOrders[[#This Row],[Date closed]]="","",IF(tblOrders[[#This Row],[Std material price]]="","",tblOrders[[#This Row],[Material cost]]-tblOrders[[#This Row],[Material used]]*tblOrders[[#This Row],[Std material price]]))</f>
        <v>27.5999999999999</v>
      </c>
      <c r="U25" s="47">
        <f>IF(tblOrders[[#This Row],[Date closed]]="","",IF(tblOrders[[#This Row],[Std qty allowed]]="","",(tblOrders[[#This Row],[Material used]]-tblOrders[[#This Row],[Std qty allowed]])*tblOrders[[#This Row],[Std material price]]))</f>
        <v>19.9099999999999</v>
      </c>
      <c r="V25" s="47">
        <f>IF(tblOrders[[#This Row],[Date closed]]="","",IF(tblOrders[[#This Row],[Std labour rate]]="","",tblOrders[[#This Row],[Labour cost]]-tblOrders[[#This Row],[Labour hours]]*tblOrders[[#This Row],[Std labour rate]]))</f>
        <v>34.52</v>
      </c>
      <c r="W25" s="47">
        <f>IF(tblOrders[[#This Row],[Date closed]]="","",IF(tblOrders[[#This Row],[Std hours allowed]]="","",(tblOrders[[#This Row],[Labour hours]]-tblOrders[[#This Row],[Std hours allowed]])*tblOrders[[#This Row],[Std labour rate]]))</f>
        <v>64.4000000000003</v>
      </c>
      <c r="X25" s="47">
        <f>IF(tblOrders[[#This Row],[Date closed]]="","",IF(tblOrders[[#This Row],[Std hours allowed]]="","",tblOrders[[#This Row],[Overhead charged]]-tblOrders[[#This Row],[Std hours allowed]]*tblOrders[[#This Row],[Std overhead rate]]))</f>
        <v>52.2500000000005</v>
      </c>
      <c r="Y25" s="48">
        <f>IF(tblOrders[[#This Row],[Date closed]]="","",IF(tblOrders[[#This Row],[Standard cost]]="","",tblOrders[[#This Row],[Actual cost]]-tblOrders[[#This Row],[Standard cost]]))</f>
        <v>198.68</v>
      </c>
      <c r="Z25" s="49">
        <f>IF(tblOrders[[#This Row],[Date closed]]="","",IF(N(tblOrders[[#This Row],[Standard cost]])=0,"",tblOrders[[#This Row],[Total variance]]/tblOrders[[#This Row],[Standard cost]]))</f>
        <v>0.0265842432027404</v>
      </c>
      <c r="AA25" s="50" t="str">
        <f>IF(tblOrders[[#This Row],[Date closed]]="","",IF(tblOrders[[#This Row],[Variance of standard]]="","",IF(AND(ABS(tblOrders[[#This Row],[Total variance]])&gt;=AmtLimit,ABS(tblOrders[[#This Row],[Variance of standard]])&gt;=PctLimit),"Out of limits","Within limits")))</f>
        <v>Within limits</v>
      </c>
      <c r="AB2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5" s="52">
        <f>IF(tblOrders[[#This Row],[Date closed]]="","",IF(AND(tblOrders[[#This Row],[Date closed]]&gt;=FFrom,tblOrders[[#This Row],[Date closed]]&lt;=FTo,OR(DashProduct="",tblOrders[[#This Row],[Product]]=DashProduct)),tblOrders[[#This Row],[Date closed]],""))</f>
        <v>46175</v>
      </c>
      <c r="AD25" s="28" t="s">
        <v>126</v>
      </c>
    </row>
    <row r="26" spans="2:30">
      <c r="B26" s="41">
        <v>46176</v>
      </c>
      <c r="C26" s="28" t="s">
        <v>145</v>
      </c>
      <c r="D26" s="28" t="s">
        <v>89</v>
      </c>
      <c r="E26" s="30">
        <v>220</v>
      </c>
      <c r="F26" s="42">
        <v>1417.7</v>
      </c>
      <c r="G26" s="37">
        <v>1582.15</v>
      </c>
      <c r="H26" s="42">
        <v>41.7</v>
      </c>
      <c r="I26" s="37">
        <v>1157.31</v>
      </c>
      <c r="J26" s="37">
        <v>1730.55</v>
      </c>
      <c r="K26" s="43">
        <f>IF(tblOrders[[#This Row],[Date closed]]="","",IFERROR(INDEX(tblStandards[Std material qty],MATCH(tblOrders[[#This Row],[Product]],tblStandards[Product],0)),""))</f>
        <v>6.5</v>
      </c>
      <c r="L26" s="44">
        <f>IF(tblOrders[[#This Row],[Date closed]]="","",IFERROR(INDEX(tblStandards[Std material price],MATCH(tblOrders[[#This Row],[Product]],tblStandards[Product],0)),""))</f>
        <v>1.1</v>
      </c>
      <c r="M26" s="43">
        <f>IF(tblOrders[[#This Row],[Date closed]]="","",IFERROR(INDEX(tblStandards[Std labour hours],MATCH(tblOrders[[#This Row],[Product]],tblStandards[Product],0)),""))</f>
        <v>0.2</v>
      </c>
      <c r="N26" s="45">
        <f>IF(tblOrders[[#This Row],[Date closed]]="","",IFERROR(INDEX(tblStandards[Std labour rate],MATCH(tblOrders[[#This Row],[Product]],tblStandards[Product],0)),""))</f>
        <v>28</v>
      </c>
      <c r="O26" s="45">
        <f>IF(tblOrders[[#This Row],[Date closed]]="","",IFERROR(INDEX(tblStandards[Std overhead rate],MATCH(tblOrders[[#This Row],[Product]],tblStandards[Product],0)),""))</f>
        <v>42</v>
      </c>
      <c r="P26" s="46">
        <f>IF(tblOrders[[#This Row],[Date closed]]="","",IF(tblOrders[[#This Row],[Std material qty]]="","",tblOrders[[#This Row],[Good qty]]*tblOrders[[#This Row],[Std material qty]]))</f>
        <v>1430</v>
      </c>
      <c r="Q26" s="46">
        <f>IF(tblOrders[[#This Row],[Date closed]]="","",IF(tblOrders[[#This Row],[Std labour hours]]="","",tblOrders[[#This Row],[Good qty]]*tblOrders[[#This Row],[Std labour hours]]))</f>
        <v>44</v>
      </c>
      <c r="R26" s="47">
        <f>IF(tblOrders[[#This Row],[Date closed]]="","",IF(tblOrders[[#This Row],[Std qty allowed]]="","",tblOrders[[#This Row],[Std qty allowed]]*tblOrders[[#This Row],[Std material price]]+tblOrders[[#This Row],[Std hours allowed]]*(tblOrders[[#This Row],[Std labour rate]]+tblOrders[[#This Row],[Std overhead rate]])))</f>
        <v>4653</v>
      </c>
      <c r="S26" s="47">
        <f>IF(tblOrders[[#This Row],[Date closed]]="","",tblOrders[[#This Row],[Material cost]]+tblOrders[[#This Row],[Labour cost]]+tblOrders[[#This Row],[Overhead charged]])</f>
        <v>4470.01</v>
      </c>
      <c r="T26" s="47">
        <f>IF(tblOrders[[#This Row],[Date closed]]="","",IF(tblOrders[[#This Row],[Std material price]]="","",tblOrders[[#This Row],[Material cost]]-tblOrders[[#This Row],[Material used]]*tblOrders[[#This Row],[Std material price]]))</f>
        <v>22.6799999999998</v>
      </c>
      <c r="U26" s="47">
        <f>IF(tblOrders[[#This Row],[Date closed]]="","",IF(tblOrders[[#This Row],[Std qty allowed]]="","",(tblOrders[[#This Row],[Material used]]-tblOrders[[#This Row],[Std qty allowed]])*tblOrders[[#This Row],[Std material price]]))</f>
        <v>-13.53</v>
      </c>
      <c r="V26" s="47">
        <f>IF(tblOrders[[#This Row],[Date closed]]="","",IF(tblOrders[[#This Row],[Std labour rate]]="","",tblOrders[[#This Row],[Labour cost]]-tblOrders[[#This Row],[Labour hours]]*tblOrders[[#This Row],[Std labour rate]]))</f>
        <v>-10.2900000000002</v>
      </c>
      <c r="W26" s="47">
        <f>IF(tblOrders[[#This Row],[Date closed]]="","",IF(tblOrders[[#This Row],[Std hours allowed]]="","",(tblOrders[[#This Row],[Labour hours]]-tblOrders[[#This Row],[Std hours allowed]])*tblOrders[[#This Row],[Std labour rate]]))</f>
        <v>-64.3999999999999</v>
      </c>
      <c r="X26" s="47">
        <f>IF(tblOrders[[#This Row],[Date closed]]="","",IF(tblOrders[[#This Row],[Std hours allowed]]="","",tblOrders[[#This Row],[Overhead charged]]-tblOrders[[#This Row],[Std hours allowed]]*tblOrders[[#This Row],[Std overhead rate]]))</f>
        <v>-117.45</v>
      </c>
      <c r="Y26" s="48">
        <f>IF(tblOrders[[#This Row],[Date closed]]="","",IF(tblOrders[[#This Row],[Standard cost]]="","",tblOrders[[#This Row],[Actual cost]]-tblOrders[[#This Row],[Standard cost]]))</f>
        <v>-182.99</v>
      </c>
      <c r="Z26" s="49">
        <f>IF(tblOrders[[#This Row],[Date closed]]="","",IF(N(tblOrders[[#This Row],[Standard cost]])=0,"",tblOrders[[#This Row],[Total variance]]/tblOrders[[#This Row],[Standard cost]]))</f>
        <v>-0.0393273157102944</v>
      </c>
      <c r="AA26" s="50" t="str">
        <f>IF(tblOrders[[#This Row],[Date closed]]="","",IF(tblOrders[[#This Row],[Variance of standard]]="","",IF(AND(ABS(tblOrders[[#This Row],[Total variance]])&gt;=AmtLimit,ABS(tblOrders[[#This Row],[Variance of standard]])&gt;=PctLimit),"Out of limits","Within limits")))</f>
        <v>Within limits</v>
      </c>
      <c r="AB2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6" s="52">
        <f>IF(tblOrders[[#This Row],[Date closed]]="","",IF(AND(tblOrders[[#This Row],[Date closed]]&gt;=FFrom,tblOrders[[#This Row],[Date closed]]&lt;=FTo,OR(DashProduct="",tblOrders[[#This Row],[Product]]=DashProduct)),tblOrders[[#This Row],[Date closed]],""))</f>
        <v>46176</v>
      </c>
      <c r="AD26" s="28" t="s">
        <v>126</v>
      </c>
    </row>
    <row r="27" spans="2:30">
      <c r="B27" s="41">
        <v>46177</v>
      </c>
      <c r="C27" s="28" t="s">
        <v>146</v>
      </c>
      <c r="D27" s="28" t="s">
        <v>91</v>
      </c>
      <c r="E27" s="30">
        <v>100</v>
      </c>
      <c r="F27" s="42">
        <v>1426.6</v>
      </c>
      <c r="G27" s="37">
        <v>1632.03</v>
      </c>
      <c r="H27" s="42">
        <v>104.7</v>
      </c>
      <c r="I27" s="37">
        <v>3144.56</v>
      </c>
      <c r="J27" s="37">
        <v>4345.05</v>
      </c>
      <c r="K27" s="43">
        <f>IF(tblOrders[[#This Row],[Date closed]]="","",IFERROR(INDEX(tblStandards[Std material qty],MATCH(tblOrders[[#This Row],[Product]],tblStandards[Product],0)),""))</f>
        <v>14</v>
      </c>
      <c r="L27" s="44">
        <f>IF(tblOrders[[#This Row],[Date closed]]="","",IFERROR(INDEX(tblStandards[Std material price],MATCH(tblOrders[[#This Row],[Product]],tblStandards[Product],0)),""))</f>
        <v>1.15</v>
      </c>
      <c r="M27" s="43">
        <f>IF(tblOrders[[#This Row],[Date closed]]="","",IFERROR(INDEX(tblStandards[Std labour hours],MATCH(tblOrders[[#This Row],[Product]],tblStandards[Product],0)),""))</f>
        <v>1.1</v>
      </c>
      <c r="N27" s="45">
        <f>IF(tblOrders[[#This Row],[Date closed]]="","",IFERROR(INDEX(tblStandards[Std labour rate],MATCH(tblOrders[[#This Row],[Product]],tblStandards[Product],0)),""))</f>
        <v>30</v>
      </c>
      <c r="O27" s="45">
        <f>IF(tblOrders[[#This Row],[Date closed]]="","",IFERROR(INDEX(tblStandards[Std overhead rate],MATCH(tblOrders[[#This Row],[Product]],tblStandards[Product],0)),""))</f>
        <v>42</v>
      </c>
      <c r="P27" s="46">
        <f>IF(tblOrders[[#This Row],[Date closed]]="","",IF(tblOrders[[#This Row],[Std material qty]]="","",tblOrders[[#This Row],[Good qty]]*tblOrders[[#This Row],[Std material qty]]))</f>
        <v>1400</v>
      </c>
      <c r="Q27" s="46">
        <f>IF(tblOrders[[#This Row],[Date closed]]="","",IF(tblOrders[[#This Row],[Std labour hours]]="","",tblOrders[[#This Row],[Good qty]]*tblOrders[[#This Row],[Std labour hours]]))</f>
        <v>110</v>
      </c>
      <c r="R27" s="47">
        <f>IF(tblOrders[[#This Row],[Date closed]]="","",IF(tblOrders[[#This Row],[Std qty allowed]]="","",tblOrders[[#This Row],[Std qty allowed]]*tblOrders[[#This Row],[Std material price]]+tblOrders[[#This Row],[Std hours allowed]]*(tblOrders[[#This Row],[Std labour rate]]+tblOrders[[#This Row],[Std overhead rate]])))</f>
        <v>9530</v>
      </c>
      <c r="S27" s="47">
        <f>IF(tblOrders[[#This Row],[Date closed]]="","",tblOrders[[#This Row],[Material cost]]+tblOrders[[#This Row],[Labour cost]]+tblOrders[[#This Row],[Overhead charged]])</f>
        <v>9121.64</v>
      </c>
      <c r="T27" s="47">
        <f>IF(tblOrders[[#This Row],[Date closed]]="","",IF(tblOrders[[#This Row],[Std material price]]="","",tblOrders[[#This Row],[Material cost]]-tblOrders[[#This Row],[Material used]]*tblOrders[[#This Row],[Std material price]]))</f>
        <v>-8.55999999999972</v>
      </c>
      <c r="U27" s="47">
        <f>IF(tblOrders[[#This Row],[Date closed]]="","",IF(tblOrders[[#This Row],[Std qty allowed]]="","",(tblOrders[[#This Row],[Material used]]-tblOrders[[#This Row],[Std qty allowed]])*tblOrders[[#This Row],[Std material price]]))</f>
        <v>30.5899999999999</v>
      </c>
      <c r="V27" s="47">
        <f>IF(tblOrders[[#This Row],[Date closed]]="","",IF(tblOrders[[#This Row],[Std labour rate]]="","",tblOrders[[#This Row],[Labour cost]]-tblOrders[[#This Row],[Labour hours]]*tblOrders[[#This Row],[Std labour rate]]))</f>
        <v>3.55999999999995</v>
      </c>
      <c r="W27" s="47">
        <f>IF(tblOrders[[#This Row],[Date closed]]="","",IF(tblOrders[[#This Row],[Std hours allowed]]="","",(tblOrders[[#This Row],[Labour hours]]-tblOrders[[#This Row],[Std hours allowed]])*tblOrders[[#This Row],[Std labour rate]]))</f>
        <v>-159</v>
      </c>
      <c r="X27" s="47">
        <f>IF(tblOrders[[#This Row],[Date closed]]="","",IF(tblOrders[[#This Row],[Std hours allowed]]="","",tblOrders[[#This Row],[Overhead charged]]-tblOrders[[#This Row],[Std hours allowed]]*tblOrders[[#This Row],[Std overhead rate]]))</f>
        <v>-274.950000000001</v>
      </c>
      <c r="Y27" s="48">
        <f>IF(tblOrders[[#This Row],[Date closed]]="","",IF(tblOrders[[#This Row],[Standard cost]]="","",tblOrders[[#This Row],[Actual cost]]-tblOrders[[#This Row],[Standard cost]]))</f>
        <v>-408.360000000001</v>
      </c>
      <c r="Z27" s="49">
        <f>IF(tblOrders[[#This Row],[Date closed]]="","",IF(N(tblOrders[[#This Row],[Standard cost]])=0,"",tblOrders[[#This Row],[Total variance]]/tblOrders[[#This Row],[Standard cost]]))</f>
        <v>-0.0428499475341029</v>
      </c>
      <c r="AA27" s="50" t="str">
        <f>IF(tblOrders[[#This Row],[Date closed]]="","",IF(tblOrders[[#This Row],[Variance of standard]]="","",IF(AND(ABS(tblOrders[[#This Row],[Total variance]])&gt;=AmtLimit,ABS(tblOrders[[#This Row],[Variance of standard]])&gt;=PctLimit),"Out of limits","Within limits")))</f>
        <v>Within limits</v>
      </c>
      <c r="AB2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7" s="52">
        <f>IF(tblOrders[[#This Row],[Date closed]]="","",IF(AND(tblOrders[[#This Row],[Date closed]]&gt;=FFrom,tblOrders[[#This Row],[Date closed]]&lt;=FTo,OR(DashProduct="",tblOrders[[#This Row],[Product]]=DashProduct)),tblOrders[[#This Row],[Date closed]],""))</f>
        <v>46177</v>
      </c>
      <c r="AD27" s="28" t="s">
        <v>126</v>
      </c>
    </row>
    <row r="28" spans="2:30">
      <c r="B28" s="41">
        <v>46178</v>
      </c>
      <c r="C28" s="28" t="s">
        <v>147</v>
      </c>
      <c r="D28" s="28" t="s">
        <v>93</v>
      </c>
      <c r="E28" s="30">
        <v>100</v>
      </c>
      <c r="F28" s="42">
        <v>835.3</v>
      </c>
      <c r="G28" s="37">
        <v>1034.1</v>
      </c>
      <c r="H28" s="42">
        <v>64.59999999999999</v>
      </c>
      <c r="I28" s="37">
        <v>1833.56</v>
      </c>
      <c r="J28" s="37">
        <v>2680.9</v>
      </c>
      <c r="K28" s="43">
        <f>IF(tblOrders[[#This Row],[Date closed]]="","",IFERROR(INDEX(tblStandards[Std material qty],MATCH(tblOrders[[#This Row],[Product]],tblStandards[Product],0)),""))</f>
        <v>8.2</v>
      </c>
      <c r="L28" s="44">
        <f>IF(tblOrders[[#This Row],[Date closed]]="","",IFERROR(INDEX(tblStandards[Std material price],MATCH(tblOrders[[#This Row],[Product]],tblStandards[Product],0)),""))</f>
        <v>1.25</v>
      </c>
      <c r="M28" s="43">
        <f>IF(tblOrders[[#This Row],[Date closed]]="","",IFERROR(INDEX(tblStandards[Std labour hours],MATCH(tblOrders[[#This Row],[Product]],tblStandards[Product],0)),""))</f>
        <v>0.65</v>
      </c>
      <c r="N28" s="45">
        <f>IF(tblOrders[[#This Row],[Date closed]]="","",IFERROR(INDEX(tblStandards[Std labour rate],MATCH(tblOrders[[#This Row],[Product]],tblStandards[Product],0)),""))</f>
        <v>28</v>
      </c>
      <c r="O28" s="45">
        <f>IF(tblOrders[[#This Row],[Date closed]]="","",IFERROR(INDEX(tblStandards[Std overhead rate],MATCH(tblOrders[[#This Row],[Product]],tblStandards[Product],0)),""))</f>
        <v>42</v>
      </c>
      <c r="P28" s="46">
        <f>IF(tblOrders[[#This Row],[Date closed]]="","",IF(tblOrders[[#This Row],[Std material qty]]="","",tblOrders[[#This Row],[Good qty]]*tblOrders[[#This Row],[Std material qty]]))</f>
        <v>820</v>
      </c>
      <c r="Q28" s="46">
        <f>IF(tblOrders[[#This Row],[Date closed]]="","",IF(tblOrders[[#This Row],[Std labour hours]]="","",tblOrders[[#This Row],[Good qty]]*tblOrders[[#This Row],[Std labour hours]]))</f>
        <v>65</v>
      </c>
      <c r="R28" s="47">
        <f>IF(tblOrders[[#This Row],[Date closed]]="","",IF(tblOrders[[#This Row],[Std qty allowed]]="","",tblOrders[[#This Row],[Std qty allowed]]*tblOrders[[#This Row],[Std material price]]+tblOrders[[#This Row],[Std hours allowed]]*(tblOrders[[#This Row],[Std labour rate]]+tblOrders[[#This Row],[Std overhead rate]])))</f>
        <v>5575</v>
      </c>
      <c r="S28" s="47">
        <f>IF(tblOrders[[#This Row],[Date closed]]="","",tblOrders[[#This Row],[Material cost]]+tblOrders[[#This Row],[Labour cost]]+tblOrders[[#This Row],[Overhead charged]])</f>
        <v>5548.56</v>
      </c>
      <c r="T28" s="47">
        <f>IF(tblOrders[[#This Row],[Date closed]]="","",IF(tblOrders[[#This Row],[Std material price]]="","",tblOrders[[#This Row],[Material cost]]-tblOrders[[#This Row],[Material used]]*tblOrders[[#This Row],[Std material price]]))</f>
        <v>-10.0250000000001</v>
      </c>
      <c r="U28" s="47">
        <f>IF(tblOrders[[#This Row],[Date closed]]="","",IF(tblOrders[[#This Row],[Std qty allowed]]="","",(tblOrders[[#This Row],[Material used]]-tblOrders[[#This Row],[Std qty allowed]])*tblOrders[[#This Row],[Std material price]]))</f>
        <v>19.1250000000001</v>
      </c>
      <c r="V28" s="47">
        <f>IF(tblOrders[[#This Row],[Date closed]]="","",IF(tblOrders[[#This Row],[Std labour rate]]="","",tblOrders[[#This Row],[Labour cost]]-tblOrders[[#This Row],[Labour hours]]*tblOrders[[#This Row],[Std labour rate]]))</f>
        <v>24.7600000000002</v>
      </c>
      <c r="W28" s="47">
        <f>IF(tblOrders[[#This Row],[Date closed]]="","",IF(tblOrders[[#This Row],[Std hours allowed]]="","",(tblOrders[[#This Row],[Labour hours]]-tblOrders[[#This Row],[Std hours allowed]])*tblOrders[[#This Row],[Std labour rate]]))</f>
        <v>-11.2000000000002</v>
      </c>
      <c r="X28" s="47">
        <f>IF(tblOrders[[#This Row],[Date closed]]="","",IF(tblOrders[[#This Row],[Std hours allowed]]="","",tblOrders[[#This Row],[Overhead charged]]-tblOrders[[#This Row],[Std hours allowed]]*tblOrders[[#This Row],[Std overhead rate]]))</f>
        <v>-49.0999999999999</v>
      </c>
      <c r="Y28" s="48">
        <f>IF(tblOrders[[#This Row],[Date closed]]="","",IF(tblOrders[[#This Row],[Standard cost]]="","",tblOrders[[#This Row],[Actual cost]]-tblOrders[[#This Row],[Standard cost]]))</f>
        <v>-26.4400000000005</v>
      </c>
      <c r="Z28" s="49">
        <f>IF(tblOrders[[#This Row],[Date closed]]="","",IF(N(tblOrders[[#This Row],[Standard cost]])=0,"",tblOrders[[#This Row],[Total variance]]/tblOrders[[#This Row],[Standard cost]]))</f>
        <v>-0.00474260089686108</v>
      </c>
      <c r="AA28" s="50" t="str">
        <f>IF(tblOrders[[#This Row],[Date closed]]="","",IF(tblOrders[[#This Row],[Variance of standard]]="","",IF(AND(ABS(tblOrders[[#This Row],[Total variance]])&gt;=AmtLimit,ABS(tblOrders[[#This Row],[Variance of standard]])&gt;=PctLimit),"Out of limits","Within limits")))</f>
        <v>Within limits</v>
      </c>
      <c r="AB2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8" s="52">
        <f>IF(tblOrders[[#This Row],[Date closed]]="","",IF(AND(tblOrders[[#This Row],[Date closed]]&gt;=FFrom,tblOrders[[#This Row],[Date closed]]&lt;=FTo,OR(DashProduct="",tblOrders[[#This Row],[Product]]=DashProduct)),tblOrders[[#This Row],[Date closed]],""))</f>
        <v>46178</v>
      </c>
      <c r="AD28" s="28" t="s">
        <v>126</v>
      </c>
    </row>
    <row r="29" spans="2:30">
      <c r="B29" s="41">
        <v>46182</v>
      </c>
      <c r="C29" s="28" t="s">
        <v>148</v>
      </c>
      <c r="D29" s="28" t="s">
        <v>95</v>
      </c>
      <c r="E29" s="30">
        <v>140</v>
      </c>
      <c r="F29" s="42">
        <v>1755.1</v>
      </c>
      <c r="G29" s="37">
        <v>2234.24</v>
      </c>
      <c r="H29" s="42">
        <v>199.5</v>
      </c>
      <c r="I29" s="37">
        <v>5567.47</v>
      </c>
      <c r="J29" s="37">
        <v>8279.25</v>
      </c>
      <c r="K29" s="43">
        <f>IF(tblOrders[[#This Row],[Date closed]]="","",IFERROR(INDEX(tblStandards[Std material qty],MATCH(tblOrders[[#This Row],[Product]],tblStandards[Product],0)),""))</f>
        <v>11.5</v>
      </c>
      <c r="L29" s="44">
        <f>IF(tblOrders[[#This Row],[Date closed]]="","",IFERROR(INDEX(tblStandards[Std material price],MATCH(tblOrders[[#This Row],[Product]],tblStandards[Product],0)),""))</f>
        <v>1.25</v>
      </c>
      <c r="M29" s="43">
        <f>IF(tblOrders[[#This Row],[Date closed]]="","",IFERROR(INDEX(tblStandards[Std labour hours],MATCH(tblOrders[[#This Row],[Product]],tblStandards[Product],0)),""))</f>
        <v>1.4</v>
      </c>
      <c r="N29" s="45">
        <f>IF(tblOrders[[#This Row],[Date closed]]="","",IFERROR(INDEX(tblStandards[Std labour rate],MATCH(tblOrders[[#This Row],[Product]],tblStandards[Product],0)),""))</f>
        <v>28</v>
      </c>
      <c r="O29" s="45">
        <f>IF(tblOrders[[#This Row],[Date closed]]="","",IFERROR(INDEX(tblStandards[Std overhead rate],MATCH(tblOrders[[#This Row],[Product]],tblStandards[Product],0)),""))</f>
        <v>42</v>
      </c>
      <c r="P29" s="46">
        <f>IF(tblOrders[[#This Row],[Date closed]]="","",IF(tblOrders[[#This Row],[Std material qty]]="","",tblOrders[[#This Row],[Good qty]]*tblOrders[[#This Row],[Std material qty]]))</f>
        <v>1610</v>
      </c>
      <c r="Q29" s="46">
        <f>IF(tblOrders[[#This Row],[Date closed]]="","",IF(tblOrders[[#This Row],[Std labour hours]]="","",tblOrders[[#This Row],[Good qty]]*tblOrders[[#This Row],[Std labour hours]]))</f>
        <v>196</v>
      </c>
      <c r="R29" s="47">
        <f>IF(tblOrders[[#This Row],[Date closed]]="","",IF(tblOrders[[#This Row],[Std qty allowed]]="","",tblOrders[[#This Row],[Std qty allowed]]*tblOrders[[#This Row],[Std material price]]+tblOrders[[#This Row],[Std hours allowed]]*(tblOrders[[#This Row],[Std labour rate]]+tblOrders[[#This Row],[Std overhead rate]])))</f>
        <v>15732.5</v>
      </c>
      <c r="S29" s="47">
        <f>IF(tblOrders[[#This Row],[Date closed]]="","",tblOrders[[#This Row],[Material cost]]+tblOrders[[#This Row],[Labour cost]]+tblOrders[[#This Row],[Overhead charged]])</f>
        <v>16080.96</v>
      </c>
      <c r="T29" s="47">
        <f>IF(tblOrders[[#This Row],[Date closed]]="","",IF(tblOrders[[#This Row],[Std material price]]="","",tblOrders[[#This Row],[Material cost]]-tblOrders[[#This Row],[Material used]]*tblOrders[[#This Row],[Std material price]]))</f>
        <v>40.3649999999998</v>
      </c>
      <c r="U29" s="47">
        <f>IF(tblOrders[[#This Row],[Date closed]]="","",IF(tblOrders[[#This Row],[Std qty allowed]]="","",(tblOrders[[#This Row],[Material used]]-tblOrders[[#This Row],[Std qty allowed]])*tblOrders[[#This Row],[Std material price]]))</f>
        <v>181.375</v>
      </c>
      <c r="V29" s="47">
        <f>IF(tblOrders[[#This Row],[Date closed]]="","",IF(tblOrders[[#This Row],[Std labour rate]]="","",tblOrders[[#This Row],[Labour cost]]-tblOrders[[#This Row],[Labour hours]]*tblOrders[[#This Row],[Std labour rate]]))</f>
        <v>-18.5299999999997</v>
      </c>
      <c r="W29" s="47">
        <f>IF(tblOrders[[#This Row],[Date closed]]="","",IF(tblOrders[[#This Row],[Std hours allowed]]="","",(tblOrders[[#This Row],[Labour hours]]-tblOrders[[#This Row],[Std hours allowed]])*tblOrders[[#This Row],[Std labour rate]]))</f>
        <v>98</v>
      </c>
      <c r="X29" s="47">
        <f>IF(tblOrders[[#This Row],[Date closed]]="","",IF(tblOrders[[#This Row],[Std hours allowed]]="","",tblOrders[[#This Row],[Overhead charged]]-tblOrders[[#This Row],[Std hours allowed]]*tblOrders[[#This Row],[Std overhead rate]]))</f>
        <v>47.25</v>
      </c>
      <c r="Y29" s="48">
        <f>IF(tblOrders[[#This Row],[Date closed]]="","",IF(tblOrders[[#This Row],[Standard cost]]="","",tblOrders[[#This Row],[Actual cost]]-tblOrders[[#This Row],[Standard cost]]))</f>
        <v>348.459999999999</v>
      </c>
      <c r="Z29" s="49">
        <f>IF(tblOrders[[#This Row],[Date closed]]="","",IF(N(tblOrders[[#This Row],[Standard cost]])=0,"",tblOrders[[#This Row],[Total variance]]/tblOrders[[#This Row],[Standard cost]]))</f>
        <v>0.0221490545050055</v>
      </c>
      <c r="AA29" s="50" t="str">
        <f>IF(tblOrders[[#This Row],[Date closed]]="","",IF(tblOrders[[#This Row],[Variance of standard]]="","",IF(AND(ABS(tblOrders[[#This Row],[Total variance]])&gt;=AmtLimit,ABS(tblOrders[[#This Row],[Variance of standard]])&gt;=PctLimit),"Out of limits","Within limits")))</f>
        <v>Within limits</v>
      </c>
      <c r="AB2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29" s="52">
        <f>IF(tblOrders[[#This Row],[Date closed]]="","",IF(AND(tblOrders[[#This Row],[Date closed]]&gt;=FFrom,tblOrders[[#This Row],[Date closed]]&lt;=FTo,OR(DashProduct="",tblOrders[[#This Row],[Product]]=DashProduct)),tblOrders[[#This Row],[Date closed]],""))</f>
        <v>46182</v>
      </c>
      <c r="AD29" s="28" t="s">
        <v>126</v>
      </c>
    </row>
    <row r="30" spans="2:30">
      <c r="B30" s="41">
        <v>46188</v>
      </c>
      <c r="C30" s="28" t="s">
        <v>149</v>
      </c>
      <c r="D30" s="28" t="s">
        <v>97</v>
      </c>
      <c r="E30" s="30">
        <v>50</v>
      </c>
      <c r="F30" s="42">
        <v>1654.3</v>
      </c>
      <c r="G30" s="37">
        <v>1851.16</v>
      </c>
      <c r="H30" s="42">
        <v>108.7</v>
      </c>
      <c r="I30" s="37">
        <v>3263.66</v>
      </c>
      <c r="J30" s="37">
        <v>4511.05</v>
      </c>
      <c r="K30" s="43">
        <f>IF(tblOrders[[#This Row],[Date closed]]="","",IFERROR(INDEX(tblStandards[Std material qty],MATCH(tblOrders[[#This Row],[Product]],tblStandards[Product],0)),""))</f>
        <v>32</v>
      </c>
      <c r="L30" s="44">
        <f>IF(tblOrders[[#This Row],[Date closed]]="","",IFERROR(INDEX(tblStandards[Std material price],MATCH(tblOrders[[#This Row],[Product]],tblStandards[Product],0)),""))</f>
        <v>1.1</v>
      </c>
      <c r="M30" s="43">
        <f>IF(tblOrders[[#This Row],[Date closed]]="","",IFERROR(INDEX(tblStandards[Std labour hours],MATCH(tblOrders[[#This Row],[Product]],tblStandards[Product],0)),""))</f>
        <v>2.2</v>
      </c>
      <c r="N30" s="45">
        <f>IF(tblOrders[[#This Row],[Date closed]]="","",IFERROR(INDEX(tblStandards[Std labour rate],MATCH(tblOrders[[#This Row],[Product]],tblStandards[Product],0)),""))</f>
        <v>30</v>
      </c>
      <c r="O30" s="45">
        <f>IF(tblOrders[[#This Row],[Date closed]]="","",IFERROR(INDEX(tblStandards[Std overhead rate],MATCH(tblOrders[[#This Row],[Product]],tblStandards[Product],0)),""))</f>
        <v>42</v>
      </c>
      <c r="P30" s="46">
        <f>IF(tblOrders[[#This Row],[Date closed]]="","",IF(tblOrders[[#This Row],[Std material qty]]="","",tblOrders[[#This Row],[Good qty]]*tblOrders[[#This Row],[Std material qty]]))</f>
        <v>1600</v>
      </c>
      <c r="Q30" s="46">
        <f>IF(tblOrders[[#This Row],[Date closed]]="","",IF(tblOrders[[#This Row],[Std labour hours]]="","",tblOrders[[#This Row],[Good qty]]*tblOrders[[#This Row],[Std labour hours]]))</f>
        <v>110</v>
      </c>
      <c r="R30" s="47">
        <f>IF(tblOrders[[#This Row],[Date closed]]="","",IF(tblOrders[[#This Row],[Std qty allowed]]="","",tblOrders[[#This Row],[Std qty allowed]]*tblOrders[[#This Row],[Std material price]]+tblOrders[[#This Row],[Std hours allowed]]*(tblOrders[[#This Row],[Std labour rate]]+tblOrders[[#This Row],[Std overhead rate]])))</f>
        <v>9680</v>
      </c>
      <c r="S30" s="47">
        <f>IF(tblOrders[[#This Row],[Date closed]]="","",tblOrders[[#This Row],[Material cost]]+tblOrders[[#This Row],[Labour cost]]+tblOrders[[#This Row],[Overhead charged]])</f>
        <v>9625.87</v>
      </c>
      <c r="T30" s="47">
        <f>IF(tblOrders[[#This Row],[Date closed]]="","",IF(tblOrders[[#This Row],[Std material price]]="","",tblOrders[[#This Row],[Material cost]]-tblOrders[[#This Row],[Material used]]*tblOrders[[#This Row],[Std material price]]))</f>
        <v>31.4300000000001</v>
      </c>
      <c r="U30" s="47">
        <f>IF(tblOrders[[#This Row],[Date closed]]="","",IF(tblOrders[[#This Row],[Std qty allowed]]="","",(tblOrders[[#This Row],[Material used]]-tblOrders[[#This Row],[Std qty allowed]])*tblOrders[[#This Row],[Std material price]]))</f>
        <v>59.73</v>
      </c>
      <c r="V30" s="47">
        <f>IF(tblOrders[[#This Row],[Date closed]]="","",IF(tblOrders[[#This Row],[Std labour rate]]="","",tblOrders[[#This Row],[Labour cost]]-tblOrders[[#This Row],[Labour hours]]*tblOrders[[#This Row],[Std labour rate]]))</f>
        <v>2.65999999999985</v>
      </c>
      <c r="W30" s="47">
        <f>IF(tblOrders[[#This Row],[Date closed]]="","",IF(tblOrders[[#This Row],[Std hours allowed]]="","",(tblOrders[[#This Row],[Labour hours]]-tblOrders[[#This Row],[Std hours allowed]])*tblOrders[[#This Row],[Std labour rate]]))</f>
        <v>-39.0000000000003</v>
      </c>
      <c r="X30" s="47">
        <f>IF(tblOrders[[#This Row],[Date closed]]="","",IF(tblOrders[[#This Row],[Std hours allowed]]="","",tblOrders[[#This Row],[Overhead charged]]-tblOrders[[#This Row],[Std hours allowed]]*tblOrders[[#This Row],[Std overhead rate]]))</f>
        <v>-108.950000000001</v>
      </c>
      <c r="Y30" s="48">
        <f>IF(tblOrders[[#This Row],[Date closed]]="","",IF(tblOrders[[#This Row],[Standard cost]]="","",tblOrders[[#This Row],[Actual cost]]-tblOrders[[#This Row],[Standard cost]]))</f>
        <v>-54.1300000000028</v>
      </c>
      <c r="Z30" s="49">
        <f>IF(tblOrders[[#This Row],[Date closed]]="","",IF(N(tblOrders[[#This Row],[Standard cost]])=0,"",tblOrders[[#This Row],[Total variance]]/tblOrders[[#This Row],[Standard cost]]))</f>
        <v>-0.00559194214876062</v>
      </c>
      <c r="AA30" s="50" t="str">
        <f>IF(tblOrders[[#This Row],[Date closed]]="","",IF(tblOrders[[#This Row],[Variance of standard]]="","",IF(AND(ABS(tblOrders[[#This Row],[Total variance]])&gt;=AmtLimit,ABS(tblOrders[[#This Row],[Variance of standard]])&gt;=PctLimit),"Out of limits","Within limits")))</f>
        <v>Within limits</v>
      </c>
      <c r="AB3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0" s="52">
        <f>IF(tblOrders[[#This Row],[Date closed]]="","",IF(AND(tblOrders[[#This Row],[Date closed]]&gt;=FFrom,tblOrders[[#This Row],[Date closed]]&lt;=FTo,OR(DashProduct="",tblOrders[[#This Row],[Product]]=DashProduct)),tblOrders[[#This Row],[Date closed]],""))</f>
        <v>46188</v>
      </c>
      <c r="AD30" s="28" t="s">
        <v>126</v>
      </c>
    </row>
    <row r="31" spans="2:30">
      <c r="B31" s="41">
        <v>46190</v>
      </c>
      <c r="C31" s="28" t="s">
        <v>150</v>
      </c>
      <c r="D31" s="28" t="s">
        <v>86</v>
      </c>
      <c r="E31" s="30">
        <v>530</v>
      </c>
      <c r="F31" s="42">
        <v>985.8</v>
      </c>
      <c r="G31" s="37">
        <v>1082.41</v>
      </c>
      <c r="H31" s="42">
        <v>62.3</v>
      </c>
      <c r="I31" s="37">
        <v>1737.47</v>
      </c>
      <c r="J31" s="37">
        <v>2585.45</v>
      </c>
      <c r="K31" s="43">
        <f>IF(tblOrders[[#This Row],[Date closed]]="","",IFERROR(INDEX(tblStandards[Std material qty],MATCH(tblOrders[[#This Row],[Product]],tblStandards[Product],0)),""))</f>
        <v>1.8</v>
      </c>
      <c r="L31" s="44">
        <f>IF(tblOrders[[#This Row],[Date closed]]="","",IFERROR(INDEX(tblStandards[Std material price],MATCH(tblOrders[[#This Row],[Product]],tblStandards[Product],0)),""))</f>
        <v>1.1</v>
      </c>
      <c r="M31" s="43">
        <f>IF(tblOrders[[#This Row],[Date closed]]="","",IFERROR(INDEX(tblStandards[Std labour hours],MATCH(tblOrders[[#This Row],[Product]],tblStandards[Product],0)),""))</f>
        <v>0.12</v>
      </c>
      <c r="N31" s="45">
        <f>IF(tblOrders[[#This Row],[Date closed]]="","",IFERROR(INDEX(tblStandards[Std labour rate],MATCH(tblOrders[[#This Row],[Product]],tblStandards[Product],0)),""))</f>
        <v>28</v>
      </c>
      <c r="O31" s="45">
        <f>IF(tblOrders[[#This Row],[Date closed]]="","",IFERROR(INDEX(tblStandards[Std overhead rate],MATCH(tblOrders[[#This Row],[Product]],tblStandards[Product],0)),""))</f>
        <v>42</v>
      </c>
      <c r="P31" s="46">
        <f>IF(tblOrders[[#This Row],[Date closed]]="","",IF(tblOrders[[#This Row],[Std material qty]]="","",tblOrders[[#This Row],[Good qty]]*tblOrders[[#This Row],[Std material qty]]))</f>
        <v>954</v>
      </c>
      <c r="Q31" s="46">
        <f>IF(tblOrders[[#This Row],[Date closed]]="","",IF(tblOrders[[#This Row],[Std labour hours]]="","",tblOrders[[#This Row],[Good qty]]*tblOrders[[#This Row],[Std labour hours]]))</f>
        <v>63.6</v>
      </c>
      <c r="R31" s="47">
        <f>IF(tblOrders[[#This Row],[Date closed]]="","",IF(tblOrders[[#This Row],[Std qty allowed]]="","",tblOrders[[#This Row],[Std qty allowed]]*tblOrders[[#This Row],[Std material price]]+tblOrders[[#This Row],[Std hours allowed]]*(tblOrders[[#This Row],[Std labour rate]]+tblOrders[[#This Row],[Std overhead rate]])))</f>
        <v>5501.4</v>
      </c>
      <c r="S31" s="47">
        <f>IF(tblOrders[[#This Row],[Date closed]]="","",tblOrders[[#This Row],[Material cost]]+tblOrders[[#This Row],[Labour cost]]+tblOrders[[#This Row],[Overhead charged]])</f>
        <v>5405.33</v>
      </c>
      <c r="T31" s="47">
        <f>IF(tblOrders[[#This Row],[Date closed]]="","",IF(tblOrders[[#This Row],[Std material price]]="","",tblOrders[[#This Row],[Material cost]]-tblOrders[[#This Row],[Material used]]*tblOrders[[#This Row],[Std material price]]))</f>
        <v>-1.97000000000003</v>
      </c>
      <c r="U31" s="47">
        <f>IF(tblOrders[[#This Row],[Date closed]]="","",IF(tblOrders[[#This Row],[Std qty allowed]]="","",(tblOrders[[#This Row],[Material used]]-tblOrders[[#This Row],[Std qty allowed]])*tblOrders[[#This Row],[Std material price]]))</f>
        <v>34.98</v>
      </c>
      <c r="V31" s="47">
        <f>IF(tblOrders[[#This Row],[Date closed]]="","",IF(tblOrders[[#This Row],[Std labour rate]]="","",tblOrders[[#This Row],[Labour cost]]-tblOrders[[#This Row],[Labour hours]]*tblOrders[[#This Row],[Std labour rate]]))</f>
        <v>-6.92999999999984</v>
      </c>
      <c r="W31" s="47">
        <f>IF(tblOrders[[#This Row],[Date closed]]="","",IF(tblOrders[[#This Row],[Std hours allowed]]="","",(tblOrders[[#This Row],[Labour hours]]-tblOrders[[#This Row],[Std hours allowed]])*tblOrders[[#This Row],[Std labour rate]]))</f>
        <v>-36.3999999999999</v>
      </c>
      <c r="X31" s="47">
        <f>IF(tblOrders[[#This Row],[Date closed]]="","",IF(tblOrders[[#This Row],[Std hours allowed]]="","",tblOrders[[#This Row],[Overhead charged]]-tblOrders[[#This Row],[Std hours allowed]]*tblOrders[[#This Row],[Std overhead rate]]))</f>
        <v>-85.75</v>
      </c>
      <c r="Y31" s="48">
        <f>IF(tblOrders[[#This Row],[Date closed]]="","",IF(tblOrders[[#This Row],[Standard cost]]="","",tblOrders[[#This Row],[Actual cost]]-tblOrders[[#This Row],[Standard cost]]))</f>
        <v>-96.0699999999997</v>
      </c>
      <c r="Z31" s="49">
        <f>IF(tblOrders[[#This Row],[Date closed]]="","",IF(N(tblOrders[[#This Row],[Standard cost]])=0,"",tblOrders[[#This Row],[Total variance]]/tblOrders[[#This Row],[Standard cost]]))</f>
        <v>-0.0174628276438724</v>
      </c>
      <c r="AA31" s="50" t="str">
        <f>IF(tblOrders[[#This Row],[Date closed]]="","",IF(tblOrders[[#This Row],[Variance of standard]]="","",IF(AND(ABS(tblOrders[[#This Row],[Total variance]])&gt;=AmtLimit,ABS(tblOrders[[#This Row],[Variance of standard]])&gt;=PctLimit),"Out of limits","Within limits")))</f>
        <v>Within limits</v>
      </c>
      <c r="AB3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1" s="52">
        <f>IF(tblOrders[[#This Row],[Date closed]]="","",IF(AND(tblOrders[[#This Row],[Date closed]]&gt;=FFrom,tblOrders[[#This Row],[Date closed]]&lt;=FTo,OR(DashProduct="",tblOrders[[#This Row],[Product]]=DashProduct)),tblOrders[[#This Row],[Date closed]],""))</f>
        <v>46190</v>
      </c>
      <c r="AD31" s="28" t="s">
        <v>126</v>
      </c>
    </row>
    <row r="32" spans="2:30">
      <c r="B32" s="41">
        <v>46195</v>
      </c>
      <c r="C32" s="28" t="s">
        <v>151</v>
      </c>
      <c r="D32" s="28" t="s">
        <v>89</v>
      </c>
      <c r="E32" s="30">
        <v>190</v>
      </c>
      <c r="F32" s="42">
        <v>1249.6</v>
      </c>
      <c r="G32" s="37">
        <v>1359.56</v>
      </c>
      <c r="H32" s="42">
        <v>35.9</v>
      </c>
      <c r="I32" s="37">
        <v>1025.79</v>
      </c>
      <c r="J32" s="37">
        <v>1489.85</v>
      </c>
      <c r="K32" s="43">
        <f>IF(tblOrders[[#This Row],[Date closed]]="","",IFERROR(INDEX(tblStandards[Std material qty],MATCH(tblOrders[[#This Row],[Product]],tblStandards[Product],0)),""))</f>
        <v>6.5</v>
      </c>
      <c r="L32" s="44">
        <f>IF(tblOrders[[#This Row],[Date closed]]="","",IFERROR(INDEX(tblStandards[Std material price],MATCH(tblOrders[[#This Row],[Product]],tblStandards[Product],0)),""))</f>
        <v>1.1</v>
      </c>
      <c r="M32" s="43">
        <f>IF(tblOrders[[#This Row],[Date closed]]="","",IFERROR(INDEX(tblStandards[Std labour hours],MATCH(tblOrders[[#This Row],[Product]],tblStandards[Product],0)),""))</f>
        <v>0.2</v>
      </c>
      <c r="N32" s="45">
        <f>IF(tblOrders[[#This Row],[Date closed]]="","",IFERROR(INDEX(tblStandards[Std labour rate],MATCH(tblOrders[[#This Row],[Product]],tblStandards[Product],0)),""))</f>
        <v>28</v>
      </c>
      <c r="O32" s="45">
        <f>IF(tblOrders[[#This Row],[Date closed]]="","",IFERROR(INDEX(tblStandards[Std overhead rate],MATCH(tblOrders[[#This Row],[Product]],tblStandards[Product],0)),""))</f>
        <v>42</v>
      </c>
      <c r="P32" s="46">
        <f>IF(tblOrders[[#This Row],[Date closed]]="","",IF(tblOrders[[#This Row],[Std material qty]]="","",tblOrders[[#This Row],[Good qty]]*tblOrders[[#This Row],[Std material qty]]))</f>
        <v>1235</v>
      </c>
      <c r="Q32" s="46">
        <f>IF(tblOrders[[#This Row],[Date closed]]="","",IF(tblOrders[[#This Row],[Std labour hours]]="","",tblOrders[[#This Row],[Good qty]]*tblOrders[[#This Row],[Std labour hours]]))</f>
        <v>38</v>
      </c>
      <c r="R32" s="47">
        <f>IF(tblOrders[[#This Row],[Date closed]]="","",IF(tblOrders[[#This Row],[Std qty allowed]]="","",tblOrders[[#This Row],[Std qty allowed]]*tblOrders[[#This Row],[Std material price]]+tblOrders[[#This Row],[Std hours allowed]]*(tblOrders[[#This Row],[Std labour rate]]+tblOrders[[#This Row],[Std overhead rate]])))</f>
        <v>4018.5</v>
      </c>
      <c r="S32" s="47">
        <f>IF(tblOrders[[#This Row],[Date closed]]="","",tblOrders[[#This Row],[Material cost]]+tblOrders[[#This Row],[Labour cost]]+tblOrders[[#This Row],[Overhead charged]])</f>
        <v>3875.2</v>
      </c>
      <c r="T32" s="47">
        <f>IF(tblOrders[[#This Row],[Date closed]]="","",IF(tblOrders[[#This Row],[Std material price]]="","",tblOrders[[#This Row],[Material cost]]-tblOrders[[#This Row],[Material used]]*tblOrders[[#This Row],[Std material price]]))</f>
        <v>-15</v>
      </c>
      <c r="U32" s="47">
        <f>IF(tblOrders[[#This Row],[Date closed]]="","",IF(tblOrders[[#This Row],[Std qty allowed]]="","",(tblOrders[[#This Row],[Material used]]-tblOrders[[#This Row],[Std qty allowed]])*tblOrders[[#This Row],[Std material price]]))</f>
        <v>16.0599999999999</v>
      </c>
      <c r="V32" s="47">
        <f>IF(tblOrders[[#This Row],[Date closed]]="","",IF(tblOrders[[#This Row],[Std labour rate]]="","",tblOrders[[#This Row],[Labour cost]]-tblOrders[[#This Row],[Labour hours]]*tblOrders[[#This Row],[Std labour rate]]))</f>
        <v>20.59</v>
      </c>
      <c r="W32" s="47">
        <f>IF(tblOrders[[#This Row],[Date closed]]="","",IF(tblOrders[[#This Row],[Std hours allowed]]="","",(tblOrders[[#This Row],[Labour hours]]-tblOrders[[#This Row],[Std hours allowed]])*tblOrders[[#This Row],[Std labour rate]]))</f>
        <v>-58.8</v>
      </c>
      <c r="X32" s="47">
        <f>IF(tblOrders[[#This Row],[Date closed]]="","",IF(tblOrders[[#This Row],[Std hours allowed]]="","",tblOrders[[#This Row],[Overhead charged]]-tblOrders[[#This Row],[Std hours allowed]]*tblOrders[[#This Row],[Std overhead rate]]))</f>
        <v>-106.15</v>
      </c>
      <c r="Y32" s="48">
        <f>IF(tblOrders[[#This Row],[Date closed]]="","",IF(tblOrders[[#This Row],[Standard cost]]="","",tblOrders[[#This Row],[Actual cost]]-tblOrders[[#This Row],[Standard cost]]))</f>
        <v>-143.3</v>
      </c>
      <c r="Z32" s="49">
        <f>IF(tblOrders[[#This Row],[Date closed]]="","",IF(N(tblOrders[[#This Row],[Standard cost]])=0,"",tblOrders[[#This Row],[Total variance]]/tblOrders[[#This Row],[Standard cost]]))</f>
        <v>-0.0356600721662312</v>
      </c>
      <c r="AA32" s="50" t="str">
        <f>IF(tblOrders[[#This Row],[Date closed]]="","",IF(tblOrders[[#This Row],[Variance of standard]]="","",IF(AND(ABS(tblOrders[[#This Row],[Total variance]])&gt;=AmtLimit,ABS(tblOrders[[#This Row],[Variance of standard]])&gt;=PctLimit),"Out of limits","Within limits")))</f>
        <v>Within limits</v>
      </c>
      <c r="AB3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2" s="52">
        <f>IF(tblOrders[[#This Row],[Date closed]]="","",IF(AND(tblOrders[[#This Row],[Date closed]]&gt;=FFrom,tblOrders[[#This Row],[Date closed]]&lt;=FTo,OR(DashProduct="",tblOrders[[#This Row],[Product]]=DashProduct)),tblOrders[[#This Row],[Date closed]],""))</f>
        <v>46195</v>
      </c>
      <c r="AD32" s="28" t="s">
        <v>126</v>
      </c>
    </row>
    <row r="33" spans="2:30">
      <c r="B33" s="41">
        <v>46197</v>
      </c>
      <c r="C33" s="28" t="s">
        <v>152</v>
      </c>
      <c r="D33" s="28" t="s">
        <v>91</v>
      </c>
      <c r="E33" s="30">
        <v>50</v>
      </c>
      <c r="F33" s="42">
        <v>709.8</v>
      </c>
      <c r="G33" s="37">
        <v>822.66</v>
      </c>
      <c r="H33" s="42">
        <v>51.8</v>
      </c>
      <c r="I33" s="37">
        <v>1589.84</v>
      </c>
      <c r="J33" s="37">
        <v>2149.7</v>
      </c>
      <c r="K33" s="43">
        <f>IF(tblOrders[[#This Row],[Date closed]]="","",IFERROR(INDEX(tblStandards[Std material qty],MATCH(tblOrders[[#This Row],[Product]],tblStandards[Product],0)),""))</f>
        <v>14</v>
      </c>
      <c r="L33" s="44">
        <f>IF(tblOrders[[#This Row],[Date closed]]="","",IFERROR(INDEX(tblStandards[Std material price],MATCH(tblOrders[[#This Row],[Product]],tblStandards[Product],0)),""))</f>
        <v>1.15</v>
      </c>
      <c r="M33" s="43">
        <f>IF(tblOrders[[#This Row],[Date closed]]="","",IFERROR(INDEX(tblStandards[Std labour hours],MATCH(tblOrders[[#This Row],[Product]],tblStandards[Product],0)),""))</f>
        <v>1.1</v>
      </c>
      <c r="N33" s="45">
        <f>IF(tblOrders[[#This Row],[Date closed]]="","",IFERROR(INDEX(tblStandards[Std labour rate],MATCH(tblOrders[[#This Row],[Product]],tblStandards[Product],0)),""))</f>
        <v>30</v>
      </c>
      <c r="O33" s="45">
        <f>IF(tblOrders[[#This Row],[Date closed]]="","",IFERROR(INDEX(tblStandards[Std overhead rate],MATCH(tblOrders[[#This Row],[Product]],tblStandards[Product],0)),""))</f>
        <v>42</v>
      </c>
      <c r="P33" s="46">
        <f>IF(tblOrders[[#This Row],[Date closed]]="","",IF(tblOrders[[#This Row],[Std material qty]]="","",tblOrders[[#This Row],[Good qty]]*tblOrders[[#This Row],[Std material qty]]))</f>
        <v>700</v>
      </c>
      <c r="Q33" s="46">
        <f>IF(tblOrders[[#This Row],[Date closed]]="","",IF(tblOrders[[#This Row],[Std labour hours]]="","",tblOrders[[#This Row],[Good qty]]*tblOrders[[#This Row],[Std labour hours]]))</f>
        <v>55</v>
      </c>
      <c r="R33" s="47">
        <f>IF(tblOrders[[#This Row],[Date closed]]="","",IF(tblOrders[[#This Row],[Std qty allowed]]="","",tblOrders[[#This Row],[Std qty allowed]]*tblOrders[[#This Row],[Std material price]]+tblOrders[[#This Row],[Std hours allowed]]*(tblOrders[[#This Row],[Std labour rate]]+tblOrders[[#This Row],[Std overhead rate]])))</f>
        <v>4765</v>
      </c>
      <c r="S33" s="47">
        <f>IF(tblOrders[[#This Row],[Date closed]]="","",tblOrders[[#This Row],[Material cost]]+tblOrders[[#This Row],[Labour cost]]+tblOrders[[#This Row],[Overhead charged]])</f>
        <v>4562.2</v>
      </c>
      <c r="T33" s="47">
        <f>IF(tblOrders[[#This Row],[Date closed]]="","",IF(tblOrders[[#This Row],[Std material price]]="","",tblOrders[[#This Row],[Material cost]]-tblOrders[[#This Row],[Material used]]*tblOrders[[#This Row],[Std material price]]))</f>
        <v>6.3900000000001</v>
      </c>
      <c r="U33" s="47">
        <f>IF(tblOrders[[#This Row],[Date closed]]="","",IF(tblOrders[[#This Row],[Std qty allowed]]="","",(tblOrders[[#This Row],[Material used]]-tblOrders[[#This Row],[Std qty allowed]])*tblOrders[[#This Row],[Std material price]]))</f>
        <v>11.2699999999999</v>
      </c>
      <c r="V33" s="47">
        <f>IF(tblOrders[[#This Row],[Date closed]]="","",IF(tblOrders[[#This Row],[Std labour rate]]="","",tblOrders[[#This Row],[Labour cost]]-tblOrders[[#This Row],[Labour hours]]*tblOrders[[#This Row],[Std labour rate]]))</f>
        <v>35.8399999999999</v>
      </c>
      <c r="W33" s="47">
        <f>IF(tblOrders[[#This Row],[Date closed]]="","",IF(tblOrders[[#This Row],[Std hours allowed]]="","",(tblOrders[[#This Row],[Labour hours]]-tblOrders[[#This Row],[Std hours allowed]])*tblOrders[[#This Row],[Std labour rate]]))</f>
        <v>-96.0000000000003</v>
      </c>
      <c r="X33" s="47">
        <f>IF(tblOrders[[#This Row],[Date closed]]="","",IF(tblOrders[[#This Row],[Std hours allowed]]="","",tblOrders[[#This Row],[Overhead charged]]-tblOrders[[#This Row],[Std hours allowed]]*tblOrders[[#This Row],[Std overhead rate]]))</f>
        <v>-160.300000000001</v>
      </c>
      <c r="Y33" s="48">
        <f>IF(tblOrders[[#This Row],[Date closed]]="","",IF(tblOrders[[#This Row],[Standard cost]]="","",tblOrders[[#This Row],[Actual cost]]-tblOrders[[#This Row],[Standard cost]]))</f>
        <v>-202.8</v>
      </c>
      <c r="Z33" s="49">
        <f>IF(tblOrders[[#This Row],[Date closed]]="","",IF(N(tblOrders[[#This Row],[Standard cost]])=0,"",tblOrders[[#This Row],[Total variance]]/tblOrders[[#This Row],[Standard cost]]))</f>
        <v>-0.0425603357817419</v>
      </c>
      <c r="AA33" s="50" t="str">
        <f>IF(tblOrders[[#This Row],[Date closed]]="","",IF(tblOrders[[#This Row],[Variance of standard]]="","",IF(AND(ABS(tblOrders[[#This Row],[Total variance]])&gt;=AmtLimit,ABS(tblOrders[[#This Row],[Variance of standard]])&gt;=PctLimit),"Out of limits","Within limits")))</f>
        <v>Within limits</v>
      </c>
      <c r="AB3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3" s="52">
        <f>IF(tblOrders[[#This Row],[Date closed]]="","",IF(AND(tblOrders[[#This Row],[Date closed]]&gt;=FFrom,tblOrders[[#This Row],[Date closed]]&lt;=FTo,OR(DashProduct="",tblOrders[[#This Row],[Product]]=DashProduct)),tblOrders[[#This Row],[Date closed]],""))</f>
        <v>46197</v>
      </c>
      <c r="AD33" s="28" t="s">
        <v>126</v>
      </c>
    </row>
    <row r="34" spans="2:30">
      <c r="B34" s="41">
        <v>46203</v>
      </c>
      <c r="C34" s="28" t="s">
        <v>153</v>
      </c>
      <c r="D34" s="28" t="s">
        <v>93</v>
      </c>
      <c r="E34" s="30">
        <v>80</v>
      </c>
      <c r="F34" s="42">
        <v>664.6</v>
      </c>
      <c r="G34" s="37">
        <v>820.12</v>
      </c>
      <c r="H34" s="42">
        <v>54.4</v>
      </c>
      <c r="I34" s="37">
        <v>1568.41</v>
      </c>
      <c r="J34" s="37">
        <v>2257.6</v>
      </c>
      <c r="K34" s="43">
        <f>IF(tblOrders[[#This Row],[Date closed]]="","",IFERROR(INDEX(tblStandards[Std material qty],MATCH(tblOrders[[#This Row],[Product]],tblStandards[Product],0)),""))</f>
        <v>8.2</v>
      </c>
      <c r="L34" s="44">
        <f>IF(tblOrders[[#This Row],[Date closed]]="","",IFERROR(INDEX(tblStandards[Std material price],MATCH(tblOrders[[#This Row],[Product]],tblStandards[Product],0)),""))</f>
        <v>1.25</v>
      </c>
      <c r="M34" s="43">
        <f>IF(tblOrders[[#This Row],[Date closed]]="","",IFERROR(INDEX(tblStandards[Std labour hours],MATCH(tblOrders[[#This Row],[Product]],tblStandards[Product],0)),""))</f>
        <v>0.65</v>
      </c>
      <c r="N34" s="45">
        <f>IF(tblOrders[[#This Row],[Date closed]]="","",IFERROR(INDEX(tblStandards[Std labour rate],MATCH(tblOrders[[#This Row],[Product]],tblStandards[Product],0)),""))</f>
        <v>28</v>
      </c>
      <c r="O34" s="45">
        <f>IF(tblOrders[[#This Row],[Date closed]]="","",IFERROR(INDEX(tblStandards[Std overhead rate],MATCH(tblOrders[[#This Row],[Product]],tblStandards[Product],0)),""))</f>
        <v>42</v>
      </c>
      <c r="P34" s="46">
        <f>IF(tblOrders[[#This Row],[Date closed]]="","",IF(tblOrders[[#This Row],[Std material qty]]="","",tblOrders[[#This Row],[Good qty]]*tblOrders[[#This Row],[Std material qty]]))</f>
        <v>656</v>
      </c>
      <c r="Q34" s="46">
        <f>IF(tblOrders[[#This Row],[Date closed]]="","",IF(tblOrders[[#This Row],[Std labour hours]]="","",tblOrders[[#This Row],[Good qty]]*tblOrders[[#This Row],[Std labour hours]]))</f>
        <v>52</v>
      </c>
      <c r="R34" s="47">
        <f>IF(tblOrders[[#This Row],[Date closed]]="","",IF(tblOrders[[#This Row],[Std qty allowed]]="","",tblOrders[[#This Row],[Std qty allowed]]*tblOrders[[#This Row],[Std material price]]+tblOrders[[#This Row],[Std hours allowed]]*(tblOrders[[#This Row],[Std labour rate]]+tblOrders[[#This Row],[Std overhead rate]])))</f>
        <v>4460</v>
      </c>
      <c r="S34" s="47">
        <f>IF(tblOrders[[#This Row],[Date closed]]="","",tblOrders[[#This Row],[Material cost]]+tblOrders[[#This Row],[Labour cost]]+tblOrders[[#This Row],[Overhead charged]])</f>
        <v>4646.13</v>
      </c>
      <c r="T34" s="47">
        <f>IF(tblOrders[[#This Row],[Date closed]]="","",IF(tblOrders[[#This Row],[Std material price]]="","",tblOrders[[#This Row],[Material cost]]-tblOrders[[#This Row],[Material used]]*tblOrders[[#This Row],[Std material price]]))</f>
        <v>-10.63</v>
      </c>
      <c r="U34" s="47">
        <f>IF(tblOrders[[#This Row],[Date closed]]="","",IF(tblOrders[[#This Row],[Std qty allowed]]="","",(tblOrders[[#This Row],[Material used]]-tblOrders[[#This Row],[Std qty allowed]])*tblOrders[[#This Row],[Std material price]]))</f>
        <v>10.75</v>
      </c>
      <c r="V34" s="47">
        <f>IF(tblOrders[[#This Row],[Date closed]]="","",IF(tblOrders[[#This Row],[Std labour rate]]="","",tblOrders[[#This Row],[Labour cost]]-tblOrders[[#This Row],[Labour hours]]*tblOrders[[#This Row],[Std labour rate]]))</f>
        <v>45.21</v>
      </c>
      <c r="W34" s="47">
        <f>IF(tblOrders[[#This Row],[Date closed]]="","",IF(tblOrders[[#This Row],[Std hours allowed]]="","",(tblOrders[[#This Row],[Labour hours]]-tblOrders[[#This Row],[Std hours allowed]])*tblOrders[[#This Row],[Std labour rate]]))</f>
        <v>67.2</v>
      </c>
      <c r="X34" s="47">
        <f>IF(tblOrders[[#This Row],[Date closed]]="","",IF(tblOrders[[#This Row],[Std hours allowed]]="","",tblOrders[[#This Row],[Overhead charged]]-tblOrders[[#This Row],[Std hours allowed]]*tblOrders[[#This Row],[Std overhead rate]]))</f>
        <v>73.5999999999999</v>
      </c>
      <c r="Y34" s="48">
        <f>IF(tblOrders[[#This Row],[Date closed]]="","",IF(tblOrders[[#This Row],[Standard cost]]="","",tblOrders[[#This Row],[Actual cost]]-tblOrders[[#This Row],[Standard cost]]))</f>
        <v>186.13</v>
      </c>
      <c r="Z34" s="49">
        <f>IF(tblOrders[[#This Row],[Date closed]]="","",IF(N(tblOrders[[#This Row],[Standard cost]])=0,"",tblOrders[[#This Row],[Total variance]]/tblOrders[[#This Row],[Standard cost]]))</f>
        <v>0.0417331838565023</v>
      </c>
      <c r="AA34" s="50" t="str">
        <f>IF(tblOrders[[#This Row],[Date closed]]="","",IF(tblOrders[[#This Row],[Variance of standard]]="","",IF(AND(ABS(tblOrders[[#This Row],[Total variance]])&gt;=AmtLimit,ABS(tblOrders[[#This Row],[Variance of standard]])&gt;=PctLimit),"Out of limits","Within limits")))</f>
        <v>Within limits</v>
      </c>
      <c r="AB3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4" s="52">
        <f>IF(tblOrders[[#This Row],[Date closed]]="","",IF(AND(tblOrders[[#This Row],[Date closed]]&gt;=FFrom,tblOrders[[#This Row],[Date closed]]&lt;=FTo,OR(DashProduct="",tblOrders[[#This Row],[Product]]=DashProduct)),tblOrders[[#This Row],[Date closed]],""))</f>
        <v>46203</v>
      </c>
      <c r="AD34" s="28" t="s">
        <v>126</v>
      </c>
    </row>
    <row r="35" spans="2:30">
      <c r="B35" s="41">
        <v>46205</v>
      </c>
      <c r="C35" s="28" t="s">
        <v>154</v>
      </c>
      <c r="D35" s="28" t="s">
        <v>95</v>
      </c>
      <c r="E35" s="30">
        <v>110</v>
      </c>
      <c r="F35" s="42">
        <v>1380.5</v>
      </c>
      <c r="G35" s="37">
        <v>1735.29</v>
      </c>
      <c r="H35" s="42">
        <v>153.2</v>
      </c>
      <c r="I35" s="37">
        <v>4254.34</v>
      </c>
      <c r="J35" s="37">
        <v>6281.2</v>
      </c>
      <c r="K35" s="43">
        <f>IF(tblOrders[[#This Row],[Date closed]]="","",IFERROR(INDEX(tblStandards[Std material qty],MATCH(tblOrders[[#This Row],[Product]],tblStandards[Product],0)),""))</f>
        <v>11.5</v>
      </c>
      <c r="L35" s="44">
        <f>IF(tblOrders[[#This Row],[Date closed]]="","",IFERROR(INDEX(tblStandards[Std material price],MATCH(tblOrders[[#This Row],[Product]],tblStandards[Product],0)),""))</f>
        <v>1.25</v>
      </c>
      <c r="M35" s="43">
        <f>IF(tblOrders[[#This Row],[Date closed]]="","",IFERROR(INDEX(tblStandards[Std labour hours],MATCH(tblOrders[[#This Row],[Product]],tblStandards[Product],0)),""))</f>
        <v>1.4</v>
      </c>
      <c r="N35" s="45">
        <f>IF(tblOrders[[#This Row],[Date closed]]="","",IFERROR(INDEX(tblStandards[Std labour rate],MATCH(tblOrders[[#This Row],[Product]],tblStandards[Product],0)),""))</f>
        <v>28</v>
      </c>
      <c r="O35" s="45">
        <f>IF(tblOrders[[#This Row],[Date closed]]="","",IFERROR(INDEX(tblStandards[Std overhead rate],MATCH(tblOrders[[#This Row],[Product]],tblStandards[Product],0)),""))</f>
        <v>42</v>
      </c>
      <c r="P35" s="46">
        <f>IF(tblOrders[[#This Row],[Date closed]]="","",IF(tblOrders[[#This Row],[Std material qty]]="","",tblOrders[[#This Row],[Good qty]]*tblOrders[[#This Row],[Std material qty]]))</f>
        <v>1265</v>
      </c>
      <c r="Q35" s="46">
        <f>IF(tblOrders[[#This Row],[Date closed]]="","",IF(tblOrders[[#This Row],[Std labour hours]]="","",tblOrders[[#This Row],[Good qty]]*tblOrders[[#This Row],[Std labour hours]]))</f>
        <v>154</v>
      </c>
      <c r="R35" s="47">
        <f>IF(tblOrders[[#This Row],[Date closed]]="","",IF(tblOrders[[#This Row],[Std qty allowed]]="","",tblOrders[[#This Row],[Std qty allowed]]*tblOrders[[#This Row],[Std material price]]+tblOrders[[#This Row],[Std hours allowed]]*(tblOrders[[#This Row],[Std labour rate]]+tblOrders[[#This Row],[Std overhead rate]])))</f>
        <v>12361.25</v>
      </c>
      <c r="S35" s="47">
        <f>IF(tblOrders[[#This Row],[Date closed]]="","",tblOrders[[#This Row],[Material cost]]+tblOrders[[#This Row],[Labour cost]]+tblOrders[[#This Row],[Overhead charged]])</f>
        <v>12270.83</v>
      </c>
      <c r="T35" s="47">
        <f>IF(tblOrders[[#This Row],[Date closed]]="","",IF(tblOrders[[#This Row],[Std material price]]="","",tblOrders[[#This Row],[Material cost]]-tblOrders[[#This Row],[Material used]]*tblOrders[[#This Row],[Std material price]]))</f>
        <v>9.66499999999996</v>
      </c>
      <c r="U35" s="47">
        <f>IF(tblOrders[[#This Row],[Date closed]]="","",IF(tblOrders[[#This Row],[Std qty allowed]]="","",(tblOrders[[#This Row],[Material used]]-tblOrders[[#This Row],[Std qty allowed]])*tblOrders[[#This Row],[Std material price]]))</f>
        <v>144.375</v>
      </c>
      <c r="V35" s="47">
        <f>IF(tblOrders[[#This Row],[Date closed]]="","",IF(tblOrders[[#This Row],[Std labour rate]]="","",tblOrders[[#This Row],[Labour cost]]-tblOrders[[#This Row],[Labour hours]]*tblOrders[[#This Row],[Std labour rate]]))</f>
        <v>-35.2599999999993</v>
      </c>
      <c r="W35" s="47">
        <f>IF(tblOrders[[#This Row],[Date closed]]="","",IF(tblOrders[[#This Row],[Std hours allowed]]="","",(tblOrders[[#This Row],[Labour hours]]-tblOrders[[#This Row],[Std hours allowed]])*tblOrders[[#This Row],[Std labour rate]]))</f>
        <v>-22.4000000000003</v>
      </c>
      <c r="X35" s="47">
        <f>IF(tblOrders[[#This Row],[Date closed]]="","",IF(tblOrders[[#This Row],[Std hours allowed]]="","",tblOrders[[#This Row],[Overhead charged]]-tblOrders[[#This Row],[Std hours allowed]]*tblOrders[[#This Row],[Std overhead rate]]))</f>
        <v>-186.8</v>
      </c>
      <c r="Y35" s="48">
        <f>IF(tblOrders[[#This Row],[Date closed]]="","",IF(tblOrders[[#This Row],[Standard cost]]="","",tblOrders[[#This Row],[Actual cost]]-tblOrders[[#This Row],[Standard cost]]))</f>
        <v>-90.4200000000001</v>
      </c>
      <c r="Z35" s="49">
        <f>IF(tblOrders[[#This Row],[Date closed]]="","",IF(N(tblOrders[[#This Row],[Standard cost]])=0,"",tblOrders[[#This Row],[Total variance]]/tblOrders[[#This Row],[Standard cost]]))</f>
        <v>-0.00731479421579533</v>
      </c>
      <c r="AA35" s="50" t="str">
        <f>IF(tblOrders[[#This Row],[Date closed]]="","",IF(tblOrders[[#This Row],[Variance of standard]]="","",IF(AND(ABS(tblOrders[[#This Row],[Total variance]])&gt;=AmtLimit,ABS(tblOrders[[#This Row],[Variance of standard]])&gt;=PctLimit),"Out of limits","Within limits")))</f>
        <v>Within limits</v>
      </c>
      <c r="AB3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5" s="52">
        <f>IF(tblOrders[[#This Row],[Date closed]]="","",IF(AND(tblOrders[[#This Row],[Date closed]]&gt;=FFrom,tblOrders[[#This Row],[Date closed]]&lt;=FTo,OR(DashProduct="",tblOrders[[#This Row],[Product]]=DashProduct)),tblOrders[[#This Row],[Date closed]],""))</f>
        <v>46205</v>
      </c>
      <c r="AD35" s="28" t="s">
        <v>126</v>
      </c>
    </row>
    <row r="36" spans="2:30">
      <c r="B36" s="41">
        <v>46210</v>
      </c>
      <c r="C36" s="28" t="s">
        <v>155</v>
      </c>
      <c r="D36" s="28" t="s">
        <v>97</v>
      </c>
      <c r="E36" s="30">
        <v>40</v>
      </c>
      <c r="F36" s="42">
        <v>1304.3</v>
      </c>
      <c r="G36" s="37">
        <v>1425.6</v>
      </c>
      <c r="H36" s="42">
        <v>87.2</v>
      </c>
      <c r="I36" s="37">
        <v>2602.13</v>
      </c>
      <c r="J36" s="37">
        <v>3575.2</v>
      </c>
      <c r="K36" s="43">
        <f>IF(tblOrders[[#This Row],[Date closed]]="","",IFERROR(INDEX(tblStandards[Std material qty],MATCH(tblOrders[[#This Row],[Product]],tblStandards[Product],0)),""))</f>
        <v>32</v>
      </c>
      <c r="L36" s="44">
        <f>IF(tblOrders[[#This Row],[Date closed]]="","",IFERROR(INDEX(tblStandards[Std material price],MATCH(tblOrders[[#This Row],[Product]],tblStandards[Product],0)),""))</f>
        <v>1.1</v>
      </c>
      <c r="M36" s="43">
        <f>IF(tblOrders[[#This Row],[Date closed]]="","",IFERROR(INDEX(tblStandards[Std labour hours],MATCH(tblOrders[[#This Row],[Product]],tblStandards[Product],0)),""))</f>
        <v>2.2</v>
      </c>
      <c r="N36" s="45">
        <f>IF(tblOrders[[#This Row],[Date closed]]="","",IFERROR(INDEX(tblStandards[Std labour rate],MATCH(tblOrders[[#This Row],[Product]],tblStandards[Product],0)),""))</f>
        <v>30</v>
      </c>
      <c r="O36" s="45">
        <f>IF(tblOrders[[#This Row],[Date closed]]="","",IFERROR(INDEX(tblStandards[Std overhead rate],MATCH(tblOrders[[#This Row],[Product]],tblStandards[Product],0)),""))</f>
        <v>42</v>
      </c>
      <c r="P36" s="46">
        <f>IF(tblOrders[[#This Row],[Date closed]]="","",IF(tblOrders[[#This Row],[Std material qty]]="","",tblOrders[[#This Row],[Good qty]]*tblOrders[[#This Row],[Std material qty]]))</f>
        <v>1280</v>
      </c>
      <c r="Q36" s="46">
        <f>IF(tblOrders[[#This Row],[Date closed]]="","",IF(tblOrders[[#This Row],[Std labour hours]]="","",tblOrders[[#This Row],[Good qty]]*tblOrders[[#This Row],[Std labour hours]]))</f>
        <v>88</v>
      </c>
      <c r="R36" s="47">
        <f>IF(tblOrders[[#This Row],[Date closed]]="","",IF(tblOrders[[#This Row],[Std qty allowed]]="","",tblOrders[[#This Row],[Std qty allowed]]*tblOrders[[#This Row],[Std material price]]+tblOrders[[#This Row],[Std hours allowed]]*(tblOrders[[#This Row],[Std labour rate]]+tblOrders[[#This Row],[Std overhead rate]])))</f>
        <v>7744</v>
      </c>
      <c r="S36" s="47">
        <f>IF(tblOrders[[#This Row],[Date closed]]="","",tblOrders[[#This Row],[Material cost]]+tblOrders[[#This Row],[Labour cost]]+tblOrders[[#This Row],[Overhead charged]])</f>
        <v>7602.93</v>
      </c>
      <c r="T36" s="47">
        <f>IF(tblOrders[[#This Row],[Date closed]]="","",IF(tblOrders[[#This Row],[Std material price]]="","",tblOrders[[#This Row],[Material cost]]-tblOrders[[#This Row],[Material used]]*tblOrders[[#This Row],[Std material price]]))</f>
        <v>-9.13000000000011</v>
      </c>
      <c r="U36" s="47">
        <f>IF(tblOrders[[#This Row],[Date closed]]="","",IF(tblOrders[[#This Row],[Std qty allowed]]="","",(tblOrders[[#This Row],[Material used]]-tblOrders[[#This Row],[Std qty allowed]])*tblOrders[[#This Row],[Std material price]]))</f>
        <v>26.73</v>
      </c>
      <c r="V36" s="47">
        <f>IF(tblOrders[[#This Row],[Date closed]]="","",IF(tblOrders[[#This Row],[Std labour rate]]="","",tblOrders[[#This Row],[Labour cost]]-tblOrders[[#This Row],[Labour hours]]*tblOrders[[#This Row],[Std labour rate]]))</f>
        <v>-13.8699999999999</v>
      </c>
      <c r="W36" s="47">
        <f>IF(tblOrders[[#This Row],[Date closed]]="","",IF(tblOrders[[#This Row],[Std hours allowed]]="","",(tblOrders[[#This Row],[Labour hours]]-tblOrders[[#This Row],[Std hours allowed]])*tblOrders[[#This Row],[Std labour rate]]))</f>
        <v>-23.9999999999999</v>
      </c>
      <c r="X36" s="47">
        <f>IF(tblOrders[[#This Row],[Date closed]]="","",IF(tblOrders[[#This Row],[Std hours allowed]]="","",tblOrders[[#This Row],[Overhead charged]]-tblOrders[[#This Row],[Std hours allowed]]*tblOrders[[#This Row],[Std overhead rate]]))</f>
        <v>-120.8</v>
      </c>
      <c r="Y36" s="48">
        <f>IF(tblOrders[[#This Row],[Date closed]]="","",IF(tblOrders[[#This Row],[Standard cost]]="","",tblOrders[[#This Row],[Actual cost]]-tblOrders[[#This Row],[Standard cost]]))</f>
        <v>-141.07</v>
      </c>
      <c r="Z36" s="49">
        <f>IF(tblOrders[[#This Row],[Date closed]]="","",IF(N(tblOrders[[#This Row],[Standard cost]])=0,"",tblOrders[[#This Row],[Total variance]]/tblOrders[[#This Row],[Standard cost]]))</f>
        <v>-0.0182166838842975</v>
      </c>
      <c r="AA36" s="50" t="str">
        <f>IF(tblOrders[[#This Row],[Date closed]]="","",IF(tblOrders[[#This Row],[Variance of standard]]="","",IF(AND(ABS(tblOrders[[#This Row],[Total variance]])&gt;=AmtLimit,ABS(tblOrders[[#This Row],[Variance of standard]])&gt;=PctLimit),"Out of limits","Within limits")))</f>
        <v>Within limits</v>
      </c>
      <c r="AB3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6" s="52">
        <f>IF(tblOrders[[#This Row],[Date closed]]="","",IF(AND(tblOrders[[#This Row],[Date closed]]&gt;=FFrom,tblOrders[[#This Row],[Date closed]]&lt;=FTo,OR(DashProduct="",tblOrders[[#This Row],[Product]]=DashProduct)),tblOrders[[#This Row],[Date closed]],""))</f>
        <v>46210</v>
      </c>
      <c r="AD36" s="28" t="s">
        <v>126</v>
      </c>
    </row>
    <row r="37" spans="2:30">
      <c r="B37" s="41">
        <v>46212</v>
      </c>
      <c r="C37" s="28" t="s">
        <v>156</v>
      </c>
      <c r="D37" s="28" t="s">
        <v>86</v>
      </c>
      <c r="E37" s="30">
        <v>580</v>
      </c>
      <c r="F37" s="42">
        <v>1072.9</v>
      </c>
      <c r="G37" s="37">
        <v>1167.32</v>
      </c>
      <c r="H37" s="42">
        <v>73.40000000000001</v>
      </c>
      <c r="I37" s="37">
        <v>2099.81</v>
      </c>
      <c r="J37" s="37">
        <v>3009.4</v>
      </c>
      <c r="K37" s="43">
        <f>IF(tblOrders[[#This Row],[Date closed]]="","",IFERROR(INDEX(tblStandards[Std material qty],MATCH(tblOrders[[#This Row],[Product]],tblStandards[Product],0)),""))</f>
        <v>1.8</v>
      </c>
      <c r="L37" s="44">
        <f>IF(tblOrders[[#This Row],[Date closed]]="","",IFERROR(INDEX(tblStandards[Std material price],MATCH(tblOrders[[#This Row],[Product]],tblStandards[Product],0)),""))</f>
        <v>1.1</v>
      </c>
      <c r="M37" s="43">
        <f>IF(tblOrders[[#This Row],[Date closed]]="","",IFERROR(INDEX(tblStandards[Std labour hours],MATCH(tblOrders[[#This Row],[Product]],tblStandards[Product],0)),""))</f>
        <v>0.12</v>
      </c>
      <c r="N37" s="45">
        <f>IF(tblOrders[[#This Row],[Date closed]]="","",IFERROR(INDEX(tblStandards[Std labour rate],MATCH(tblOrders[[#This Row],[Product]],tblStandards[Product],0)),""))</f>
        <v>28</v>
      </c>
      <c r="O37" s="45">
        <f>IF(tblOrders[[#This Row],[Date closed]]="","",IFERROR(INDEX(tblStandards[Std overhead rate],MATCH(tblOrders[[#This Row],[Product]],tblStandards[Product],0)),""))</f>
        <v>42</v>
      </c>
      <c r="P37" s="46">
        <f>IF(tblOrders[[#This Row],[Date closed]]="","",IF(tblOrders[[#This Row],[Std material qty]]="","",tblOrders[[#This Row],[Good qty]]*tblOrders[[#This Row],[Std material qty]]))</f>
        <v>1044</v>
      </c>
      <c r="Q37" s="46">
        <f>IF(tblOrders[[#This Row],[Date closed]]="","",IF(tblOrders[[#This Row],[Std labour hours]]="","",tblOrders[[#This Row],[Good qty]]*tblOrders[[#This Row],[Std labour hours]]))</f>
        <v>69.6</v>
      </c>
      <c r="R37" s="47">
        <f>IF(tblOrders[[#This Row],[Date closed]]="","",IF(tblOrders[[#This Row],[Std qty allowed]]="","",tblOrders[[#This Row],[Std qty allowed]]*tblOrders[[#This Row],[Std material price]]+tblOrders[[#This Row],[Std hours allowed]]*(tblOrders[[#This Row],[Std labour rate]]+tblOrders[[#This Row],[Std overhead rate]])))</f>
        <v>6020.4</v>
      </c>
      <c r="S37" s="47">
        <f>IF(tblOrders[[#This Row],[Date closed]]="","",tblOrders[[#This Row],[Material cost]]+tblOrders[[#This Row],[Labour cost]]+tblOrders[[#This Row],[Overhead charged]])</f>
        <v>6276.53</v>
      </c>
      <c r="T37" s="47">
        <f>IF(tblOrders[[#This Row],[Date closed]]="","",IF(tblOrders[[#This Row],[Std material price]]="","",tblOrders[[#This Row],[Material cost]]-tblOrders[[#This Row],[Material used]]*tblOrders[[#This Row],[Std material price]]))</f>
        <v>-12.8700000000003</v>
      </c>
      <c r="U37" s="47">
        <f>IF(tblOrders[[#This Row],[Date closed]]="","",IF(tblOrders[[#This Row],[Std qty allowed]]="","",(tblOrders[[#This Row],[Material used]]-tblOrders[[#This Row],[Std qty allowed]])*tblOrders[[#This Row],[Std material price]]))</f>
        <v>31.7900000000001</v>
      </c>
      <c r="V37" s="47">
        <f>IF(tblOrders[[#This Row],[Date closed]]="","",IF(tblOrders[[#This Row],[Std labour rate]]="","",tblOrders[[#This Row],[Labour cost]]-tblOrders[[#This Row],[Labour hours]]*tblOrders[[#This Row],[Std labour rate]]))</f>
        <v>44.6099999999997</v>
      </c>
      <c r="W37" s="47">
        <f>IF(tblOrders[[#This Row],[Date closed]]="","",IF(tblOrders[[#This Row],[Std hours allowed]]="","",(tblOrders[[#This Row],[Labour hours]]-tblOrders[[#This Row],[Std hours allowed]])*tblOrders[[#This Row],[Std labour rate]]))</f>
        <v>106.4</v>
      </c>
      <c r="X37" s="47">
        <f>IF(tblOrders[[#This Row],[Date closed]]="","",IF(tblOrders[[#This Row],[Std hours allowed]]="","",tblOrders[[#This Row],[Overhead charged]]-tblOrders[[#This Row],[Std hours allowed]]*tblOrders[[#This Row],[Std overhead rate]]))</f>
        <v>86.2000000000003</v>
      </c>
      <c r="Y37" s="48">
        <f>IF(tblOrders[[#This Row],[Date closed]]="","",IF(tblOrders[[#This Row],[Standard cost]]="","",tblOrders[[#This Row],[Actual cost]]-tblOrders[[#This Row],[Standard cost]]))</f>
        <v>256.130000000001</v>
      </c>
      <c r="Z37" s="49">
        <f>IF(tblOrders[[#This Row],[Date closed]]="","",IF(N(tblOrders[[#This Row],[Standard cost]])=0,"",tblOrders[[#This Row],[Total variance]]/tblOrders[[#This Row],[Standard cost]]))</f>
        <v>0.0425436848049965</v>
      </c>
      <c r="AA37" s="50" t="str">
        <f>IF(tblOrders[[#This Row],[Date closed]]="","",IF(tblOrders[[#This Row],[Variance of standard]]="","",IF(AND(ABS(tblOrders[[#This Row],[Total variance]])&gt;=AmtLimit,ABS(tblOrders[[#This Row],[Variance of standard]])&gt;=PctLimit),"Out of limits","Within limits")))</f>
        <v>Within limits</v>
      </c>
      <c r="AB3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7" s="52">
        <f>IF(tblOrders[[#This Row],[Date closed]]="","",IF(AND(tblOrders[[#This Row],[Date closed]]&gt;=FFrom,tblOrders[[#This Row],[Date closed]]&lt;=FTo,OR(DashProduct="",tblOrders[[#This Row],[Product]]=DashProduct)),tblOrders[[#This Row],[Date closed]],""))</f>
        <v>46212</v>
      </c>
      <c r="AD37" s="28" t="s">
        <v>126</v>
      </c>
    </row>
    <row r="38" spans="2:30">
      <c r="B38" s="41">
        <v>46217</v>
      </c>
      <c r="C38" s="28" t="s">
        <v>157</v>
      </c>
      <c r="D38" s="28" t="s">
        <v>89</v>
      </c>
      <c r="E38" s="30">
        <v>250</v>
      </c>
      <c r="F38" s="42">
        <v>1616.1</v>
      </c>
      <c r="G38" s="37">
        <v>1810.03</v>
      </c>
      <c r="H38" s="42">
        <v>48.3</v>
      </c>
      <c r="I38" s="37">
        <v>1359.93</v>
      </c>
      <c r="J38" s="37">
        <v>1980.3</v>
      </c>
      <c r="K38" s="43">
        <f>IF(tblOrders[[#This Row],[Date closed]]="","",IFERROR(INDEX(tblStandards[Std material qty],MATCH(tblOrders[[#This Row],[Product]],tblStandards[Product],0)),""))</f>
        <v>6.5</v>
      </c>
      <c r="L38" s="44">
        <f>IF(tblOrders[[#This Row],[Date closed]]="","",IFERROR(INDEX(tblStandards[Std material price],MATCH(tblOrders[[#This Row],[Product]],tblStandards[Product],0)),""))</f>
        <v>1.1</v>
      </c>
      <c r="M38" s="43">
        <f>IF(tblOrders[[#This Row],[Date closed]]="","",IFERROR(INDEX(tblStandards[Std labour hours],MATCH(tblOrders[[#This Row],[Product]],tblStandards[Product],0)),""))</f>
        <v>0.2</v>
      </c>
      <c r="N38" s="45">
        <f>IF(tblOrders[[#This Row],[Date closed]]="","",IFERROR(INDEX(tblStandards[Std labour rate],MATCH(tblOrders[[#This Row],[Product]],tblStandards[Product],0)),""))</f>
        <v>28</v>
      </c>
      <c r="O38" s="45">
        <f>IF(tblOrders[[#This Row],[Date closed]]="","",IFERROR(INDEX(tblStandards[Std overhead rate],MATCH(tblOrders[[#This Row],[Product]],tblStandards[Product],0)),""))</f>
        <v>42</v>
      </c>
      <c r="P38" s="46">
        <f>IF(tblOrders[[#This Row],[Date closed]]="","",IF(tblOrders[[#This Row],[Std material qty]]="","",tblOrders[[#This Row],[Good qty]]*tblOrders[[#This Row],[Std material qty]]))</f>
        <v>1625</v>
      </c>
      <c r="Q38" s="46">
        <f>IF(tblOrders[[#This Row],[Date closed]]="","",IF(tblOrders[[#This Row],[Std labour hours]]="","",tblOrders[[#This Row],[Good qty]]*tblOrders[[#This Row],[Std labour hours]]))</f>
        <v>50</v>
      </c>
      <c r="R38" s="47">
        <f>IF(tblOrders[[#This Row],[Date closed]]="","",IF(tblOrders[[#This Row],[Std qty allowed]]="","",tblOrders[[#This Row],[Std qty allowed]]*tblOrders[[#This Row],[Std material price]]+tblOrders[[#This Row],[Std hours allowed]]*(tblOrders[[#This Row],[Std labour rate]]+tblOrders[[#This Row],[Std overhead rate]])))</f>
        <v>5287.5</v>
      </c>
      <c r="S38" s="47">
        <f>IF(tblOrders[[#This Row],[Date closed]]="","",tblOrders[[#This Row],[Material cost]]+tblOrders[[#This Row],[Labour cost]]+tblOrders[[#This Row],[Overhead charged]])</f>
        <v>5150.26</v>
      </c>
      <c r="T38" s="47">
        <f>IF(tblOrders[[#This Row],[Date closed]]="","",IF(tblOrders[[#This Row],[Std material price]]="","",tblOrders[[#This Row],[Material cost]]-tblOrders[[#This Row],[Material used]]*tblOrders[[#This Row],[Std material price]]))</f>
        <v>32.3199999999999</v>
      </c>
      <c r="U38" s="47">
        <f>IF(tblOrders[[#This Row],[Date closed]]="","",IF(tblOrders[[#This Row],[Std qty allowed]]="","",(tblOrders[[#This Row],[Material used]]-tblOrders[[#This Row],[Std qty allowed]])*tblOrders[[#This Row],[Std material price]]))</f>
        <v>-9.7900000000001</v>
      </c>
      <c r="V38" s="47">
        <f>IF(tblOrders[[#This Row],[Date closed]]="","",IF(tblOrders[[#This Row],[Std labour rate]]="","",tblOrders[[#This Row],[Labour cost]]-tblOrders[[#This Row],[Labour hours]]*tblOrders[[#This Row],[Std labour rate]]))</f>
        <v>7.5300000000002</v>
      </c>
      <c r="W38" s="47">
        <f>IF(tblOrders[[#This Row],[Date closed]]="","",IF(tblOrders[[#This Row],[Std hours allowed]]="","",(tblOrders[[#This Row],[Labour hours]]-tblOrders[[#This Row],[Std hours allowed]])*tblOrders[[#This Row],[Std labour rate]]))</f>
        <v>-47.6000000000001</v>
      </c>
      <c r="X38" s="47">
        <f>IF(tblOrders[[#This Row],[Date closed]]="","",IF(tblOrders[[#This Row],[Std hours allowed]]="","",tblOrders[[#This Row],[Overhead charged]]-tblOrders[[#This Row],[Std hours allowed]]*tblOrders[[#This Row],[Std overhead rate]]))</f>
        <v>-119.7</v>
      </c>
      <c r="Y38" s="48">
        <f>IF(tblOrders[[#This Row],[Date closed]]="","",IF(tblOrders[[#This Row],[Standard cost]]="","",tblOrders[[#This Row],[Actual cost]]-tblOrders[[#This Row],[Standard cost]]))</f>
        <v>-137.24</v>
      </c>
      <c r="Z38" s="49">
        <f>IF(tblOrders[[#This Row],[Date closed]]="","",IF(N(tblOrders[[#This Row],[Standard cost]])=0,"",tblOrders[[#This Row],[Total variance]]/tblOrders[[#This Row],[Standard cost]]))</f>
        <v>-0.0259555555555555</v>
      </c>
      <c r="AA38" s="50" t="str">
        <f>IF(tblOrders[[#This Row],[Date closed]]="","",IF(tblOrders[[#This Row],[Variance of standard]]="","",IF(AND(ABS(tblOrders[[#This Row],[Total variance]])&gt;=AmtLimit,ABS(tblOrders[[#This Row],[Variance of standard]])&gt;=PctLimit),"Out of limits","Within limits")))</f>
        <v>Within limits</v>
      </c>
      <c r="AB3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8" s="52">
        <f>IF(tblOrders[[#This Row],[Date closed]]="","",IF(AND(tblOrders[[#This Row],[Date closed]]&gt;=FFrom,tblOrders[[#This Row],[Date closed]]&lt;=FTo,OR(DashProduct="",tblOrders[[#This Row],[Product]]=DashProduct)),tblOrders[[#This Row],[Date closed]],""))</f>
        <v>46217</v>
      </c>
      <c r="AD38" s="28" t="s">
        <v>126</v>
      </c>
    </row>
    <row r="39" spans="2:30">
      <c r="B39" s="41">
        <v>46220</v>
      </c>
      <c r="C39" s="28" t="s">
        <v>158</v>
      </c>
      <c r="D39" s="28" t="s">
        <v>91</v>
      </c>
      <c r="E39" s="30">
        <v>90</v>
      </c>
      <c r="F39" s="42">
        <v>1277.3</v>
      </c>
      <c r="G39" s="37">
        <v>1476.56</v>
      </c>
      <c r="H39" s="42">
        <v>116.4</v>
      </c>
      <c r="I39" s="37">
        <v>3471.61</v>
      </c>
      <c r="J39" s="37">
        <v>4772.4</v>
      </c>
      <c r="K39" s="43">
        <f>IF(tblOrders[[#This Row],[Date closed]]="","",IFERROR(INDEX(tblStandards[Std material qty],MATCH(tblOrders[[#This Row],[Product]],tblStandards[Product],0)),""))</f>
        <v>14</v>
      </c>
      <c r="L39" s="44">
        <f>IF(tblOrders[[#This Row],[Date closed]]="","",IFERROR(INDEX(tblStandards[Std material price],MATCH(tblOrders[[#This Row],[Product]],tblStandards[Product],0)),""))</f>
        <v>1.15</v>
      </c>
      <c r="M39" s="43">
        <f>IF(tblOrders[[#This Row],[Date closed]]="","",IFERROR(INDEX(tblStandards[Std labour hours],MATCH(tblOrders[[#This Row],[Product]],tblStandards[Product],0)),""))</f>
        <v>1.1</v>
      </c>
      <c r="N39" s="45">
        <f>IF(tblOrders[[#This Row],[Date closed]]="","",IFERROR(INDEX(tblStandards[Std labour rate],MATCH(tblOrders[[#This Row],[Product]],tblStandards[Product],0)),""))</f>
        <v>30</v>
      </c>
      <c r="O39" s="45">
        <f>IF(tblOrders[[#This Row],[Date closed]]="","",IFERROR(INDEX(tblStandards[Std overhead rate],MATCH(tblOrders[[#This Row],[Product]],tblStandards[Product],0)),""))</f>
        <v>42</v>
      </c>
      <c r="P39" s="46">
        <f>IF(tblOrders[[#This Row],[Date closed]]="","",IF(tblOrders[[#This Row],[Std material qty]]="","",tblOrders[[#This Row],[Good qty]]*tblOrders[[#This Row],[Std material qty]]))</f>
        <v>1260</v>
      </c>
      <c r="Q39" s="46">
        <f>IF(tblOrders[[#This Row],[Date closed]]="","",IF(tblOrders[[#This Row],[Std labour hours]]="","",tblOrders[[#This Row],[Good qty]]*tblOrders[[#This Row],[Std labour hours]]))</f>
        <v>99</v>
      </c>
      <c r="R39" s="47">
        <f>IF(tblOrders[[#This Row],[Date closed]]="","",IF(tblOrders[[#This Row],[Std qty allowed]]="","",tblOrders[[#This Row],[Std qty allowed]]*tblOrders[[#This Row],[Std material price]]+tblOrders[[#This Row],[Std hours allowed]]*(tblOrders[[#This Row],[Std labour rate]]+tblOrders[[#This Row],[Std overhead rate]])))</f>
        <v>8577</v>
      </c>
      <c r="S39" s="47">
        <f>IF(tblOrders[[#This Row],[Date closed]]="","",tblOrders[[#This Row],[Material cost]]+tblOrders[[#This Row],[Labour cost]]+tblOrders[[#This Row],[Overhead charged]])</f>
        <v>9720.57</v>
      </c>
      <c r="T39" s="47">
        <f>IF(tblOrders[[#This Row],[Date closed]]="","",IF(tblOrders[[#This Row],[Std material price]]="","",tblOrders[[#This Row],[Material cost]]-tblOrders[[#This Row],[Material used]]*tblOrders[[#This Row],[Std material price]]))</f>
        <v>7.66500000000019</v>
      </c>
      <c r="U39" s="47">
        <f>IF(tblOrders[[#This Row],[Date closed]]="","",IF(tblOrders[[#This Row],[Std qty allowed]]="","",(tblOrders[[#This Row],[Material used]]-tblOrders[[#This Row],[Std qty allowed]])*tblOrders[[#This Row],[Std material price]]))</f>
        <v>19.8949999999999</v>
      </c>
      <c r="V39" s="47">
        <f>IF(tblOrders[[#This Row],[Date closed]]="","",IF(tblOrders[[#This Row],[Std labour rate]]="","",tblOrders[[#This Row],[Labour cost]]-tblOrders[[#This Row],[Labour hours]]*tblOrders[[#This Row],[Std labour rate]]))</f>
        <v>-20.3899999999999</v>
      </c>
      <c r="W39" s="47">
        <f>IF(tblOrders[[#This Row],[Date closed]]="","",IF(tblOrders[[#This Row],[Std hours allowed]]="","",(tblOrders[[#This Row],[Labour hours]]-tblOrders[[#This Row],[Std hours allowed]])*tblOrders[[#This Row],[Std labour rate]]))</f>
        <v>522</v>
      </c>
      <c r="X39" s="47">
        <f>IF(tblOrders[[#This Row],[Date closed]]="","",IF(tblOrders[[#This Row],[Std hours allowed]]="","",tblOrders[[#This Row],[Overhead charged]]-tblOrders[[#This Row],[Std hours allowed]]*tblOrders[[#This Row],[Std overhead rate]]))</f>
        <v>614.399999999999</v>
      </c>
      <c r="Y39" s="48">
        <f>IF(tblOrders[[#This Row],[Date closed]]="","",IF(tblOrders[[#This Row],[Standard cost]]="","",tblOrders[[#This Row],[Actual cost]]-tblOrders[[#This Row],[Standard cost]]))</f>
        <v>1143.57</v>
      </c>
      <c r="Z39" s="49">
        <f>IF(tblOrders[[#This Row],[Date closed]]="","",IF(N(tblOrders[[#This Row],[Standard cost]])=0,"",tblOrders[[#This Row],[Total variance]]/tblOrders[[#This Row],[Standard cost]]))</f>
        <v>0.133329835606856</v>
      </c>
      <c r="AA39" s="50" t="str">
        <f>IF(tblOrders[[#This Row],[Date closed]]="","",IF(tblOrders[[#This Row],[Variance of standard]]="","",IF(AND(ABS(tblOrders[[#This Row],[Total variance]])&gt;=AmtLimit,ABS(tblOrders[[#This Row],[Variance of standard]])&gt;=PctLimit),"Out of limits","Within limits")))</f>
        <v>Out of limits</v>
      </c>
      <c r="AB3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39" s="52">
        <f>IF(tblOrders[[#This Row],[Date closed]]="","",IF(AND(tblOrders[[#This Row],[Date closed]]&gt;=FFrom,tblOrders[[#This Row],[Date closed]]&lt;=FTo,OR(DashProduct="",tblOrders[[#This Row],[Product]]=DashProduct)),tblOrders[[#This Row],[Date closed]],""))</f>
        <v>46220</v>
      </c>
      <c r="AD39" s="28" t="s">
        <v>159</v>
      </c>
    </row>
    <row r="40" spans="2:30">
      <c r="B40" s="41">
        <v>46224</v>
      </c>
      <c r="C40" s="28" t="s">
        <v>160</v>
      </c>
      <c r="D40" s="28" t="s">
        <v>93</v>
      </c>
      <c r="E40" s="30">
        <v>160</v>
      </c>
      <c r="F40" s="42">
        <v>1343.7</v>
      </c>
      <c r="G40" s="37">
        <v>1706.5</v>
      </c>
      <c r="H40" s="42">
        <v>99.40000000000001</v>
      </c>
      <c r="I40" s="37">
        <v>2821.21</v>
      </c>
      <c r="J40" s="37">
        <v>4075.4</v>
      </c>
      <c r="K40" s="43">
        <f>IF(tblOrders[[#This Row],[Date closed]]="","",IFERROR(INDEX(tblStandards[Std material qty],MATCH(tblOrders[[#This Row],[Product]],tblStandards[Product],0)),""))</f>
        <v>8.2</v>
      </c>
      <c r="L40" s="44">
        <f>IF(tblOrders[[#This Row],[Date closed]]="","",IFERROR(INDEX(tblStandards[Std material price],MATCH(tblOrders[[#This Row],[Product]],tblStandards[Product],0)),""))</f>
        <v>1.25</v>
      </c>
      <c r="M40" s="43">
        <f>IF(tblOrders[[#This Row],[Date closed]]="","",IFERROR(INDEX(tblStandards[Std labour hours],MATCH(tblOrders[[#This Row],[Product]],tblStandards[Product],0)),""))</f>
        <v>0.65</v>
      </c>
      <c r="N40" s="45">
        <f>IF(tblOrders[[#This Row],[Date closed]]="","",IFERROR(INDEX(tblStandards[Std labour rate],MATCH(tblOrders[[#This Row],[Product]],tblStandards[Product],0)),""))</f>
        <v>28</v>
      </c>
      <c r="O40" s="45">
        <f>IF(tblOrders[[#This Row],[Date closed]]="","",IFERROR(INDEX(tblStandards[Std overhead rate],MATCH(tblOrders[[#This Row],[Product]],tblStandards[Product],0)),""))</f>
        <v>42</v>
      </c>
      <c r="P40" s="46">
        <f>IF(tblOrders[[#This Row],[Date closed]]="","",IF(tblOrders[[#This Row],[Std material qty]]="","",tblOrders[[#This Row],[Good qty]]*tblOrders[[#This Row],[Std material qty]]))</f>
        <v>1312</v>
      </c>
      <c r="Q40" s="46">
        <f>IF(tblOrders[[#This Row],[Date closed]]="","",IF(tblOrders[[#This Row],[Std labour hours]]="","",tblOrders[[#This Row],[Good qty]]*tblOrders[[#This Row],[Std labour hours]]))</f>
        <v>104</v>
      </c>
      <c r="R40" s="47">
        <f>IF(tblOrders[[#This Row],[Date closed]]="","",IF(tblOrders[[#This Row],[Std qty allowed]]="","",tblOrders[[#This Row],[Std qty allowed]]*tblOrders[[#This Row],[Std material price]]+tblOrders[[#This Row],[Std hours allowed]]*(tblOrders[[#This Row],[Std labour rate]]+tblOrders[[#This Row],[Std overhead rate]])))</f>
        <v>8920</v>
      </c>
      <c r="S40" s="47">
        <f>IF(tblOrders[[#This Row],[Date closed]]="","",tblOrders[[#This Row],[Material cost]]+tblOrders[[#This Row],[Labour cost]]+tblOrders[[#This Row],[Overhead charged]])</f>
        <v>8603.11</v>
      </c>
      <c r="T40" s="47">
        <f>IF(tblOrders[[#This Row],[Date closed]]="","",IF(tblOrders[[#This Row],[Std material price]]="","",tblOrders[[#This Row],[Material cost]]-tblOrders[[#This Row],[Material used]]*tblOrders[[#This Row],[Std material price]]))</f>
        <v>26.875</v>
      </c>
      <c r="U40" s="47">
        <f>IF(tblOrders[[#This Row],[Date closed]]="","",IF(tblOrders[[#This Row],[Std qty allowed]]="","",(tblOrders[[#This Row],[Material used]]-tblOrders[[#This Row],[Std qty allowed]])*tblOrders[[#This Row],[Std material price]]))</f>
        <v>39.6250000000001</v>
      </c>
      <c r="V40" s="47">
        <f>IF(tblOrders[[#This Row],[Date closed]]="","",IF(tblOrders[[#This Row],[Std labour rate]]="","",tblOrders[[#This Row],[Labour cost]]-tblOrders[[#This Row],[Labour hours]]*tblOrders[[#This Row],[Std labour rate]]))</f>
        <v>38.0099999999998</v>
      </c>
      <c r="W40" s="47">
        <f>IF(tblOrders[[#This Row],[Date closed]]="","",IF(tblOrders[[#This Row],[Std hours allowed]]="","",(tblOrders[[#This Row],[Labour hours]]-tblOrders[[#This Row],[Std hours allowed]])*tblOrders[[#This Row],[Std labour rate]]))</f>
        <v>-128.8</v>
      </c>
      <c r="X40" s="47">
        <f>IF(tblOrders[[#This Row],[Date closed]]="","",IF(tblOrders[[#This Row],[Std hours allowed]]="","",tblOrders[[#This Row],[Overhead charged]]-tblOrders[[#This Row],[Std hours allowed]]*tblOrders[[#This Row],[Std overhead rate]]))</f>
        <v>-292.6</v>
      </c>
      <c r="Y40" s="48">
        <f>IF(tblOrders[[#This Row],[Date closed]]="","",IF(tblOrders[[#This Row],[Standard cost]]="","",tblOrders[[#This Row],[Actual cost]]-tblOrders[[#This Row],[Standard cost]]))</f>
        <v>-316.889999999999</v>
      </c>
      <c r="Z40" s="49">
        <f>IF(tblOrders[[#This Row],[Date closed]]="","",IF(N(tblOrders[[#This Row],[Standard cost]])=0,"",tblOrders[[#This Row],[Total variance]]/tblOrders[[#This Row],[Standard cost]]))</f>
        <v>-0.0355257847533632</v>
      </c>
      <c r="AA40" s="50" t="str">
        <f>IF(tblOrders[[#This Row],[Date closed]]="","",IF(tblOrders[[#This Row],[Variance of standard]]="","",IF(AND(ABS(tblOrders[[#This Row],[Total variance]])&gt;=AmtLimit,ABS(tblOrders[[#This Row],[Variance of standard]])&gt;=PctLimit),"Out of limits","Within limits")))</f>
        <v>Within limits</v>
      </c>
      <c r="AB4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0" s="52">
        <f>IF(tblOrders[[#This Row],[Date closed]]="","",IF(AND(tblOrders[[#This Row],[Date closed]]&gt;=FFrom,tblOrders[[#This Row],[Date closed]]&lt;=FTo,OR(DashProduct="",tblOrders[[#This Row],[Product]]=DashProduct)),tblOrders[[#This Row],[Date closed]],""))</f>
        <v>46224</v>
      </c>
      <c r="AD40" s="28" t="s">
        <v>126</v>
      </c>
    </row>
    <row r="41" spans="2:30">
      <c r="B41" s="41">
        <v>46226</v>
      </c>
      <c r="C41" s="28" t="s">
        <v>161</v>
      </c>
      <c r="D41" s="28" t="s">
        <v>95</v>
      </c>
      <c r="E41" s="30">
        <v>120</v>
      </c>
      <c r="F41" s="42">
        <v>1528.7</v>
      </c>
      <c r="G41" s="37">
        <v>1936.86</v>
      </c>
      <c r="H41" s="42">
        <v>176.1</v>
      </c>
      <c r="I41" s="37">
        <v>4901.13</v>
      </c>
      <c r="J41" s="37">
        <v>7220.1</v>
      </c>
      <c r="K41" s="43">
        <f>IF(tblOrders[[#This Row],[Date closed]]="","",IFERROR(INDEX(tblStandards[Std material qty],MATCH(tblOrders[[#This Row],[Product]],tblStandards[Product],0)),""))</f>
        <v>11.5</v>
      </c>
      <c r="L41" s="44">
        <f>IF(tblOrders[[#This Row],[Date closed]]="","",IFERROR(INDEX(tblStandards[Std material price],MATCH(tblOrders[[#This Row],[Product]],tblStandards[Product],0)),""))</f>
        <v>1.25</v>
      </c>
      <c r="M41" s="43">
        <f>IF(tblOrders[[#This Row],[Date closed]]="","",IFERROR(INDEX(tblStandards[Std labour hours],MATCH(tblOrders[[#This Row],[Product]],tblStandards[Product],0)),""))</f>
        <v>1.4</v>
      </c>
      <c r="N41" s="45">
        <f>IF(tblOrders[[#This Row],[Date closed]]="","",IFERROR(INDEX(tblStandards[Std labour rate],MATCH(tblOrders[[#This Row],[Product]],tblStandards[Product],0)),""))</f>
        <v>28</v>
      </c>
      <c r="O41" s="45">
        <f>IF(tblOrders[[#This Row],[Date closed]]="","",IFERROR(INDEX(tblStandards[Std overhead rate],MATCH(tblOrders[[#This Row],[Product]],tblStandards[Product],0)),""))</f>
        <v>42</v>
      </c>
      <c r="P41" s="46">
        <f>IF(tblOrders[[#This Row],[Date closed]]="","",IF(tblOrders[[#This Row],[Std material qty]]="","",tblOrders[[#This Row],[Good qty]]*tblOrders[[#This Row],[Std material qty]]))</f>
        <v>1380</v>
      </c>
      <c r="Q41" s="46">
        <f>IF(tblOrders[[#This Row],[Date closed]]="","",IF(tblOrders[[#This Row],[Std labour hours]]="","",tblOrders[[#This Row],[Good qty]]*tblOrders[[#This Row],[Std labour hours]]))</f>
        <v>168</v>
      </c>
      <c r="R41" s="47">
        <f>IF(tblOrders[[#This Row],[Date closed]]="","",IF(tblOrders[[#This Row],[Std qty allowed]]="","",tblOrders[[#This Row],[Std qty allowed]]*tblOrders[[#This Row],[Std material price]]+tblOrders[[#This Row],[Std hours allowed]]*(tblOrders[[#This Row],[Std labour rate]]+tblOrders[[#This Row],[Std overhead rate]])))</f>
        <v>13485</v>
      </c>
      <c r="S41" s="47">
        <f>IF(tblOrders[[#This Row],[Date closed]]="","",tblOrders[[#This Row],[Material cost]]+tblOrders[[#This Row],[Labour cost]]+tblOrders[[#This Row],[Overhead charged]])</f>
        <v>14058.09</v>
      </c>
      <c r="T41" s="47">
        <f>IF(tblOrders[[#This Row],[Date closed]]="","",IF(tblOrders[[#This Row],[Std material price]]="","",tblOrders[[#This Row],[Material cost]]-tblOrders[[#This Row],[Material used]]*tblOrders[[#This Row],[Std material price]]))</f>
        <v>25.9849999999999</v>
      </c>
      <c r="U41" s="47">
        <f>IF(tblOrders[[#This Row],[Date closed]]="","",IF(tblOrders[[#This Row],[Std qty allowed]]="","",(tblOrders[[#This Row],[Material used]]-tblOrders[[#This Row],[Std qty allowed]])*tblOrders[[#This Row],[Std material price]]))</f>
        <v>185.875</v>
      </c>
      <c r="V41" s="47">
        <f>IF(tblOrders[[#This Row],[Date closed]]="","",IF(tblOrders[[#This Row],[Std labour rate]]="","",tblOrders[[#This Row],[Labour cost]]-tblOrders[[#This Row],[Labour hours]]*tblOrders[[#This Row],[Std labour rate]]))</f>
        <v>-29.6700000000001</v>
      </c>
      <c r="W41" s="47">
        <f>IF(tblOrders[[#This Row],[Date closed]]="","",IF(tblOrders[[#This Row],[Std hours allowed]]="","",(tblOrders[[#This Row],[Labour hours]]-tblOrders[[#This Row],[Std hours allowed]])*tblOrders[[#This Row],[Std labour rate]]))</f>
        <v>226.8</v>
      </c>
      <c r="X41" s="47">
        <f>IF(tblOrders[[#This Row],[Date closed]]="","",IF(tblOrders[[#This Row],[Std hours allowed]]="","",tblOrders[[#This Row],[Overhead charged]]-tblOrders[[#This Row],[Std hours allowed]]*tblOrders[[#This Row],[Std overhead rate]]))</f>
        <v>164.1</v>
      </c>
      <c r="Y41" s="48">
        <f>IF(tblOrders[[#This Row],[Date closed]]="","",IF(tblOrders[[#This Row],[Standard cost]]="","",tblOrders[[#This Row],[Actual cost]]-tblOrders[[#This Row],[Standard cost]]))</f>
        <v>573.09</v>
      </c>
      <c r="Z41" s="49">
        <f>IF(tblOrders[[#This Row],[Date closed]]="","",IF(N(tblOrders[[#This Row],[Standard cost]])=0,"",tblOrders[[#This Row],[Total variance]]/tblOrders[[#This Row],[Standard cost]]))</f>
        <v>0.0424983314794216</v>
      </c>
      <c r="AA41" s="50" t="str">
        <f>IF(tblOrders[[#This Row],[Date closed]]="","",IF(tblOrders[[#This Row],[Variance of standard]]="","",IF(AND(ABS(tblOrders[[#This Row],[Total variance]])&gt;=AmtLimit,ABS(tblOrders[[#This Row],[Variance of standard]])&gt;=PctLimit),"Out of limits","Within limits")))</f>
        <v>Within limits</v>
      </c>
      <c r="AB4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1" s="52">
        <f>IF(tblOrders[[#This Row],[Date closed]]="","",IF(AND(tblOrders[[#This Row],[Date closed]]&gt;=FFrom,tblOrders[[#This Row],[Date closed]]&lt;=FTo,OR(DashProduct="",tblOrders[[#This Row],[Product]]=DashProduct)),tblOrders[[#This Row],[Date closed]],""))</f>
        <v>46226</v>
      </c>
      <c r="AD41" s="28" t="s">
        <v>126</v>
      </c>
    </row>
    <row r="42" spans="2:30">
      <c r="B42" s="41">
        <v>46230</v>
      </c>
      <c r="C42" s="28" t="s">
        <v>162</v>
      </c>
      <c r="D42" s="28" t="s">
        <v>97</v>
      </c>
      <c r="E42" s="30">
        <v>30</v>
      </c>
      <c r="F42" s="42">
        <v>963.2</v>
      </c>
      <c r="G42" s="37">
        <v>1070.12</v>
      </c>
      <c r="H42" s="42">
        <v>69.2</v>
      </c>
      <c r="I42" s="37">
        <v>2124.54</v>
      </c>
      <c r="J42" s="37">
        <v>2837.2</v>
      </c>
      <c r="K42" s="43">
        <f>IF(tblOrders[[#This Row],[Date closed]]="","",IFERROR(INDEX(tblStandards[Std material qty],MATCH(tblOrders[[#This Row],[Product]],tblStandards[Product],0)),""))</f>
        <v>32</v>
      </c>
      <c r="L42" s="44">
        <f>IF(tblOrders[[#This Row],[Date closed]]="","",IFERROR(INDEX(tblStandards[Std material price],MATCH(tblOrders[[#This Row],[Product]],tblStandards[Product],0)),""))</f>
        <v>1.1</v>
      </c>
      <c r="M42" s="43">
        <f>IF(tblOrders[[#This Row],[Date closed]]="","",IFERROR(INDEX(tblStandards[Std labour hours],MATCH(tblOrders[[#This Row],[Product]],tblStandards[Product],0)),""))</f>
        <v>2.2</v>
      </c>
      <c r="N42" s="45">
        <f>IF(tblOrders[[#This Row],[Date closed]]="","",IFERROR(INDEX(tblStandards[Std labour rate],MATCH(tblOrders[[#This Row],[Product]],tblStandards[Product],0)),""))</f>
        <v>30</v>
      </c>
      <c r="O42" s="45">
        <f>IF(tblOrders[[#This Row],[Date closed]]="","",IFERROR(INDEX(tblStandards[Std overhead rate],MATCH(tblOrders[[#This Row],[Product]],tblStandards[Product],0)),""))</f>
        <v>42</v>
      </c>
      <c r="P42" s="46">
        <f>IF(tblOrders[[#This Row],[Date closed]]="","",IF(tblOrders[[#This Row],[Std material qty]]="","",tblOrders[[#This Row],[Good qty]]*tblOrders[[#This Row],[Std material qty]]))</f>
        <v>960</v>
      </c>
      <c r="Q42" s="46">
        <f>IF(tblOrders[[#This Row],[Date closed]]="","",IF(tblOrders[[#This Row],[Std labour hours]]="","",tblOrders[[#This Row],[Good qty]]*tblOrders[[#This Row],[Std labour hours]]))</f>
        <v>66</v>
      </c>
      <c r="R42" s="47">
        <f>IF(tblOrders[[#This Row],[Date closed]]="","",IF(tblOrders[[#This Row],[Std qty allowed]]="","",tblOrders[[#This Row],[Std qty allowed]]*tblOrders[[#This Row],[Std material price]]+tblOrders[[#This Row],[Std hours allowed]]*(tblOrders[[#This Row],[Std labour rate]]+tblOrders[[#This Row],[Std overhead rate]])))</f>
        <v>5808</v>
      </c>
      <c r="S42" s="47">
        <f>IF(tblOrders[[#This Row],[Date closed]]="","",tblOrders[[#This Row],[Material cost]]+tblOrders[[#This Row],[Labour cost]]+tblOrders[[#This Row],[Overhead charged]])</f>
        <v>6031.86</v>
      </c>
      <c r="T42" s="47">
        <f>IF(tblOrders[[#This Row],[Date closed]]="","",IF(tblOrders[[#This Row],[Std material price]]="","",tblOrders[[#This Row],[Material cost]]-tblOrders[[#This Row],[Material used]]*tblOrders[[#This Row],[Std material price]]))</f>
        <v>10.5999999999997</v>
      </c>
      <c r="U42" s="47">
        <f>IF(tblOrders[[#This Row],[Date closed]]="","",IF(tblOrders[[#This Row],[Std qty allowed]]="","",(tblOrders[[#This Row],[Material used]]-tblOrders[[#This Row],[Std qty allowed]])*tblOrders[[#This Row],[Std material price]]))</f>
        <v>3.52000000000005</v>
      </c>
      <c r="V42" s="47">
        <f>IF(tblOrders[[#This Row],[Date closed]]="","",IF(tblOrders[[#This Row],[Std labour rate]]="","",tblOrders[[#This Row],[Labour cost]]-tblOrders[[#This Row],[Labour hours]]*tblOrders[[#This Row],[Std labour rate]]))</f>
        <v>48.54</v>
      </c>
      <c r="W42" s="47">
        <f>IF(tblOrders[[#This Row],[Date closed]]="","",IF(tblOrders[[#This Row],[Std hours allowed]]="","",(tblOrders[[#This Row],[Labour hours]]-tblOrders[[#This Row],[Std hours allowed]])*tblOrders[[#This Row],[Std labour rate]]))</f>
        <v>96.0000000000001</v>
      </c>
      <c r="X42" s="47">
        <f>IF(tblOrders[[#This Row],[Date closed]]="","",IF(tblOrders[[#This Row],[Std hours allowed]]="","",tblOrders[[#This Row],[Overhead charged]]-tblOrders[[#This Row],[Std hours allowed]]*tblOrders[[#This Row],[Std overhead rate]]))</f>
        <v>65.1999999999998</v>
      </c>
      <c r="Y42" s="48">
        <f>IF(tblOrders[[#This Row],[Date closed]]="","",IF(tblOrders[[#This Row],[Standard cost]]="","",tblOrders[[#This Row],[Actual cost]]-tblOrders[[#This Row],[Standard cost]]))</f>
        <v>223.86</v>
      </c>
      <c r="Z42" s="49">
        <f>IF(tblOrders[[#This Row],[Date closed]]="","",IF(N(tblOrders[[#This Row],[Standard cost]])=0,"",tblOrders[[#This Row],[Total variance]]/tblOrders[[#This Row],[Standard cost]]))</f>
        <v>0.038543388429752</v>
      </c>
      <c r="AA42" s="50" t="str">
        <f>IF(tblOrders[[#This Row],[Date closed]]="","",IF(tblOrders[[#This Row],[Variance of standard]]="","",IF(AND(ABS(tblOrders[[#This Row],[Total variance]])&gt;=AmtLimit,ABS(tblOrders[[#This Row],[Variance of standard]])&gt;=PctLimit),"Out of limits","Within limits")))</f>
        <v>Within limits</v>
      </c>
      <c r="AB4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2" s="52">
        <f>IF(tblOrders[[#This Row],[Date closed]]="","",IF(AND(tblOrders[[#This Row],[Date closed]]&gt;=FFrom,tblOrders[[#This Row],[Date closed]]&lt;=FTo,OR(DashProduct="",tblOrders[[#This Row],[Product]]=DashProduct)),tblOrders[[#This Row],[Date closed]],""))</f>
        <v>46230</v>
      </c>
      <c r="AD42" s="28" t="s">
        <v>126</v>
      </c>
    </row>
    <row r="43" spans="2:30">
      <c r="B43" s="41">
        <v>46232</v>
      </c>
      <c r="C43" s="28" t="s">
        <v>163</v>
      </c>
      <c r="D43" s="28" t="s">
        <v>86</v>
      </c>
      <c r="E43" s="30">
        <v>390</v>
      </c>
      <c r="F43" s="42">
        <v>716.7</v>
      </c>
      <c r="G43" s="37">
        <v>780.49</v>
      </c>
      <c r="H43" s="42">
        <v>44.6</v>
      </c>
      <c r="I43" s="37">
        <v>1272.38</v>
      </c>
      <c r="J43" s="37">
        <v>1828.6</v>
      </c>
      <c r="K43" s="43">
        <f>IF(tblOrders[[#This Row],[Date closed]]="","",IFERROR(INDEX(tblStandards[Std material qty],MATCH(tblOrders[[#This Row],[Product]],tblStandards[Product],0)),""))</f>
        <v>1.8</v>
      </c>
      <c r="L43" s="44">
        <f>IF(tblOrders[[#This Row],[Date closed]]="","",IFERROR(INDEX(tblStandards[Std material price],MATCH(tblOrders[[#This Row],[Product]],tblStandards[Product],0)),""))</f>
        <v>1.1</v>
      </c>
      <c r="M43" s="43">
        <f>IF(tblOrders[[#This Row],[Date closed]]="","",IFERROR(INDEX(tblStandards[Std labour hours],MATCH(tblOrders[[#This Row],[Product]],tblStandards[Product],0)),""))</f>
        <v>0.12</v>
      </c>
      <c r="N43" s="45">
        <f>IF(tblOrders[[#This Row],[Date closed]]="","",IFERROR(INDEX(tblStandards[Std labour rate],MATCH(tblOrders[[#This Row],[Product]],tblStandards[Product],0)),""))</f>
        <v>28</v>
      </c>
      <c r="O43" s="45">
        <f>IF(tblOrders[[#This Row],[Date closed]]="","",IFERROR(INDEX(tblStandards[Std overhead rate],MATCH(tblOrders[[#This Row],[Product]],tblStandards[Product],0)),""))</f>
        <v>42</v>
      </c>
      <c r="P43" s="46">
        <f>IF(tblOrders[[#This Row],[Date closed]]="","",IF(tblOrders[[#This Row],[Std material qty]]="","",tblOrders[[#This Row],[Good qty]]*tblOrders[[#This Row],[Std material qty]]))</f>
        <v>702</v>
      </c>
      <c r="Q43" s="46">
        <f>IF(tblOrders[[#This Row],[Date closed]]="","",IF(tblOrders[[#This Row],[Std labour hours]]="","",tblOrders[[#This Row],[Good qty]]*tblOrders[[#This Row],[Std labour hours]]))</f>
        <v>46.8</v>
      </c>
      <c r="R43" s="47">
        <f>IF(tblOrders[[#This Row],[Date closed]]="","",IF(tblOrders[[#This Row],[Std qty allowed]]="","",tblOrders[[#This Row],[Std qty allowed]]*tblOrders[[#This Row],[Std material price]]+tblOrders[[#This Row],[Std hours allowed]]*(tblOrders[[#This Row],[Std labour rate]]+tblOrders[[#This Row],[Std overhead rate]])))</f>
        <v>4048.2</v>
      </c>
      <c r="S43" s="47">
        <f>IF(tblOrders[[#This Row],[Date closed]]="","",tblOrders[[#This Row],[Material cost]]+tblOrders[[#This Row],[Labour cost]]+tblOrders[[#This Row],[Overhead charged]])</f>
        <v>3881.47</v>
      </c>
      <c r="T43" s="47">
        <f>IF(tblOrders[[#This Row],[Date closed]]="","",IF(tblOrders[[#This Row],[Std material price]]="","",tblOrders[[#This Row],[Material cost]]-tblOrders[[#This Row],[Material used]]*tblOrders[[#This Row],[Std material price]]))</f>
        <v>-7.88000000000011</v>
      </c>
      <c r="U43" s="47">
        <f>IF(tblOrders[[#This Row],[Date closed]]="","",IF(tblOrders[[#This Row],[Std qty allowed]]="","",(tblOrders[[#This Row],[Material used]]-tblOrders[[#This Row],[Std qty allowed]])*tblOrders[[#This Row],[Std material price]]))</f>
        <v>16.1700000000001</v>
      </c>
      <c r="V43" s="47">
        <f>IF(tblOrders[[#This Row],[Date closed]]="","",IF(tblOrders[[#This Row],[Std labour rate]]="","",tblOrders[[#This Row],[Labour cost]]-tblOrders[[#This Row],[Labour hours]]*tblOrders[[#This Row],[Std labour rate]]))</f>
        <v>23.5800000000002</v>
      </c>
      <c r="W43" s="47">
        <f>IF(tblOrders[[#This Row],[Date closed]]="","",IF(tblOrders[[#This Row],[Std hours allowed]]="","",(tblOrders[[#This Row],[Labour hours]]-tblOrders[[#This Row],[Std hours allowed]])*tblOrders[[#This Row],[Std labour rate]]))</f>
        <v>-61.5999999999999</v>
      </c>
      <c r="X43" s="47">
        <f>IF(tblOrders[[#This Row],[Date closed]]="","",IF(tblOrders[[#This Row],[Std hours allowed]]="","",tblOrders[[#This Row],[Overhead charged]]-tblOrders[[#This Row],[Std hours allowed]]*tblOrders[[#This Row],[Std overhead rate]]))</f>
        <v>-137</v>
      </c>
      <c r="Y43" s="48">
        <f>IF(tblOrders[[#This Row],[Date closed]]="","",IF(tblOrders[[#This Row],[Standard cost]]="","",tblOrders[[#This Row],[Actual cost]]-tblOrders[[#This Row],[Standard cost]]))</f>
        <v>-166.73</v>
      </c>
      <c r="Z43" s="49">
        <f>IF(tblOrders[[#This Row],[Date closed]]="","",IF(N(tblOrders[[#This Row],[Standard cost]])=0,"",tblOrders[[#This Row],[Total variance]]/tblOrders[[#This Row],[Standard cost]]))</f>
        <v>-0.041186206215108</v>
      </c>
      <c r="AA43" s="50" t="str">
        <f>IF(tblOrders[[#This Row],[Date closed]]="","",IF(tblOrders[[#This Row],[Variance of standard]]="","",IF(AND(ABS(tblOrders[[#This Row],[Total variance]])&gt;=AmtLimit,ABS(tblOrders[[#This Row],[Variance of standard]])&gt;=PctLimit),"Out of limits","Within limits")))</f>
        <v>Within limits</v>
      </c>
      <c r="AB4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3" s="52">
        <f>IF(tblOrders[[#This Row],[Date closed]]="","",IF(AND(tblOrders[[#This Row],[Date closed]]&gt;=FFrom,tblOrders[[#This Row],[Date closed]]&lt;=FTo,OR(DashProduct="",tblOrders[[#This Row],[Product]]=DashProduct)),tblOrders[[#This Row],[Date closed]],""))</f>
        <v>46232</v>
      </c>
      <c r="AD43" s="28" t="s">
        <v>126</v>
      </c>
    </row>
    <row r="44" spans="2:30">
      <c r="B44" s="41">
        <v>46233</v>
      </c>
      <c r="C44" s="28" t="s">
        <v>164</v>
      </c>
      <c r="D44" s="28" t="s">
        <v>89</v>
      </c>
      <c r="E44" s="30">
        <v>150</v>
      </c>
      <c r="F44" s="42">
        <v>972.1</v>
      </c>
      <c r="G44" s="37">
        <v>1068.34</v>
      </c>
      <c r="H44" s="42">
        <v>30.5</v>
      </c>
      <c r="I44" s="37">
        <v>847.1</v>
      </c>
      <c r="J44" s="37">
        <v>1250.5</v>
      </c>
      <c r="K44" s="43">
        <f>IF(tblOrders[[#This Row],[Date closed]]="","",IFERROR(INDEX(tblStandards[Std material qty],MATCH(tblOrders[[#This Row],[Product]],tblStandards[Product],0)),""))</f>
        <v>6.5</v>
      </c>
      <c r="L44" s="44">
        <f>IF(tblOrders[[#This Row],[Date closed]]="","",IFERROR(INDEX(tblStandards[Std material price],MATCH(tblOrders[[#This Row],[Product]],tblStandards[Product],0)),""))</f>
        <v>1.1</v>
      </c>
      <c r="M44" s="43">
        <f>IF(tblOrders[[#This Row],[Date closed]]="","",IFERROR(INDEX(tblStandards[Std labour hours],MATCH(tblOrders[[#This Row],[Product]],tblStandards[Product],0)),""))</f>
        <v>0.2</v>
      </c>
      <c r="N44" s="45">
        <f>IF(tblOrders[[#This Row],[Date closed]]="","",IFERROR(INDEX(tblStandards[Std labour rate],MATCH(tblOrders[[#This Row],[Product]],tblStandards[Product],0)),""))</f>
        <v>28</v>
      </c>
      <c r="O44" s="45">
        <f>IF(tblOrders[[#This Row],[Date closed]]="","",IFERROR(INDEX(tblStandards[Std overhead rate],MATCH(tblOrders[[#This Row],[Product]],tblStandards[Product],0)),""))</f>
        <v>42</v>
      </c>
      <c r="P44" s="46">
        <f>IF(tblOrders[[#This Row],[Date closed]]="","",IF(tblOrders[[#This Row],[Std material qty]]="","",tblOrders[[#This Row],[Good qty]]*tblOrders[[#This Row],[Std material qty]]))</f>
        <v>975</v>
      </c>
      <c r="Q44" s="46">
        <f>IF(tblOrders[[#This Row],[Date closed]]="","",IF(tblOrders[[#This Row],[Std labour hours]]="","",tblOrders[[#This Row],[Good qty]]*tblOrders[[#This Row],[Std labour hours]]))</f>
        <v>30</v>
      </c>
      <c r="R44" s="47">
        <f>IF(tblOrders[[#This Row],[Date closed]]="","",IF(tblOrders[[#This Row],[Std qty allowed]]="","",tblOrders[[#This Row],[Std qty allowed]]*tblOrders[[#This Row],[Std material price]]+tblOrders[[#This Row],[Std hours allowed]]*(tblOrders[[#This Row],[Std labour rate]]+tblOrders[[#This Row],[Std overhead rate]])))</f>
        <v>3172.5</v>
      </c>
      <c r="S44" s="47">
        <f>IF(tblOrders[[#This Row],[Date closed]]="","",tblOrders[[#This Row],[Material cost]]+tblOrders[[#This Row],[Labour cost]]+tblOrders[[#This Row],[Overhead charged]])</f>
        <v>3165.94</v>
      </c>
      <c r="T44" s="47">
        <f>IF(tblOrders[[#This Row],[Date closed]]="","",IF(tblOrders[[#This Row],[Std material price]]="","",tblOrders[[#This Row],[Material cost]]-tblOrders[[#This Row],[Material used]]*tblOrders[[#This Row],[Std material price]]))</f>
        <v>-0.970000000000255</v>
      </c>
      <c r="U44" s="47">
        <f>IF(tblOrders[[#This Row],[Date closed]]="","",IF(tblOrders[[#This Row],[Std qty allowed]]="","",(tblOrders[[#This Row],[Material used]]-tblOrders[[#This Row],[Std qty allowed]])*tblOrders[[#This Row],[Std material price]]))</f>
        <v>-3.18999999999998</v>
      </c>
      <c r="V44" s="47">
        <f>IF(tblOrders[[#This Row],[Date closed]]="","",IF(tblOrders[[#This Row],[Std labour rate]]="","",tblOrders[[#This Row],[Labour cost]]-tblOrders[[#This Row],[Labour hours]]*tblOrders[[#This Row],[Std labour rate]]))</f>
        <v>-6.89999999999998</v>
      </c>
      <c r="W44" s="47">
        <f>IF(tblOrders[[#This Row],[Date closed]]="","",IF(tblOrders[[#This Row],[Std hours allowed]]="","",(tblOrders[[#This Row],[Labour hours]]-tblOrders[[#This Row],[Std hours allowed]])*tblOrders[[#This Row],[Std labour rate]]))</f>
        <v>14</v>
      </c>
      <c r="X44" s="47">
        <f>IF(tblOrders[[#This Row],[Date closed]]="","",IF(tblOrders[[#This Row],[Std hours allowed]]="","",tblOrders[[#This Row],[Overhead charged]]-tblOrders[[#This Row],[Std hours allowed]]*tblOrders[[#This Row],[Std overhead rate]]))</f>
        <v>-9.5</v>
      </c>
      <c r="Y44" s="48">
        <f>IF(tblOrders[[#This Row],[Date closed]]="","",IF(tblOrders[[#This Row],[Standard cost]]="","",tblOrders[[#This Row],[Actual cost]]-tblOrders[[#This Row],[Standard cost]]))</f>
        <v>-6.55999999999995</v>
      </c>
      <c r="Z44" s="49">
        <f>IF(tblOrders[[#This Row],[Date closed]]="","",IF(N(tblOrders[[#This Row],[Standard cost]])=0,"",tblOrders[[#This Row],[Total variance]]/tblOrders[[#This Row],[Standard cost]]))</f>
        <v>-0.00206776989755711</v>
      </c>
      <c r="AA44" s="50" t="str">
        <f>IF(tblOrders[[#This Row],[Date closed]]="","",IF(tblOrders[[#This Row],[Variance of standard]]="","",IF(AND(ABS(tblOrders[[#This Row],[Total variance]])&gt;=AmtLimit,ABS(tblOrders[[#This Row],[Variance of standard]])&gt;=PctLimit),"Out of limits","Within limits")))</f>
        <v>Within limits</v>
      </c>
      <c r="AB4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4" s="52">
        <f>IF(tblOrders[[#This Row],[Date closed]]="","",IF(AND(tblOrders[[#This Row],[Date closed]]&gt;=FFrom,tblOrders[[#This Row],[Date closed]]&lt;=FTo,OR(DashProduct="",tblOrders[[#This Row],[Product]]=DashProduct)),tblOrders[[#This Row],[Date closed]],""))</f>
        <v>46233</v>
      </c>
      <c r="AD44" s="28" t="s">
        <v>126</v>
      </c>
    </row>
    <row r="45" spans="2:30">
      <c r="B45" s="41">
        <v>46239</v>
      </c>
      <c r="C45" s="28" t="s">
        <v>165</v>
      </c>
      <c r="D45" s="28" t="s">
        <v>91</v>
      </c>
      <c r="E45" s="30">
        <v>70</v>
      </c>
      <c r="F45" s="42">
        <v>1010.1</v>
      </c>
      <c r="G45" s="37">
        <v>1166.67</v>
      </c>
      <c r="H45" s="42">
        <v>75</v>
      </c>
      <c r="I45" s="37">
        <v>2271.61</v>
      </c>
      <c r="J45" s="37">
        <v>3262.5</v>
      </c>
      <c r="K45" s="43">
        <f>IF(tblOrders[[#This Row],[Date closed]]="","",IFERROR(INDEX(tblStandards[Std material qty],MATCH(tblOrders[[#This Row],[Product]],tblStandards[Product],0)),""))</f>
        <v>14</v>
      </c>
      <c r="L45" s="44">
        <f>IF(tblOrders[[#This Row],[Date closed]]="","",IFERROR(INDEX(tblStandards[Std material price],MATCH(tblOrders[[#This Row],[Product]],tblStandards[Product],0)),""))</f>
        <v>1.15</v>
      </c>
      <c r="M45" s="43">
        <f>IF(tblOrders[[#This Row],[Date closed]]="","",IFERROR(INDEX(tblStandards[Std labour hours],MATCH(tblOrders[[#This Row],[Product]],tblStandards[Product],0)),""))</f>
        <v>1.1</v>
      </c>
      <c r="N45" s="45">
        <f>IF(tblOrders[[#This Row],[Date closed]]="","",IFERROR(INDEX(tblStandards[Std labour rate],MATCH(tblOrders[[#This Row],[Product]],tblStandards[Product],0)),""))</f>
        <v>30</v>
      </c>
      <c r="O45" s="45">
        <f>IF(tblOrders[[#This Row],[Date closed]]="","",IFERROR(INDEX(tblStandards[Std overhead rate],MATCH(tblOrders[[#This Row],[Product]],tblStandards[Product],0)),""))</f>
        <v>42</v>
      </c>
      <c r="P45" s="46">
        <f>IF(tblOrders[[#This Row],[Date closed]]="","",IF(tblOrders[[#This Row],[Std material qty]]="","",tblOrders[[#This Row],[Good qty]]*tblOrders[[#This Row],[Std material qty]]))</f>
        <v>980</v>
      </c>
      <c r="Q45" s="46">
        <f>IF(tblOrders[[#This Row],[Date closed]]="","",IF(tblOrders[[#This Row],[Std labour hours]]="","",tblOrders[[#This Row],[Good qty]]*tblOrders[[#This Row],[Std labour hours]]))</f>
        <v>77</v>
      </c>
      <c r="R45" s="47">
        <f>IF(tblOrders[[#This Row],[Date closed]]="","",IF(tblOrders[[#This Row],[Std qty allowed]]="","",tblOrders[[#This Row],[Std qty allowed]]*tblOrders[[#This Row],[Std material price]]+tblOrders[[#This Row],[Std hours allowed]]*(tblOrders[[#This Row],[Std labour rate]]+tblOrders[[#This Row],[Std overhead rate]])))</f>
        <v>6671</v>
      </c>
      <c r="S45" s="47">
        <f>IF(tblOrders[[#This Row],[Date closed]]="","",tblOrders[[#This Row],[Material cost]]+tblOrders[[#This Row],[Labour cost]]+tblOrders[[#This Row],[Overhead charged]])</f>
        <v>6700.78</v>
      </c>
      <c r="T45" s="47">
        <f>IF(tblOrders[[#This Row],[Date closed]]="","",IF(tblOrders[[#This Row],[Std material price]]="","",tblOrders[[#This Row],[Material cost]]-tblOrders[[#This Row],[Material used]]*tblOrders[[#This Row],[Std material price]]))</f>
        <v>5.05500000000006</v>
      </c>
      <c r="U45" s="47">
        <f>IF(tblOrders[[#This Row],[Date closed]]="","",IF(tblOrders[[#This Row],[Std qty allowed]]="","",(tblOrders[[#This Row],[Material used]]-tblOrders[[#This Row],[Std qty allowed]])*tblOrders[[#This Row],[Std material price]]))</f>
        <v>34.615</v>
      </c>
      <c r="V45" s="47">
        <f>IF(tblOrders[[#This Row],[Date closed]]="","",IF(tblOrders[[#This Row],[Std labour rate]]="","",tblOrders[[#This Row],[Labour cost]]-tblOrders[[#This Row],[Labour hours]]*tblOrders[[#This Row],[Std labour rate]]))</f>
        <v>21.6100000000001</v>
      </c>
      <c r="W45" s="47">
        <f>IF(tblOrders[[#This Row],[Date closed]]="","",IF(tblOrders[[#This Row],[Std hours allowed]]="","",(tblOrders[[#This Row],[Labour hours]]-tblOrders[[#This Row],[Std hours allowed]])*tblOrders[[#This Row],[Std labour rate]]))</f>
        <v>-60</v>
      </c>
      <c r="X45" s="47">
        <f>IF(tblOrders[[#This Row],[Date closed]]="","",IF(tblOrders[[#This Row],[Std hours allowed]]="","",tblOrders[[#This Row],[Overhead charged]]-tblOrders[[#This Row],[Std hours allowed]]*tblOrders[[#This Row],[Std overhead rate]]))</f>
        <v>28.5</v>
      </c>
      <c r="Y45" s="48">
        <f>IF(tblOrders[[#This Row],[Date closed]]="","",IF(tblOrders[[#This Row],[Standard cost]]="","",tblOrders[[#This Row],[Actual cost]]-tblOrders[[#This Row],[Standard cost]]))</f>
        <v>29.7800000000007</v>
      </c>
      <c r="Z45" s="49">
        <f>IF(tblOrders[[#This Row],[Date closed]]="","",IF(N(tblOrders[[#This Row],[Standard cost]])=0,"",tblOrders[[#This Row],[Total variance]]/tblOrders[[#This Row],[Standard cost]]))</f>
        <v>0.00446409833608165</v>
      </c>
      <c r="AA45" s="50" t="str">
        <f>IF(tblOrders[[#This Row],[Date closed]]="","",IF(tblOrders[[#This Row],[Variance of standard]]="","",IF(AND(ABS(tblOrders[[#This Row],[Total variance]])&gt;=AmtLimit,ABS(tblOrders[[#This Row],[Variance of standard]])&gt;=PctLimit),"Out of limits","Within limits")))</f>
        <v>Within limits</v>
      </c>
      <c r="AB4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5" s="52">
        <f>IF(tblOrders[[#This Row],[Date closed]]="","",IF(AND(tblOrders[[#This Row],[Date closed]]&gt;=FFrom,tblOrders[[#This Row],[Date closed]]&lt;=FTo,OR(DashProduct="",tblOrders[[#This Row],[Product]]=DashProduct)),tblOrders[[#This Row],[Date closed]],""))</f>
        <v>46239</v>
      </c>
      <c r="AD45" s="28" t="s">
        <v>126</v>
      </c>
    </row>
    <row r="46" spans="2:30">
      <c r="B46" s="41">
        <v>46240</v>
      </c>
      <c r="C46" s="28" t="s">
        <v>166</v>
      </c>
      <c r="D46" s="28" t="s">
        <v>93</v>
      </c>
      <c r="E46" s="30">
        <v>70</v>
      </c>
      <c r="F46" s="42">
        <v>589</v>
      </c>
      <c r="G46" s="37">
        <v>746.26</v>
      </c>
      <c r="H46" s="42">
        <v>46.5</v>
      </c>
      <c r="I46" s="37">
        <v>1312.21</v>
      </c>
      <c r="J46" s="37">
        <v>2022.75</v>
      </c>
      <c r="K46" s="43">
        <f>IF(tblOrders[[#This Row],[Date closed]]="","",IFERROR(INDEX(tblStandards[Std material qty],MATCH(tblOrders[[#This Row],[Product]],tblStandards[Product],0)),""))</f>
        <v>8.2</v>
      </c>
      <c r="L46" s="44">
        <f>IF(tblOrders[[#This Row],[Date closed]]="","",IFERROR(INDEX(tblStandards[Std material price],MATCH(tblOrders[[#This Row],[Product]],tblStandards[Product],0)),""))</f>
        <v>1.25</v>
      </c>
      <c r="M46" s="43">
        <f>IF(tblOrders[[#This Row],[Date closed]]="","",IFERROR(INDEX(tblStandards[Std labour hours],MATCH(tblOrders[[#This Row],[Product]],tblStandards[Product],0)),""))</f>
        <v>0.65</v>
      </c>
      <c r="N46" s="45">
        <f>IF(tblOrders[[#This Row],[Date closed]]="","",IFERROR(INDEX(tblStandards[Std labour rate],MATCH(tblOrders[[#This Row],[Product]],tblStandards[Product],0)),""))</f>
        <v>28</v>
      </c>
      <c r="O46" s="45">
        <f>IF(tblOrders[[#This Row],[Date closed]]="","",IFERROR(INDEX(tblStandards[Std overhead rate],MATCH(tblOrders[[#This Row],[Product]],tblStandards[Product],0)),""))</f>
        <v>42</v>
      </c>
      <c r="P46" s="46">
        <f>IF(tblOrders[[#This Row],[Date closed]]="","",IF(tblOrders[[#This Row],[Std material qty]]="","",tblOrders[[#This Row],[Good qty]]*tblOrders[[#This Row],[Std material qty]]))</f>
        <v>574</v>
      </c>
      <c r="Q46" s="46">
        <f>IF(tblOrders[[#This Row],[Date closed]]="","",IF(tblOrders[[#This Row],[Std labour hours]]="","",tblOrders[[#This Row],[Good qty]]*tblOrders[[#This Row],[Std labour hours]]))</f>
        <v>45.5</v>
      </c>
      <c r="R46" s="47">
        <f>IF(tblOrders[[#This Row],[Date closed]]="","",IF(tblOrders[[#This Row],[Std qty allowed]]="","",tblOrders[[#This Row],[Std qty allowed]]*tblOrders[[#This Row],[Std material price]]+tblOrders[[#This Row],[Std hours allowed]]*(tblOrders[[#This Row],[Std labour rate]]+tblOrders[[#This Row],[Std overhead rate]])))</f>
        <v>3902.5</v>
      </c>
      <c r="S46" s="47">
        <f>IF(tblOrders[[#This Row],[Date closed]]="","",tblOrders[[#This Row],[Material cost]]+tblOrders[[#This Row],[Labour cost]]+tblOrders[[#This Row],[Overhead charged]])</f>
        <v>4081.22</v>
      </c>
      <c r="T46" s="47">
        <f>IF(tblOrders[[#This Row],[Date closed]]="","",IF(tblOrders[[#This Row],[Std material price]]="","",tblOrders[[#This Row],[Material cost]]-tblOrders[[#This Row],[Material used]]*tblOrders[[#This Row],[Std material price]]))</f>
        <v>10.01</v>
      </c>
      <c r="U46" s="47">
        <f>IF(tblOrders[[#This Row],[Date closed]]="","",IF(tblOrders[[#This Row],[Std qty allowed]]="","",(tblOrders[[#This Row],[Material used]]-tblOrders[[#This Row],[Std qty allowed]])*tblOrders[[#This Row],[Std material price]]))</f>
        <v>18.75</v>
      </c>
      <c r="V46" s="47">
        <f>IF(tblOrders[[#This Row],[Date closed]]="","",IF(tblOrders[[#This Row],[Std labour rate]]="","",tblOrders[[#This Row],[Labour cost]]-tblOrders[[#This Row],[Labour hours]]*tblOrders[[#This Row],[Std labour rate]]))</f>
        <v>10.21</v>
      </c>
      <c r="W46" s="47">
        <f>IF(tblOrders[[#This Row],[Date closed]]="","",IF(tblOrders[[#This Row],[Std hours allowed]]="","",(tblOrders[[#This Row],[Labour hours]]-tblOrders[[#This Row],[Std hours allowed]])*tblOrders[[#This Row],[Std labour rate]]))</f>
        <v>28</v>
      </c>
      <c r="X46" s="47">
        <f>IF(tblOrders[[#This Row],[Date closed]]="","",IF(tblOrders[[#This Row],[Std hours allowed]]="","",tblOrders[[#This Row],[Overhead charged]]-tblOrders[[#This Row],[Std hours allowed]]*tblOrders[[#This Row],[Std overhead rate]]))</f>
        <v>111.75</v>
      </c>
      <c r="Y46" s="48">
        <f>IF(tblOrders[[#This Row],[Date closed]]="","",IF(tblOrders[[#This Row],[Standard cost]]="","",tblOrders[[#This Row],[Actual cost]]-tblOrders[[#This Row],[Standard cost]]))</f>
        <v>178.72</v>
      </c>
      <c r="Z46" s="49">
        <f>IF(tblOrders[[#This Row],[Date closed]]="","",IF(N(tblOrders[[#This Row],[Standard cost]])=0,"",tblOrders[[#This Row],[Total variance]]/tblOrders[[#This Row],[Standard cost]]))</f>
        <v>0.0457962844330558</v>
      </c>
      <c r="AA46" s="50" t="str">
        <f>IF(tblOrders[[#This Row],[Date closed]]="","",IF(tblOrders[[#This Row],[Variance of standard]]="","",IF(AND(ABS(tblOrders[[#This Row],[Total variance]])&gt;=AmtLimit,ABS(tblOrders[[#This Row],[Variance of standard]])&gt;=PctLimit),"Out of limits","Within limits")))</f>
        <v>Within limits</v>
      </c>
      <c r="AB4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6" s="52">
        <f>IF(tblOrders[[#This Row],[Date closed]]="","",IF(AND(tblOrders[[#This Row],[Date closed]]&gt;=FFrom,tblOrders[[#This Row],[Date closed]]&lt;=FTo,OR(DashProduct="",tblOrders[[#This Row],[Product]]=DashProduct)),tblOrders[[#This Row],[Date closed]],""))</f>
        <v>46240</v>
      </c>
      <c r="AD46" s="28" t="s">
        <v>126</v>
      </c>
    </row>
    <row r="47" spans="2:30">
      <c r="B47" s="41">
        <v>46241</v>
      </c>
      <c r="C47" s="28" t="s">
        <v>167</v>
      </c>
      <c r="D47" s="28" t="s">
        <v>95</v>
      </c>
      <c r="E47" s="30">
        <v>100</v>
      </c>
      <c r="F47" s="42">
        <v>1266.2</v>
      </c>
      <c r="G47" s="37">
        <v>1578.95</v>
      </c>
      <c r="H47" s="42">
        <v>136.4</v>
      </c>
      <c r="I47" s="37">
        <v>3828.72</v>
      </c>
      <c r="J47" s="37">
        <v>5933.4</v>
      </c>
      <c r="K47" s="43">
        <f>IF(tblOrders[[#This Row],[Date closed]]="","",IFERROR(INDEX(tblStandards[Std material qty],MATCH(tblOrders[[#This Row],[Product]],tblStandards[Product],0)),""))</f>
        <v>11.5</v>
      </c>
      <c r="L47" s="44">
        <f>IF(tblOrders[[#This Row],[Date closed]]="","",IFERROR(INDEX(tblStandards[Std material price],MATCH(tblOrders[[#This Row],[Product]],tblStandards[Product],0)),""))</f>
        <v>1.25</v>
      </c>
      <c r="M47" s="43">
        <f>IF(tblOrders[[#This Row],[Date closed]]="","",IFERROR(INDEX(tblStandards[Std labour hours],MATCH(tblOrders[[#This Row],[Product]],tblStandards[Product],0)),""))</f>
        <v>1.4</v>
      </c>
      <c r="N47" s="45">
        <f>IF(tblOrders[[#This Row],[Date closed]]="","",IFERROR(INDEX(tblStandards[Std labour rate],MATCH(tblOrders[[#This Row],[Product]],tblStandards[Product],0)),""))</f>
        <v>28</v>
      </c>
      <c r="O47" s="45">
        <f>IF(tblOrders[[#This Row],[Date closed]]="","",IFERROR(INDEX(tblStandards[Std overhead rate],MATCH(tblOrders[[#This Row],[Product]],tblStandards[Product],0)),""))</f>
        <v>42</v>
      </c>
      <c r="P47" s="46">
        <f>IF(tblOrders[[#This Row],[Date closed]]="","",IF(tblOrders[[#This Row],[Std material qty]]="","",tblOrders[[#This Row],[Good qty]]*tblOrders[[#This Row],[Std material qty]]))</f>
        <v>1150</v>
      </c>
      <c r="Q47" s="46">
        <f>IF(tblOrders[[#This Row],[Date closed]]="","",IF(tblOrders[[#This Row],[Std labour hours]]="","",tblOrders[[#This Row],[Good qty]]*tblOrders[[#This Row],[Std labour hours]]))</f>
        <v>140</v>
      </c>
      <c r="R47" s="47">
        <f>IF(tblOrders[[#This Row],[Date closed]]="","",IF(tblOrders[[#This Row],[Std qty allowed]]="","",tblOrders[[#This Row],[Std qty allowed]]*tblOrders[[#This Row],[Std material price]]+tblOrders[[#This Row],[Std hours allowed]]*(tblOrders[[#This Row],[Std labour rate]]+tblOrders[[#This Row],[Std overhead rate]])))</f>
        <v>11237.5</v>
      </c>
      <c r="S47" s="47">
        <f>IF(tblOrders[[#This Row],[Date closed]]="","",tblOrders[[#This Row],[Material cost]]+tblOrders[[#This Row],[Labour cost]]+tblOrders[[#This Row],[Overhead charged]])</f>
        <v>11341.07</v>
      </c>
      <c r="T47" s="47">
        <f>IF(tblOrders[[#This Row],[Date closed]]="","",IF(tblOrders[[#This Row],[Std material price]]="","",tblOrders[[#This Row],[Material cost]]-tblOrders[[#This Row],[Material used]]*tblOrders[[#This Row],[Std material price]]))</f>
        <v>-3.79999999999995</v>
      </c>
      <c r="U47" s="47">
        <f>IF(tblOrders[[#This Row],[Date closed]]="","",IF(tblOrders[[#This Row],[Std qty allowed]]="","",(tblOrders[[#This Row],[Material used]]-tblOrders[[#This Row],[Std qty allowed]])*tblOrders[[#This Row],[Std material price]]))</f>
        <v>145.25</v>
      </c>
      <c r="V47" s="47">
        <f>IF(tblOrders[[#This Row],[Date closed]]="","",IF(tblOrders[[#This Row],[Std labour rate]]="","",tblOrders[[#This Row],[Labour cost]]-tblOrders[[#This Row],[Labour hours]]*tblOrders[[#This Row],[Std labour rate]]))</f>
        <v>9.51999999999953</v>
      </c>
      <c r="W47" s="47">
        <f>IF(tblOrders[[#This Row],[Date closed]]="","",IF(tblOrders[[#This Row],[Std hours allowed]]="","",(tblOrders[[#This Row],[Labour hours]]-tblOrders[[#This Row],[Std hours allowed]])*tblOrders[[#This Row],[Std labour rate]]))</f>
        <v>-100.8</v>
      </c>
      <c r="X47" s="47">
        <f>IF(tblOrders[[#This Row],[Date closed]]="","",IF(tblOrders[[#This Row],[Std hours allowed]]="","",tblOrders[[#This Row],[Overhead charged]]-tblOrders[[#This Row],[Std hours allowed]]*tblOrders[[#This Row],[Std overhead rate]]))</f>
        <v>53.3999999999996</v>
      </c>
      <c r="Y47" s="48">
        <f>IF(tblOrders[[#This Row],[Date closed]]="","",IF(tblOrders[[#This Row],[Standard cost]]="","",tblOrders[[#This Row],[Actual cost]]-tblOrders[[#This Row],[Standard cost]]))</f>
        <v>103.57</v>
      </c>
      <c r="Z47" s="49">
        <f>IF(tblOrders[[#This Row],[Date closed]]="","",IF(N(tblOrders[[#This Row],[Standard cost]])=0,"",tblOrders[[#This Row],[Total variance]]/tblOrders[[#This Row],[Standard cost]]))</f>
        <v>0.00921646273637372</v>
      </c>
      <c r="AA47" s="50" t="str">
        <f>IF(tblOrders[[#This Row],[Date closed]]="","",IF(tblOrders[[#This Row],[Variance of standard]]="","",IF(AND(ABS(tblOrders[[#This Row],[Total variance]])&gt;=AmtLimit,ABS(tblOrders[[#This Row],[Variance of standard]])&gt;=PctLimit),"Out of limits","Within limits")))</f>
        <v>Within limits</v>
      </c>
      <c r="AB4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7" s="52">
        <f>IF(tblOrders[[#This Row],[Date closed]]="","",IF(AND(tblOrders[[#This Row],[Date closed]]&gt;=FFrom,tblOrders[[#This Row],[Date closed]]&lt;=FTo,OR(DashProduct="",tblOrders[[#This Row],[Product]]=DashProduct)),tblOrders[[#This Row],[Date closed]],""))</f>
        <v>46241</v>
      </c>
      <c r="AD47" s="28" t="s">
        <v>126</v>
      </c>
    </row>
    <row r="48" spans="2:30">
      <c r="B48" s="41">
        <v>46244</v>
      </c>
      <c r="C48" s="28" t="s">
        <v>168</v>
      </c>
      <c r="D48" s="28" t="s">
        <v>97</v>
      </c>
      <c r="E48" s="30">
        <v>40</v>
      </c>
      <c r="F48" s="42">
        <v>1306.6</v>
      </c>
      <c r="G48" s="37">
        <v>1566.61</v>
      </c>
      <c r="H48" s="42">
        <v>92.09999999999999</v>
      </c>
      <c r="I48" s="37">
        <v>2836.33</v>
      </c>
      <c r="J48" s="37">
        <v>4006.35</v>
      </c>
      <c r="K48" s="43">
        <f>IF(tblOrders[[#This Row],[Date closed]]="","",IFERROR(INDEX(tblStandards[Std material qty],MATCH(tblOrders[[#This Row],[Product]],tblStandards[Product],0)),""))</f>
        <v>32</v>
      </c>
      <c r="L48" s="44">
        <f>IF(tblOrders[[#This Row],[Date closed]]="","",IFERROR(INDEX(tblStandards[Std material price],MATCH(tblOrders[[#This Row],[Product]],tblStandards[Product],0)),""))</f>
        <v>1.1</v>
      </c>
      <c r="M48" s="43">
        <f>IF(tblOrders[[#This Row],[Date closed]]="","",IFERROR(INDEX(tblStandards[Std labour hours],MATCH(tblOrders[[#This Row],[Product]],tblStandards[Product],0)),""))</f>
        <v>2.2</v>
      </c>
      <c r="N48" s="45">
        <f>IF(tblOrders[[#This Row],[Date closed]]="","",IFERROR(INDEX(tblStandards[Std labour rate],MATCH(tblOrders[[#This Row],[Product]],tblStandards[Product],0)),""))</f>
        <v>30</v>
      </c>
      <c r="O48" s="45">
        <f>IF(tblOrders[[#This Row],[Date closed]]="","",IFERROR(INDEX(tblStandards[Std overhead rate],MATCH(tblOrders[[#This Row],[Product]],tblStandards[Product],0)),""))</f>
        <v>42</v>
      </c>
      <c r="P48" s="46">
        <f>IF(tblOrders[[#This Row],[Date closed]]="","",IF(tblOrders[[#This Row],[Std material qty]]="","",tblOrders[[#This Row],[Good qty]]*tblOrders[[#This Row],[Std material qty]]))</f>
        <v>1280</v>
      </c>
      <c r="Q48" s="46">
        <f>IF(tblOrders[[#This Row],[Date closed]]="","",IF(tblOrders[[#This Row],[Std labour hours]]="","",tblOrders[[#This Row],[Good qty]]*tblOrders[[#This Row],[Std labour hours]]))</f>
        <v>88</v>
      </c>
      <c r="R48" s="47">
        <f>IF(tblOrders[[#This Row],[Date closed]]="","",IF(tblOrders[[#This Row],[Std qty allowed]]="","",tblOrders[[#This Row],[Std qty allowed]]*tblOrders[[#This Row],[Std material price]]+tblOrders[[#This Row],[Std hours allowed]]*(tblOrders[[#This Row],[Std labour rate]]+tblOrders[[#This Row],[Std overhead rate]])))</f>
        <v>7744</v>
      </c>
      <c r="S48" s="47">
        <f>IF(tblOrders[[#This Row],[Date closed]]="","",tblOrders[[#This Row],[Material cost]]+tblOrders[[#This Row],[Labour cost]]+tblOrders[[#This Row],[Overhead charged]])</f>
        <v>8409.29</v>
      </c>
      <c r="T48" s="47">
        <f>IF(tblOrders[[#This Row],[Date closed]]="","",IF(tblOrders[[#This Row],[Std material price]]="","",tblOrders[[#This Row],[Material cost]]-tblOrders[[#This Row],[Material used]]*tblOrders[[#This Row],[Std material price]]))</f>
        <v>129.35</v>
      </c>
      <c r="U48" s="47">
        <f>IF(tblOrders[[#This Row],[Date closed]]="","",IF(tblOrders[[#This Row],[Std qty allowed]]="","",(tblOrders[[#This Row],[Material used]]-tblOrders[[#This Row],[Std qty allowed]])*tblOrders[[#This Row],[Std material price]]))</f>
        <v>29.2599999999999</v>
      </c>
      <c r="V48" s="47">
        <f>IF(tblOrders[[#This Row],[Date closed]]="","",IF(tblOrders[[#This Row],[Std labour rate]]="","",tblOrders[[#This Row],[Labour cost]]-tblOrders[[#This Row],[Labour hours]]*tblOrders[[#This Row],[Std labour rate]]))</f>
        <v>73.3299999999999</v>
      </c>
      <c r="W48" s="47">
        <f>IF(tblOrders[[#This Row],[Date closed]]="","",IF(tblOrders[[#This Row],[Std hours allowed]]="","",(tblOrders[[#This Row],[Labour hours]]-tblOrders[[#This Row],[Std hours allowed]])*tblOrders[[#This Row],[Std labour rate]]))</f>
        <v>123</v>
      </c>
      <c r="X48" s="47">
        <f>IF(tblOrders[[#This Row],[Date closed]]="","",IF(tblOrders[[#This Row],[Std hours allowed]]="","",tblOrders[[#This Row],[Overhead charged]]-tblOrders[[#This Row],[Std hours allowed]]*tblOrders[[#This Row],[Std overhead rate]]))</f>
        <v>310.35</v>
      </c>
      <c r="Y48" s="48">
        <f>IF(tblOrders[[#This Row],[Date closed]]="","",IF(tblOrders[[#This Row],[Standard cost]]="","",tblOrders[[#This Row],[Actual cost]]-tblOrders[[#This Row],[Standard cost]]))</f>
        <v>665.289999999999</v>
      </c>
      <c r="Z48" s="49">
        <f>IF(tblOrders[[#This Row],[Date closed]]="","",IF(N(tblOrders[[#This Row],[Standard cost]])=0,"",tblOrders[[#This Row],[Total variance]]/tblOrders[[#This Row],[Standard cost]]))</f>
        <v>0.0859103822314048</v>
      </c>
      <c r="AA48" s="50" t="str">
        <f>IF(tblOrders[[#This Row],[Date closed]]="","",IF(tblOrders[[#This Row],[Variance of standard]]="","",IF(AND(ABS(tblOrders[[#This Row],[Total variance]])&gt;=AmtLimit,ABS(tblOrders[[#This Row],[Variance of standard]])&gt;=PctLimit),"Out of limits","Within limits")))</f>
        <v>Out of limits</v>
      </c>
      <c r="AB4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8" s="52">
        <f>IF(tblOrders[[#This Row],[Date closed]]="","",IF(AND(tblOrders[[#This Row],[Date closed]]&gt;=FFrom,tblOrders[[#This Row],[Date closed]]&lt;=FTo,OR(DashProduct="",tblOrders[[#This Row],[Product]]=DashProduct)),tblOrders[[#This Row],[Date closed]],""))</f>
        <v>46244</v>
      </c>
      <c r="AD48" s="28" t="s">
        <v>126</v>
      </c>
    </row>
    <row r="49" spans="2:30">
      <c r="B49" s="41">
        <v>46246</v>
      </c>
      <c r="C49" s="28" t="s">
        <v>169</v>
      </c>
      <c r="D49" s="28" t="s">
        <v>86</v>
      </c>
      <c r="E49" s="30">
        <v>710</v>
      </c>
      <c r="F49" s="42">
        <v>1307.3</v>
      </c>
      <c r="G49" s="37">
        <v>1523</v>
      </c>
      <c r="H49" s="42">
        <v>81.8</v>
      </c>
      <c r="I49" s="37">
        <v>2326.12</v>
      </c>
      <c r="J49" s="37">
        <v>3558.3</v>
      </c>
      <c r="K49" s="43">
        <f>IF(tblOrders[[#This Row],[Date closed]]="","",IFERROR(INDEX(tblStandards[Std material qty],MATCH(tblOrders[[#This Row],[Product]],tblStandards[Product],0)),""))</f>
        <v>1.8</v>
      </c>
      <c r="L49" s="44">
        <f>IF(tblOrders[[#This Row],[Date closed]]="","",IFERROR(INDEX(tblStandards[Std material price],MATCH(tblOrders[[#This Row],[Product]],tblStandards[Product],0)),""))</f>
        <v>1.1</v>
      </c>
      <c r="M49" s="43">
        <f>IF(tblOrders[[#This Row],[Date closed]]="","",IFERROR(INDEX(tblStandards[Std labour hours],MATCH(tblOrders[[#This Row],[Product]],tblStandards[Product],0)),""))</f>
        <v>0.12</v>
      </c>
      <c r="N49" s="45">
        <f>IF(tblOrders[[#This Row],[Date closed]]="","",IFERROR(INDEX(tblStandards[Std labour rate],MATCH(tblOrders[[#This Row],[Product]],tblStandards[Product],0)),""))</f>
        <v>28</v>
      </c>
      <c r="O49" s="45">
        <f>IF(tblOrders[[#This Row],[Date closed]]="","",IFERROR(INDEX(tblStandards[Std overhead rate],MATCH(tblOrders[[#This Row],[Product]],tblStandards[Product],0)),""))</f>
        <v>42</v>
      </c>
      <c r="P49" s="46">
        <f>IF(tblOrders[[#This Row],[Date closed]]="","",IF(tblOrders[[#This Row],[Std material qty]]="","",tblOrders[[#This Row],[Good qty]]*tblOrders[[#This Row],[Std material qty]]))</f>
        <v>1278</v>
      </c>
      <c r="Q49" s="46">
        <f>IF(tblOrders[[#This Row],[Date closed]]="","",IF(tblOrders[[#This Row],[Std labour hours]]="","",tblOrders[[#This Row],[Good qty]]*tblOrders[[#This Row],[Std labour hours]]))</f>
        <v>85.2</v>
      </c>
      <c r="R49" s="47">
        <f>IF(tblOrders[[#This Row],[Date closed]]="","",IF(tblOrders[[#This Row],[Std qty allowed]]="","",tblOrders[[#This Row],[Std qty allowed]]*tblOrders[[#This Row],[Std material price]]+tblOrders[[#This Row],[Std hours allowed]]*(tblOrders[[#This Row],[Std labour rate]]+tblOrders[[#This Row],[Std overhead rate]])))</f>
        <v>7369.8</v>
      </c>
      <c r="S49" s="47">
        <f>IF(tblOrders[[#This Row],[Date closed]]="","",tblOrders[[#This Row],[Material cost]]+tblOrders[[#This Row],[Labour cost]]+tblOrders[[#This Row],[Overhead charged]])</f>
        <v>7407.42</v>
      </c>
      <c r="T49" s="47">
        <f>IF(tblOrders[[#This Row],[Date closed]]="","",IF(tblOrders[[#This Row],[Std material price]]="","",tblOrders[[#This Row],[Material cost]]-tblOrders[[#This Row],[Material used]]*tblOrders[[#This Row],[Std material price]]))</f>
        <v>84.97</v>
      </c>
      <c r="U49" s="47">
        <f>IF(tblOrders[[#This Row],[Date closed]]="","",IF(tblOrders[[#This Row],[Std qty allowed]]="","",(tblOrders[[#This Row],[Material used]]-tblOrders[[#This Row],[Std qty allowed]])*tblOrders[[#This Row],[Std material price]]))</f>
        <v>32.23</v>
      </c>
      <c r="V49" s="47">
        <f>IF(tblOrders[[#This Row],[Date closed]]="","",IF(tblOrders[[#This Row],[Std labour rate]]="","",tblOrders[[#This Row],[Labour cost]]-tblOrders[[#This Row],[Labour hours]]*tblOrders[[#This Row],[Std labour rate]]))</f>
        <v>35.7199999999998</v>
      </c>
      <c r="W49" s="47">
        <f>IF(tblOrders[[#This Row],[Date closed]]="","",IF(tblOrders[[#This Row],[Std hours allowed]]="","",(tblOrders[[#This Row],[Labour hours]]-tblOrders[[#This Row],[Std hours allowed]])*tblOrders[[#This Row],[Std labour rate]]))</f>
        <v>-95.2000000000002</v>
      </c>
      <c r="X49" s="47">
        <f>IF(tblOrders[[#This Row],[Date closed]]="","",IF(tblOrders[[#This Row],[Std hours allowed]]="","",tblOrders[[#This Row],[Overhead charged]]-tblOrders[[#This Row],[Std hours allowed]]*tblOrders[[#This Row],[Std overhead rate]]))</f>
        <v>-20.0999999999999</v>
      </c>
      <c r="Y49" s="48">
        <f>IF(tblOrders[[#This Row],[Date closed]]="","",IF(tblOrders[[#This Row],[Standard cost]]="","",tblOrders[[#This Row],[Actual cost]]-tblOrders[[#This Row],[Standard cost]]))</f>
        <v>37.6199999999999</v>
      </c>
      <c r="Z49" s="49">
        <f>IF(tblOrders[[#This Row],[Date closed]]="","",IF(N(tblOrders[[#This Row],[Standard cost]])=0,"",tblOrders[[#This Row],[Total variance]]/tblOrders[[#This Row],[Standard cost]]))</f>
        <v>0.00510461613612308</v>
      </c>
      <c r="AA49" s="50" t="str">
        <f>IF(tblOrders[[#This Row],[Date closed]]="","",IF(tblOrders[[#This Row],[Variance of standard]]="","",IF(AND(ABS(tblOrders[[#This Row],[Total variance]])&gt;=AmtLimit,ABS(tblOrders[[#This Row],[Variance of standard]])&gt;=PctLimit),"Out of limits","Within limits")))</f>
        <v>Within limits</v>
      </c>
      <c r="AB4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49" s="52">
        <f>IF(tblOrders[[#This Row],[Date closed]]="","",IF(AND(tblOrders[[#This Row],[Date closed]]&gt;=FFrom,tblOrders[[#This Row],[Date closed]]&lt;=FTo,OR(DashProduct="",tblOrders[[#This Row],[Product]]=DashProduct)),tblOrders[[#This Row],[Date closed]],""))</f>
        <v>46246</v>
      </c>
      <c r="AD49" s="28" t="s">
        <v>126</v>
      </c>
    </row>
    <row r="50" spans="2:30">
      <c r="B50" s="41">
        <v>46251</v>
      </c>
      <c r="C50" s="28" t="s">
        <v>170</v>
      </c>
      <c r="D50" s="28" t="s">
        <v>89</v>
      </c>
      <c r="E50" s="30">
        <v>160</v>
      </c>
      <c r="F50" s="42">
        <v>1062.1</v>
      </c>
      <c r="G50" s="37">
        <v>1241.59</v>
      </c>
      <c r="H50" s="42">
        <v>31.7</v>
      </c>
      <c r="I50" s="37">
        <v>902.0599999999999</v>
      </c>
      <c r="J50" s="37">
        <v>1378.95</v>
      </c>
      <c r="K50" s="43">
        <f>IF(tblOrders[[#This Row],[Date closed]]="","",IFERROR(INDEX(tblStandards[Std material qty],MATCH(tblOrders[[#This Row],[Product]],tblStandards[Product],0)),""))</f>
        <v>6.5</v>
      </c>
      <c r="L50" s="44">
        <f>IF(tblOrders[[#This Row],[Date closed]]="","",IFERROR(INDEX(tblStandards[Std material price],MATCH(tblOrders[[#This Row],[Product]],tblStandards[Product],0)),""))</f>
        <v>1.1</v>
      </c>
      <c r="M50" s="43">
        <f>IF(tblOrders[[#This Row],[Date closed]]="","",IFERROR(INDEX(tblStandards[Std labour hours],MATCH(tblOrders[[#This Row],[Product]],tblStandards[Product],0)),""))</f>
        <v>0.2</v>
      </c>
      <c r="N50" s="45">
        <f>IF(tblOrders[[#This Row],[Date closed]]="","",IFERROR(INDEX(tblStandards[Std labour rate],MATCH(tblOrders[[#This Row],[Product]],tblStandards[Product],0)),""))</f>
        <v>28</v>
      </c>
      <c r="O50" s="45">
        <f>IF(tblOrders[[#This Row],[Date closed]]="","",IFERROR(INDEX(tblStandards[Std overhead rate],MATCH(tblOrders[[#This Row],[Product]],tblStandards[Product],0)),""))</f>
        <v>42</v>
      </c>
      <c r="P50" s="46">
        <f>IF(tblOrders[[#This Row],[Date closed]]="","",IF(tblOrders[[#This Row],[Std material qty]]="","",tblOrders[[#This Row],[Good qty]]*tblOrders[[#This Row],[Std material qty]]))</f>
        <v>1040</v>
      </c>
      <c r="Q50" s="46">
        <f>IF(tblOrders[[#This Row],[Date closed]]="","",IF(tblOrders[[#This Row],[Std labour hours]]="","",tblOrders[[#This Row],[Good qty]]*tblOrders[[#This Row],[Std labour hours]]))</f>
        <v>32</v>
      </c>
      <c r="R50" s="47">
        <f>IF(tblOrders[[#This Row],[Date closed]]="","",IF(tblOrders[[#This Row],[Std qty allowed]]="","",tblOrders[[#This Row],[Std qty allowed]]*tblOrders[[#This Row],[Std material price]]+tblOrders[[#This Row],[Std hours allowed]]*(tblOrders[[#This Row],[Std labour rate]]+tblOrders[[#This Row],[Std overhead rate]])))</f>
        <v>3384</v>
      </c>
      <c r="S50" s="47">
        <f>IF(tblOrders[[#This Row],[Date closed]]="","",tblOrders[[#This Row],[Material cost]]+tblOrders[[#This Row],[Labour cost]]+tblOrders[[#This Row],[Overhead charged]])</f>
        <v>3522.6</v>
      </c>
      <c r="T50" s="47">
        <f>IF(tblOrders[[#This Row],[Date closed]]="","",IF(tblOrders[[#This Row],[Std material price]]="","",tblOrders[[#This Row],[Material cost]]-tblOrders[[#This Row],[Material used]]*tblOrders[[#This Row],[Std material price]]))</f>
        <v>73.28</v>
      </c>
      <c r="U50" s="47">
        <f>IF(tblOrders[[#This Row],[Date closed]]="","",IF(tblOrders[[#This Row],[Std qty allowed]]="","",(tblOrders[[#This Row],[Material used]]-tblOrders[[#This Row],[Std qty allowed]])*tblOrders[[#This Row],[Std material price]]))</f>
        <v>24.3099999999999</v>
      </c>
      <c r="V50" s="47">
        <f>IF(tblOrders[[#This Row],[Date closed]]="","",IF(tblOrders[[#This Row],[Std labour rate]]="","",tblOrders[[#This Row],[Labour cost]]-tblOrders[[#This Row],[Labour hours]]*tblOrders[[#This Row],[Std labour rate]]))</f>
        <v>14.4599999999999</v>
      </c>
      <c r="W50" s="47">
        <f>IF(tblOrders[[#This Row],[Date closed]]="","",IF(tblOrders[[#This Row],[Std hours allowed]]="","",(tblOrders[[#This Row],[Labour hours]]-tblOrders[[#This Row],[Std hours allowed]])*tblOrders[[#This Row],[Std labour rate]]))</f>
        <v>-8.40000000000002</v>
      </c>
      <c r="X50" s="47">
        <f>IF(tblOrders[[#This Row],[Date closed]]="","",IF(tblOrders[[#This Row],[Std hours allowed]]="","",tblOrders[[#This Row],[Overhead charged]]-tblOrders[[#This Row],[Std hours allowed]]*tblOrders[[#This Row],[Std overhead rate]]))</f>
        <v>34.95</v>
      </c>
      <c r="Y50" s="48">
        <f>IF(tblOrders[[#This Row],[Date closed]]="","",IF(tblOrders[[#This Row],[Standard cost]]="","",tblOrders[[#This Row],[Actual cost]]-tblOrders[[#This Row],[Standard cost]]))</f>
        <v>138.599999999999</v>
      </c>
      <c r="Z50" s="49">
        <f>IF(tblOrders[[#This Row],[Date closed]]="","",IF(N(tblOrders[[#This Row],[Standard cost]])=0,"",tblOrders[[#This Row],[Total variance]]/tblOrders[[#This Row],[Standard cost]]))</f>
        <v>0.0409574468085105</v>
      </c>
      <c r="AA50" s="50" t="str">
        <f>IF(tblOrders[[#This Row],[Date closed]]="","",IF(tblOrders[[#This Row],[Variance of standard]]="","",IF(AND(ABS(tblOrders[[#This Row],[Total variance]])&gt;=AmtLimit,ABS(tblOrders[[#This Row],[Variance of standard]])&gt;=PctLimit),"Out of limits","Within limits")))</f>
        <v>Within limits</v>
      </c>
      <c r="AB5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0" s="52">
        <f>IF(tblOrders[[#This Row],[Date closed]]="","",IF(AND(tblOrders[[#This Row],[Date closed]]&gt;=FFrom,tblOrders[[#This Row],[Date closed]]&lt;=FTo,OR(DashProduct="",tblOrders[[#This Row],[Product]]=DashProduct)),tblOrders[[#This Row],[Date closed]],""))</f>
        <v>46251</v>
      </c>
      <c r="AD50" s="28" t="s">
        <v>126</v>
      </c>
    </row>
    <row r="51" spans="2:30">
      <c r="B51" s="41">
        <v>46255</v>
      </c>
      <c r="C51" s="28" t="s">
        <v>171</v>
      </c>
      <c r="D51" s="28" t="s">
        <v>91</v>
      </c>
      <c r="E51" s="30">
        <v>110</v>
      </c>
      <c r="F51" s="42">
        <v>1603.3</v>
      </c>
      <c r="G51" s="37">
        <v>1967.25</v>
      </c>
      <c r="H51" s="42">
        <v>126.3</v>
      </c>
      <c r="I51" s="37">
        <v>3813.12</v>
      </c>
      <c r="J51" s="37">
        <v>5494.05</v>
      </c>
      <c r="K51" s="43">
        <f>IF(tblOrders[[#This Row],[Date closed]]="","",IFERROR(INDEX(tblStandards[Std material qty],MATCH(tblOrders[[#This Row],[Product]],tblStandards[Product],0)),""))</f>
        <v>14</v>
      </c>
      <c r="L51" s="44">
        <f>IF(tblOrders[[#This Row],[Date closed]]="","",IFERROR(INDEX(tblStandards[Std material price],MATCH(tblOrders[[#This Row],[Product]],tblStandards[Product],0)),""))</f>
        <v>1.15</v>
      </c>
      <c r="M51" s="43">
        <f>IF(tblOrders[[#This Row],[Date closed]]="","",IFERROR(INDEX(tblStandards[Std labour hours],MATCH(tblOrders[[#This Row],[Product]],tblStandards[Product],0)),""))</f>
        <v>1.1</v>
      </c>
      <c r="N51" s="45">
        <f>IF(tblOrders[[#This Row],[Date closed]]="","",IFERROR(INDEX(tblStandards[Std labour rate],MATCH(tblOrders[[#This Row],[Product]],tblStandards[Product],0)),""))</f>
        <v>30</v>
      </c>
      <c r="O51" s="45">
        <f>IF(tblOrders[[#This Row],[Date closed]]="","",IFERROR(INDEX(tblStandards[Std overhead rate],MATCH(tblOrders[[#This Row],[Product]],tblStandards[Product],0)),""))</f>
        <v>42</v>
      </c>
      <c r="P51" s="46">
        <f>IF(tblOrders[[#This Row],[Date closed]]="","",IF(tblOrders[[#This Row],[Std material qty]]="","",tblOrders[[#This Row],[Good qty]]*tblOrders[[#This Row],[Std material qty]]))</f>
        <v>1540</v>
      </c>
      <c r="Q51" s="46">
        <f>IF(tblOrders[[#This Row],[Date closed]]="","",IF(tblOrders[[#This Row],[Std labour hours]]="","",tblOrders[[#This Row],[Good qty]]*tblOrders[[#This Row],[Std labour hours]]))</f>
        <v>121</v>
      </c>
      <c r="R51" s="47">
        <f>IF(tblOrders[[#This Row],[Date closed]]="","",IF(tblOrders[[#This Row],[Std qty allowed]]="","",tblOrders[[#This Row],[Std qty allowed]]*tblOrders[[#This Row],[Std material price]]+tblOrders[[#This Row],[Std hours allowed]]*(tblOrders[[#This Row],[Std labour rate]]+tblOrders[[#This Row],[Std overhead rate]])))</f>
        <v>10483</v>
      </c>
      <c r="S51" s="47">
        <f>IF(tblOrders[[#This Row],[Date closed]]="","",tblOrders[[#This Row],[Material cost]]+tblOrders[[#This Row],[Labour cost]]+tblOrders[[#This Row],[Overhead charged]])</f>
        <v>11274.42</v>
      </c>
      <c r="T51" s="47">
        <f>IF(tblOrders[[#This Row],[Date closed]]="","",IF(tblOrders[[#This Row],[Std material price]]="","",tblOrders[[#This Row],[Material cost]]-tblOrders[[#This Row],[Material used]]*tblOrders[[#This Row],[Std material price]]))</f>
        <v>123.455</v>
      </c>
      <c r="U51" s="47">
        <f>IF(tblOrders[[#This Row],[Date closed]]="","",IF(tblOrders[[#This Row],[Std qty allowed]]="","",(tblOrders[[#This Row],[Material used]]-tblOrders[[#This Row],[Std qty allowed]])*tblOrders[[#This Row],[Std material price]]))</f>
        <v>72.7949999999999</v>
      </c>
      <c r="V51" s="47">
        <f>IF(tblOrders[[#This Row],[Date closed]]="","",IF(tblOrders[[#This Row],[Std labour rate]]="","",tblOrders[[#This Row],[Labour cost]]-tblOrders[[#This Row],[Labour hours]]*tblOrders[[#This Row],[Std labour rate]]))</f>
        <v>24.1199999999999</v>
      </c>
      <c r="W51" s="47">
        <f>IF(tblOrders[[#This Row],[Date closed]]="","",IF(tblOrders[[#This Row],[Std hours allowed]]="","",(tblOrders[[#This Row],[Labour hours]]-tblOrders[[#This Row],[Std hours allowed]])*tblOrders[[#This Row],[Std labour rate]]))</f>
        <v>159</v>
      </c>
      <c r="X51" s="47">
        <f>IF(tblOrders[[#This Row],[Date closed]]="","",IF(tblOrders[[#This Row],[Std hours allowed]]="","",tblOrders[[#This Row],[Overhead charged]]-tblOrders[[#This Row],[Std hours allowed]]*tblOrders[[#This Row],[Std overhead rate]]))</f>
        <v>412.049999999999</v>
      </c>
      <c r="Y51" s="48">
        <f>IF(tblOrders[[#This Row],[Date closed]]="","",IF(tblOrders[[#This Row],[Standard cost]]="","",tblOrders[[#This Row],[Actual cost]]-tblOrders[[#This Row],[Standard cost]]))</f>
        <v>791.419999999998</v>
      </c>
      <c r="Z51" s="49">
        <f>IF(tblOrders[[#This Row],[Date closed]]="","",IF(N(tblOrders[[#This Row],[Standard cost]])=0,"",tblOrders[[#This Row],[Total variance]]/tblOrders[[#This Row],[Standard cost]]))</f>
        <v>0.0754955642468757</v>
      </c>
      <c r="AA51" s="50" t="str">
        <f>IF(tblOrders[[#This Row],[Date closed]]="","",IF(tblOrders[[#This Row],[Variance of standard]]="","",IF(AND(ABS(tblOrders[[#This Row],[Total variance]])&gt;=AmtLimit,ABS(tblOrders[[#This Row],[Variance of standard]])&gt;=PctLimit),"Out of limits","Within limits")))</f>
        <v>Out of limits</v>
      </c>
      <c r="AB5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1" s="52">
        <f>IF(tblOrders[[#This Row],[Date closed]]="","",IF(AND(tblOrders[[#This Row],[Date closed]]&gt;=FFrom,tblOrders[[#This Row],[Date closed]]&lt;=FTo,OR(DashProduct="",tblOrders[[#This Row],[Product]]=DashProduct)),tblOrders[[#This Row],[Date closed]],""))</f>
        <v>46255</v>
      </c>
      <c r="AD51" s="28" t="s">
        <v>126</v>
      </c>
    </row>
    <row r="52" spans="2:30">
      <c r="B52" s="41">
        <v>46261</v>
      </c>
      <c r="C52" s="28" t="s">
        <v>172</v>
      </c>
      <c r="D52" s="28" t="s">
        <v>93</v>
      </c>
      <c r="E52" s="30">
        <v>80</v>
      </c>
      <c r="F52" s="42">
        <v>661.8</v>
      </c>
      <c r="G52" s="37">
        <v>882.1799999999999</v>
      </c>
      <c r="H52" s="42">
        <v>51.7</v>
      </c>
      <c r="I52" s="37">
        <v>1470.72</v>
      </c>
      <c r="J52" s="37">
        <v>2248.95</v>
      </c>
      <c r="K52" s="43">
        <f>IF(tblOrders[[#This Row],[Date closed]]="","",IFERROR(INDEX(tblStandards[Std material qty],MATCH(tblOrders[[#This Row],[Product]],tblStandards[Product],0)),""))</f>
        <v>8.2</v>
      </c>
      <c r="L52" s="44">
        <f>IF(tblOrders[[#This Row],[Date closed]]="","",IFERROR(INDEX(tblStandards[Std material price],MATCH(tblOrders[[#This Row],[Product]],tblStandards[Product],0)),""))</f>
        <v>1.25</v>
      </c>
      <c r="M52" s="43">
        <f>IF(tblOrders[[#This Row],[Date closed]]="","",IFERROR(INDEX(tblStandards[Std labour hours],MATCH(tblOrders[[#This Row],[Product]],tblStandards[Product],0)),""))</f>
        <v>0.65</v>
      </c>
      <c r="N52" s="45">
        <f>IF(tblOrders[[#This Row],[Date closed]]="","",IFERROR(INDEX(tblStandards[Std labour rate],MATCH(tblOrders[[#This Row],[Product]],tblStandards[Product],0)),""))</f>
        <v>28</v>
      </c>
      <c r="O52" s="45">
        <f>IF(tblOrders[[#This Row],[Date closed]]="","",IFERROR(INDEX(tblStandards[Std overhead rate],MATCH(tblOrders[[#This Row],[Product]],tblStandards[Product],0)),""))</f>
        <v>42</v>
      </c>
      <c r="P52" s="46">
        <f>IF(tblOrders[[#This Row],[Date closed]]="","",IF(tblOrders[[#This Row],[Std material qty]]="","",tblOrders[[#This Row],[Good qty]]*tblOrders[[#This Row],[Std material qty]]))</f>
        <v>656</v>
      </c>
      <c r="Q52" s="46">
        <f>IF(tblOrders[[#This Row],[Date closed]]="","",IF(tblOrders[[#This Row],[Std labour hours]]="","",tblOrders[[#This Row],[Good qty]]*tblOrders[[#This Row],[Std labour hours]]))</f>
        <v>52</v>
      </c>
      <c r="R52" s="47">
        <f>IF(tblOrders[[#This Row],[Date closed]]="","",IF(tblOrders[[#This Row],[Std qty allowed]]="","",tblOrders[[#This Row],[Std qty allowed]]*tblOrders[[#This Row],[Std material price]]+tblOrders[[#This Row],[Std hours allowed]]*(tblOrders[[#This Row],[Std labour rate]]+tblOrders[[#This Row],[Std overhead rate]])))</f>
        <v>4460</v>
      </c>
      <c r="S52" s="47">
        <f>IF(tblOrders[[#This Row],[Date closed]]="","",tblOrders[[#This Row],[Material cost]]+tblOrders[[#This Row],[Labour cost]]+tblOrders[[#This Row],[Overhead charged]])</f>
        <v>4601.85</v>
      </c>
      <c r="T52" s="47">
        <f>IF(tblOrders[[#This Row],[Date closed]]="","",IF(tblOrders[[#This Row],[Std material price]]="","",tblOrders[[#This Row],[Material cost]]-tblOrders[[#This Row],[Material used]]*tblOrders[[#This Row],[Std material price]]))</f>
        <v>54.93</v>
      </c>
      <c r="U52" s="47">
        <f>IF(tblOrders[[#This Row],[Date closed]]="","",IF(tblOrders[[#This Row],[Std qty allowed]]="","",(tblOrders[[#This Row],[Material used]]-tblOrders[[#This Row],[Std qty allowed]])*tblOrders[[#This Row],[Std material price]]))</f>
        <v>7.24999999999994</v>
      </c>
      <c r="V52" s="47">
        <f>IF(tblOrders[[#This Row],[Date closed]]="","",IF(tblOrders[[#This Row],[Std labour rate]]="","",tblOrders[[#This Row],[Labour cost]]-tblOrders[[#This Row],[Labour hours]]*tblOrders[[#This Row],[Std labour rate]]))</f>
        <v>23.1199999999999</v>
      </c>
      <c r="W52" s="47">
        <f>IF(tblOrders[[#This Row],[Date closed]]="","",IF(tblOrders[[#This Row],[Std hours allowed]]="","",(tblOrders[[#This Row],[Labour hours]]-tblOrders[[#This Row],[Std hours allowed]])*tblOrders[[#This Row],[Std labour rate]]))</f>
        <v>-8.39999999999992</v>
      </c>
      <c r="X52" s="47">
        <f>IF(tblOrders[[#This Row],[Date closed]]="","",IF(tblOrders[[#This Row],[Std hours allowed]]="","",tblOrders[[#This Row],[Overhead charged]]-tblOrders[[#This Row],[Std hours allowed]]*tblOrders[[#This Row],[Std overhead rate]]))</f>
        <v>64.9499999999998</v>
      </c>
      <c r="Y52" s="48">
        <f>IF(tblOrders[[#This Row],[Date closed]]="","",IF(tblOrders[[#This Row],[Standard cost]]="","",tblOrders[[#This Row],[Actual cost]]-tblOrders[[#This Row],[Standard cost]]))</f>
        <v>141.85</v>
      </c>
      <c r="Z52" s="49">
        <f>IF(tblOrders[[#This Row],[Date closed]]="","",IF(N(tblOrders[[#This Row],[Standard cost]])=0,"",tblOrders[[#This Row],[Total variance]]/tblOrders[[#This Row],[Standard cost]]))</f>
        <v>0.0318049327354261</v>
      </c>
      <c r="AA52" s="50" t="str">
        <f>IF(tblOrders[[#This Row],[Date closed]]="","",IF(tblOrders[[#This Row],[Variance of standard]]="","",IF(AND(ABS(tblOrders[[#This Row],[Total variance]])&gt;=AmtLimit,ABS(tblOrders[[#This Row],[Variance of standard]])&gt;=PctLimit),"Out of limits","Within limits")))</f>
        <v>Within limits</v>
      </c>
      <c r="AB5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2" s="52">
        <f>IF(tblOrders[[#This Row],[Date closed]]="","",IF(AND(tblOrders[[#This Row],[Date closed]]&gt;=FFrom,tblOrders[[#This Row],[Date closed]]&lt;=FTo,OR(DashProduct="",tblOrders[[#This Row],[Product]]=DashProduct)),tblOrders[[#This Row],[Date closed]],""))</f>
        <v>46261</v>
      </c>
      <c r="AD52" s="28" t="s">
        <v>126</v>
      </c>
    </row>
    <row r="53" spans="2:30">
      <c r="B53" s="41">
        <v>46265</v>
      </c>
      <c r="C53" s="28" t="s">
        <v>173</v>
      </c>
      <c r="D53" s="28" t="s">
        <v>95</v>
      </c>
      <c r="E53" s="30">
        <v>40</v>
      </c>
      <c r="F53" s="42">
        <v>506.1</v>
      </c>
      <c r="G53" s="37">
        <v>674.13</v>
      </c>
      <c r="H53" s="42">
        <v>59.3</v>
      </c>
      <c r="I53" s="37">
        <v>1648.2</v>
      </c>
      <c r="J53" s="37">
        <v>2579.55</v>
      </c>
      <c r="K53" s="43">
        <f>IF(tblOrders[[#This Row],[Date closed]]="","",IFERROR(INDEX(tblStandards[Std material qty],MATCH(tblOrders[[#This Row],[Product]],tblStandards[Product],0)),""))</f>
        <v>11.5</v>
      </c>
      <c r="L53" s="44">
        <f>IF(tblOrders[[#This Row],[Date closed]]="","",IFERROR(INDEX(tblStandards[Std material price],MATCH(tblOrders[[#This Row],[Product]],tblStandards[Product],0)),""))</f>
        <v>1.25</v>
      </c>
      <c r="M53" s="43">
        <f>IF(tblOrders[[#This Row],[Date closed]]="","",IFERROR(INDEX(tblStandards[Std labour hours],MATCH(tblOrders[[#This Row],[Product]],tblStandards[Product],0)),""))</f>
        <v>1.4</v>
      </c>
      <c r="N53" s="45">
        <f>IF(tblOrders[[#This Row],[Date closed]]="","",IFERROR(INDEX(tblStandards[Std labour rate],MATCH(tblOrders[[#This Row],[Product]],tblStandards[Product],0)),""))</f>
        <v>28</v>
      </c>
      <c r="O53" s="45">
        <f>IF(tblOrders[[#This Row],[Date closed]]="","",IFERROR(INDEX(tblStandards[Std overhead rate],MATCH(tblOrders[[#This Row],[Product]],tblStandards[Product],0)),""))</f>
        <v>42</v>
      </c>
      <c r="P53" s="46">
        <f>IF(tblOrders[[#This Row],[Date closed]]="","",IF(tblOrders[[#This Row],[Std material qty]]="","",tblOrders[[#This Row],[Good qty]]*tblOrders[[#This Row],[Std material qty]]))</f>
        <v>460</v>
      </c>
      <c r="Q53" s="46">
        <f>IF(tblOrders[[#This Row],[Date closed]]="","",IF(tblOrders[[#This Row],[Std labour hours]]="","",tblOrders[[#This Row],[Good qty]]*tblOrders[[#This Row],[Std labour hours]]))</f>
        <v>56</v>
      </c>
      <c r="R53" s="47">
        <f>IF(tblOrders[[#This Row],[Date closed]]="","",IF(tblOrders[[#This Row],[Std qty allowed]]="","",tblOrders[[#This Row],[Std qty allowed]]*tblOrders[[#This Row],[Std material price]]+tblOrders[[#This Row],[Std hours allowed]]*(tblOrders[[#This Row],[Std labour rate]]+tblOrders[[#This Row],[Std overhead rate]])))</f>
        <v>4495</v>
      </c>
      <c r="S53" s="47">
        <f>IF(tblOrders[[#This Row],[Date closed]]="","",tblOrders[[#This Row],[Material cost]]+tblOrders[[#This Row],[Labour cost]]+tblOrders[[#This Row],[Overhead charged]])</f>
        <v>4901.88</v>
      </c>
      <c r="T53" s="47">
        <f>IF(tblOrders[[#This Row],[Date closed]]="","",IF(tblOrders[[#This Row],[Std material price]]="","",tblOrders[[#This Row],[Material cost]]-tblOrders[[#This Row],[Material used]]*tblOrders[[#This Row],[Std material price]]))</f>
        <v>41.505</v>
      </c>
      <c r="U53" s="47">
        <f>IF(tblOrders[[#This Row],[Date closed]]="","",IF(tblOrders[[#This Row],[Std qty allowed]]="","",(tblOrders[[#This Row],[Material used]]-tblOrders[[#This Row],[Std qty allowed]])*tblOrders[[#This Row],[Std material price]]))</f>
        <v>57.625</v>
      </c>
      <c r="V53" s="47">
        <f>IF(tblOrders[[#This Row],[Date closed]]="","",IF(tblOrders[[#This Row],[Std labour rate]]="","",tblOrders[[#This Row],[Labour cost]]-tblOrders[[#This Row],[Labour hours]]*tblOrders[[#This Row],[Std labour rate]]))</f>
        <v>-12.1999999999998</v>
      </c>
      <c r="W53" s="47">
        <f>IF(tblOrders[[#This Row],[Date closed]]="","",IF(tblOrders[[#This Row],[Std hours allowed]]="","",(tblOrders[[#This Row],[Labour hours]]-tblOrders[[#This Row],[Std hours allowed]])*tblOrders[[#This Row],[Std labour rate]]))</f>
        <v>92.3999999999999</v>
      </c>
      <c r="X53" s="47">
        <f>IF(tblOrders[[#This Row],[Date closed]]="","",IF(tblOrders[[#This Row],[Std hours allowed]]="","",tblOrders[[#This Row],[Overhead charged]]-tblOrders[[#This Row],[Std hours allowed]]*tblOrders[[#This Row],[Std overhead rate]]))</f>
        <v>227.55</v>
      </c>
      <c r="Y53" s="48">
        <f>IF(tblOrders[[#This Row],[Date closed]]="","",IF(tblOrders[[#This Row],[Standard cost]]="","",tblOrders[[#This Row],[Actual cost]]-tblOrders[[#This Row],[Standard cost]]))</f>
        <v>406.88</v>
      </c>
      <c r="Z53" s="49">
        <f>IF(tblOrders[[#This Row],[Date closed]]="","",IF(N(tblOrders[[#This Row],[Standard cost]])=0,"",tblOrders[[#This Row],[Total variance]]/tblOrders[[#This Row],[Standard cost]]))</f>
        <v>0.0905183537263627</v>
      </c>
      <c r="AA53" s="50" t="str">
        <f>IF(tblOrders[[#This Row],[Date closed]]="","",IF(tblOrders[[#This Row],[Variance of standard]]="","",IF(AND(ABS(tblOrders[[#This Row],[Total variance]])&gt;=AmtLimit,ABS(tblOrders[[#This Row],[Variance of standard]])&gt;=PctLimit),"Out of limits","Within limits")))</f>
        <v>Within limits</v>
      </c>
      <c r="AB5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3" s="52">
        <f>IF(tblOrders[[#This Row],[Date closed]]="","",IF(AND(tblOrders[[#This Row],[Date closed]]&gt;=FFrom,tblOrders[[#This Row],[Date closed]]&lt;=FTo,OR(DashProduct="",tblOrders[[#This Row],[Product]]=DashProduct)),tblOrders[[#This Row],[Date closed]],""))</f>
        <v>46265</v>
      </c>
      <c r="AD53" s="28" t="s">
        <v>126</v>
      </c>
    </row>
    <row r="54" spans="2:30">
      <c r="B54" s="41">
        <v>46266</v>
      </c>
      <c r="C54" s="28" t="s">
        <v>174</v>
      </c>
      <c r="D54" s="28" t="s">
        <v>97</v>
      </c>
      <c r="E54" s="30">
        <v>30</v>
      </c>
      <c r="F54" s="42">
        <v>986.2</v>
      </c>
      <c r="G54" s="37">
        <v>1179.5</v>
      </c>
      <c r="H54" s="42">
        <v>62.7</v>
      </c>
      <c r="I54" s="37">
        <v>1988.75</v>
      </c>
      <c r="J54" s="37">
        <v>2758.8</v>
      </c>
      <c r="K54" s="43">
        <f>IF(tblOrders[[#This Row],[Date closed]]="","",IFERROR(INDEX(tblStandards[Std material qty],MATCH(tblOrders[[#This Row],[Product]],tblStandards[Product],0)),""))</f>
        <v>32</v>
      </c>
      <c r="L54" s="44">
        <f>IF(tblOrders[[#This Row],[Date closed]]="","",IFERROR(INDEX(tblStandards[Std material price],MATCH(tblOrders[[#This Row],[Product]],tblStandards[Product],0)),""))</f>
        <v>1.1</v>
      </c>
      <c r="M54" s="43">
        <f>IF(tblOrders[[#This Row],[Date closed]]="","",IFERROR(INDEX(tblStandards[Std labour hours],MATCH(tblOrders[[#This Row],[Product]],tblStandards[Product],0)),""))</f>
        <v>2.2</v>
      </c>
      <c r="N54" s="45">
        <f>IF(tblOrders[[#This Row],[Date closed]]="","",IFERROR(INDEX(tblStandards[Std labour rate],MATCH(tblOrders[[#This Row],[Product]],tblStandards[Product],0)),""))</f>
        <v>30</v>
      </c>
      <c r="O54" s="45">
        <f>IF(tblOrders[[#This Row],[Date closed]]="","",IFERROR(INDEX(tblStandards[Std overhead rate],MATCH(tblOrders[[#This Row],[Product]],tblStandards[Product],0)),""))</f>
        <v>42</v>
      </c>
      <c r="P54" s="46">
        <f>IF(tblOrders[[#This Row],[Date closed]]="","",IF(tblOrders[[#This Row],[Std material qty]]="","",tblOrders[[#This Row],[Good qty]]*tblOrders[[#This Row],[Std material qty]]))</f>
        <v>960</v>
      </c>
      <c r="Q54" s="46">
        <f>IF(tblOrders[[#This Row],[Date closed]]="","",IF(tblOrders[[#This Row],[Std labour hours]]="","",tblOrders[[#This Row],[Good qty]]*tblOrders[[#This Row],[Std labour hours]]))</f>
        <v>66</v>
      </c>
      <c r="R54" s="47">
        <f>IF(tblOrders[[#This Row],[Date closed]]="","",IF(tblOrders[[#This Row],[Std qty allowed]]="","",tblOrders[[#This Row],[Std qty allowed]]*tblOrders[[#This Row],[Std material price]]+tblOrders[[#This Row],[Std hours allowed]]*(tblOrders[[#This Row],[Std labour rate]]+tblOrders[[#This Row],[Std overhead rate]])))</f>
        <v>5808</v>
      </c>
      <c r="S54" s="47">
        <f>IF(tblOrders[[#This Row],[Date closed]]="","",tblOrders[[#This Row],[Material cost]]+tblOrders[[#This Row],[Labour cost]]+tblOrders[[#This Row],[Overhead charged]])</f>
        <v>5927.05</v>
      </c>
      <c r="T54" s="47">
        <f>IF(tblOrders[[#This Row],[Date closed]]="","",IF(tblOrders[[#This Row],[Std material price]]="","",tblOrders[[#This Row],[Material cost]]-tblOrders[[#This Row],[Material used]]*tblOrders[[#This Row],[Std material price]]))</f>
        <v>94.6799999999998</v>
      </c>
      <c r="U54" s="47">
        <f>IF(tblOrders[[#This Row],[Date closed]]="","",IF(tblOrders[[#This Row],[Std qty allowed]]="","",(tblOrders[[#This Row],[Material used]]-tblOrders[[#This Row],[Std qty allowed]])*tblOrders[[#This Row],[Std material price]]))</f>
        <v>28.8200000000001</v>
      </c>
      <c r="V54" s="47">
        <f>IF(tblOrders[[#This Row],[Date closed]]="","",IF(tblOrders[[#This Row],[Std labour rate]]="","",tblOrders[[#This Row],[Labour cost]]-tblOrders[[#This Row],[Labour hours]]*tblOrders[[#This Row],[Std labour rate]]))</f>
        <v>107.75</v>
      </c>
      <c r="W54" s="47">
        <f>IF(tblOrders[[#This Row],[Date closed]]="","",IF(tblOrders[[#This Row],[Std hours allowed]]="","",(tblOrders[[#This Row],[Labour hours]]-tblOrders[[#This Row],[Std hours allowed]])*tblOrders[[#This Row],[Std labour rate]]))</f>
        <v>-98.9999999999999</v>
      </c>
      <c r="X54" s="47">
        <f>IF(tblOrders[[#This Row],[Date closed]]="","",IF(tblOrders[[#This Row],[Std hours allowed]]="","",tblOrders[[#This Row],[Overhead charged]]-tblOrders[[#This Row],[Std hours allowed]]*tblOrders[[#This Row],[Std overhead rate]]))</f>
        <v>-13.1999999999998</v>
      </c>
      <c r="Y54" s="48">
        <f>IF(tblOrders[[#This Row],[Date closed]]="","",IF(tblOrders[[#This Row],[Standard cost]]="","",tblOrders[[#This Row],[Actual cost]]-tblOrders[[#This Row],[Standard cost]]))</f>
        <v>119.05</v>
      </c>
      <c r="Z54" s="49">
        <f>IF(tblOrders[[#This Row],[Date closed]]="","",IF(N(tblOrders[[#This Row],[Standard cost]])=0,"",tblOrders[[#This Row],[Total variance]]/tblOrders[[#This Row],[Standard cost]]))</f>
        <v>0.0204975895316805</v>
      </c>
      <c r="AA54" s="50" t="str">
        <f>IF(tblOrders[[#This Row],[Date closed]]="","",IF(tblOrders[[#This Row],[Variance of standard]]="","",IF(AND(ABS(tblOrders[[#This Row],[Total variance]])&gt;=AmtLimit,ABS(tblOrders[[#This Row],[Variance of standard]])&gt;=PctLimit),"Out of limits","Within limits")))</f>
        <v>Within limits</v>
      </c>
      <c r="AB5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4" s="52">
        <f>IF(tblOrders[[#This Row],[Date closed]]="","",IF(AND(tblOrders[[#This Row],[Date closed]]&gt;=FFrom,tblOrders[[#This Row],[Date closed]]&lt;=FTo,OR(DashProduct="",tblOrders[[#This Row],[Product]]=DashProduct)),tblOrders[[#This Row],[Date closed]],""))</f>
        <v>46266</v>
      </c>
      <c r="AD54" s="28" t="s">
        <v>126</v>
      </c>
    </row>
    <row r="55" spans="2:30">
      <c r="B55" s="41">
        <v>46267</v>
      </c>
      <c r="C55" s="28" t="s">
        <v>175</v>
      </c>
      <c r="D55" s="28" t="s">
        <v>86</v>
      </c>
      <c r="E55" s="30">
        <v>400</v>
      </c>
      <c r="F55" s="42">
        <v>739</v>
      </c>
      <c r="G55" s="37">
        <v>869.8</v>
      </c>
      <c r="H55" s="42">
        <v>47.4</v>
      </c>
      <c r="I55" s="37">
        <v>1410</v>
      </c>
      <c r="J55" s="37">
        <v>2085.6</v>
      </c>
      <c r="K55" s="43">
        <f>IF(tblOrders[[#This Row],[Date closed]]="","",IFERROR(INDEX(tblStandards[Std material qty],MATCH(tblOrders[[#This Row],[Product]],tblStandards[Product],0)),""))</f>
        <v>1.8</v>
      </c>
      <c r="L55" s="44">
        <f>IF(tblOrders[[#This Row],[Date closed]]="","",IFERROR(INDEX(tblStandards[Std material price],MATCH(tblOrders[[#This Row],[Product]],tblStandards[Product],0)),""))</f>
        <v>1.1</v>
      </c>
      <c r="M55" s="43">
        <f>IF(tblOrders[[#This Row],[Date closed]]="","",IFERROR(INDEX(tblStandards[Std labour hours],MATCH(tblOrders[[#This Row],[Product]],tblStandards[Product],0)),""))</f>
        <v>0.12</v>
      </c>
      <c r="N55" s="45">
        <f>IF(tblOrders[[#This Row],[Date closed]]="","",IFERROR(INDEX(tblStandards[Std labour rate],MATCH(tblOrders[[#This Row],[Product]],tblStandards[Product],0)),""))</f>
        <v>28</v>
      </c>
      <c r="O55" s="45">
        <f>IF(tblOrders[[#This Row],[Date closed]]="","",IFERROR(INDEX(tblStandards[Std overhead rate],MATCH(tblOrders[[#This Row],[Product]],tblStandards[Product],0)),""))</f>
        <v>42</v>
      </c>
      <c r="P55" s="46">
        <f>IF(tblOrders[[#This Row],[Date closed]]="","",IF(tblOrders[[#This Row],[Std material qty]]="","",tblOrders[[#This Row],[Good qty]]*tblOrders[[#This Row],[Std material qty]]))</f>
        <v>720</v>
      </c>
      <c r="Q55" s="46">
        <f>IF(tblOrders[[#This Row],[Date closed]]="","",IF(tblOrders[[#This Row],[Std labour hours]]="","",tblOrders[[#This Row],[Good qty]]*tblOrders[[#This Row],[Std labour hours]]))</f>
        <v>48</v>
      </c>
      <c r="R55" s="47">
        <f>IF(tblOrders[[#This Row],[Date closed]]="","",IF(tblOrders[[#This Row],[Std qty allowed]]="","",tblOrders[[#This Row],[Std qty allowed]]*tblOrders[[#This Row],[Std material price]]+tblOrders[[#This Row],[Std hours allowed]]*(tblOrders[[#This Row],[Std labour rate]]+tblOrders[[#This Row],[Std overhead rate]])))</f>
        <v>4152</v>
      </c>
      <c r="S55" s="47">
        <f>IF(tblOrders[[#This Row],[Date closed]]="","",tblOrders[[#This Row],[Material cost]]+tblOrders[[#This Row],[Labour cost]]+tblOrders[[#This Row],[Overhead charged]])</f>
        <v>4365.4</v>
      </c>
      <c r="T55" s="47">
        <f>IF(tblOrders[[#This Row],[Date closed]]="","",IF(tblOrders[[#This Row],[Std material price]]="","",tblOrders[[#This Row],[Material cost]]-tblOrders[[#This Row],[Material used]]*tblOrders[[#This Row],[Std material price]]))</f>
        <v>56.8999999999999</v>
      </c>
      <c r="U55" s="47">
        <f>IF(tblOrders[[#This Row],[Date closed]]="","",IF(tblOrders[[#This Row],[Std qty allowed]]="","",(tblOrders[[#This Row],[Material used]]-tblOrders[[#This Row],[Std qty allowed]])*tblOrders[[#This Row],[Std material price]]))</f>
        <v>20.9</v>
      </c>
      <c r="V55" s="47">
        <f>IF(tblOrders[[#This Row],[Date closed]]="","",IF(tblOrders[[#This Row],[Std labour rate]]="","",tblOrders[[#This Row],[Labour cost]]-tblOrders[[#This Row],[Labour hours]]*tblOrders[[#This Row],[Std labour rate]]))</f>
        <v>82.8</v>
      </c>
      <c r="W55" s="47">
        <f>IF(tblOrders[[#This Row],[Date closed]]="","",IF(tblOrders[[#This Row],[Std hours allowed]]="","",(tblOrders[[#This Row],[Labour hours]]-tblOrders[[#This Row],[Std hours allowed]])*tblOrders[[#This Row],[Std labour rate]]))</f>
        <v>-16.8</v>
      </c>
      <c r="X55" s="47">
        <f>IF(tblOrders[[#This Row],[Date closed]]="","",IF(tblOrders[[#This Row],[Std hours allowed]]="","",tblOrders[[#This Row],[Overhead charged]]-tblOrders[[#This Row],[Std hours allowed]]*tblOrders[[#This Row],[Std overhead rate]]))</f>
        <v>69.5999999999999</v>
      </c>
      <c r="Y55" s="48">
        <f>IF(tblOrders[[#This Row],[Date closed]]="","",IF(tblOrders[[#This Row],[Standard cost]]="","",tblOrders[[#This Row],[Actual cost]]-tblOrders[[#This Row],[Standard cost]]))</f>
        <v>213.4</v>
      </c>
      <c r="Z55" s="49">
        <f>IF(tblOrders[[#This Row],[Date closed]]="","",IF(N(tblOrders[[#This Row],[Standard cost]])=0,"",tblOrders[[#This Row],[Total variance]]/tblOrders[[#This Row],[Standard cost]]))</f>
        <v>0.0513969171483622</v>
      </c>
      <c r="AA55" s="50" t="str">
        <f>IF(tblOrders[[#This Row],[Date closed]]="","",IF(tblOrders[[#This Row],[Variance of standard]]="","",IF(AND(ABS(tblOrders[[#This Row],[Total variance]])&gt;=AmtLimit,ABS(tblOrders[[#This Row],[Variance of standard]])&gt;=PctLimit),"Out of limits","Within limits")))</f>
        <v>Within limits</v>
      </c>
      <c r="AB5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5" s="52">
        <f>IF(tblOrders[[#This Row],[Date closed]]="","",IF(AND(tblOrders[[#This Row],[Date closed]]&gt;=FFrom,tblOrders[[#This Row],[Date closed]]&lt;=FTo,OR(DashProduct="",tblOrders[[#This Row],[Product]]=DashProduct)),tblOrders[[#This Row],[Date closed]],""))</f>
        <v>46267</v>
      </c>
      <c r="AD55" s="28" t="s">
        <v>126</v>
      </c>
    </row>
    <row r="56" spans="2:30">
      <c r="B56" s="41">
        <v>46268</v>
      </c>
      <c r="C56" s="28" t="s">
        <v>176</v>
      </c>
      <c r="D56" s="28" t="s">
        <v>89</v>
      </c>
      <c r="E56" s="30">
        <v>250</v>
      </c>
      <c r="F56" s="42">
        <v>1629.1</v>
      </c>
      <c r="G56" s="37">
        <v>1907.68</v>
      </c>
      <c r="H56" s="42">
        <v>51.8</v>
      </c>
      <c r="I56" s="37">
        <v>1544.55</v>
      </c>
      <c r="J56" s="37">
        <v>2279.2</v>
      </c>
      <c r="K56" s="43">
        <f>IF(tblOrders[[#This Row],[Date closed]]="","",IFERROR(INDEX(tblStandards[Std material qty],MATCH(tblOrders[[#This Row],[Product]],tblStandards[Product],0)),""))</f>
        <v>6.5</v>
      </c>
      <c r="L56" s="44">
        <f>IF(tblOrders[[#This Row],[Date closed]]="","",IFERROR(INDEX(tblStandards[Std material price],MATCH(tblOrders[[#This Row],[Product]],tblStandards[Product],0)),""))</f>
        <v>1.1</v>
      </c>
      <c r="M56" s="43">
        <f>IF(tblOrders[[#This Row],[Date closed]]="","",IFERROR(INDEX(tblStandards[Std labour hours],MATCH(tblOrders[[#This Row],[Product]],tblStandards[Product],0)),""))</f>
        <v>0.2</v>
      </c>
      <c r="N56" s="45">
        <f>IF(tblOrders[[#This Row],[Date closed]]="","",IFERROR(INDEX(tblStandards[Std labour rate],MATCH(tblOrders[[#This Row],[Product]],tblStandards[Product],0)),""))</f>
        <v>28</v>
      </c>
      <c r="O56" s="45">
        <f>IF(tblOrders[[#This Row],[Date closed]]="","",IFERROR(INDEX(tblStandards[Std overhead rate],MATCH(tblOrders[[#This Row],[Product]],tblStandards[Product],0)),""))</f>
        <v>42</v>
      </c>
      <c r="P56" s="46">
        <f>IF(tblOrders[[#This Row],[Date closed]]="","",IF(tblOrders[[#This Row],[Std material qty]]="","",tblOrders[[#This Row],[Good qty]]*tblOrders[[#This Row],[Std material qty]]))</f>
        <v>1625</v>
      </c>
      <c r="Q56" s="46">
        <f>IF(tblOrders[[#This Row],[Date closed]]="","",IF(tblOrders[[#This Row],[Std labour hours]]="","",tblOrders[[#This Row],[Good qty]]*tblOrders[[#This Row],[Std labour hours]]))</f>
        <v>50</v>
      </c>
      <c r="R56" s="47">
        <f>IF(tblOrders[[#This Row],[Date closed]]="","",IF(tblOrders[[#This Row],[Std qty allowed]]="","",tblOrders[[#This Row],[Std qty allowed]]*tblOrders[[#This Row],[Std material price]]+tblOrders[[#This Row],[Std hours allowed]]*(tblOrders[[#This Row],[Std labour rate]]+tblOrders[[#This Row],[Std overhead rate]])))</f>
        <v>5287.5</v>
      </c>
      <c r="S56" s="47">
        <f>IF(tblOrders[[#This Row],[Date closed]]="","",tblOrders[[#This Row],[Material cost]]+tblOrders[[#This Row],[Labour cost]]+tblOrders[[#This Row],[Overhead charged]])</f>
        <v>5731.43</v>
      </c>
      <c r="T56" s="47">
        <f>IF(tblOrders[[#This Row],[Date closed]]="","",IF(tblOrders[[#This Row],[Std material price]]="","",tblOrders[[#This Row],[Material cost]]-tblOrders[[#This Row],[Material used]]*tblOrders[[#This Row],[Std material price]]))</f>
        <v>115.67</v>
      </c>
      <c r="U56" s="47">
        <f>IF(tblOrders[[#This Row],[Date closed]]="","",IF(tblOrders[[#This Row],[Std qty allowed]]="","",(tblOrders[[#This Row],[Material used]]-tblOrders[[#This Row],[Std qty allowed]])*tblOrders[[#This Row],[Std material price]]))</f>
        <v>4.5099999999999</v>
      </c>
      <c r="V56" s="47">
        <f>IF(tblOrders[[#This Row],[Date closed]]="","",IF(tblOrders[[#This Row],[Std labour rate]]="","",tblOrders[[#This Row],[Labour cost]]-tblOrders[[#This Row],[Labour hours]]*tblOrders[[#This Row],[Std labour rate]]))</f>
        <v>94.1500000000001</v>
      </c>
      <c r="W56" s="47">
        <f>IF(tblOrders[[#This Row],[Date closed]]="","",IF(tblOrders[[#This Row],[Std hours allowed]]="","",(tblOrders[[#This Row],[Labour hours]]-tblOrders[[#This Row],[Std hours allowed]])*tblOrders[[#This Row],[Std labour rate]]))</f>
        <v>50.3999999999999</v>
      </c>
      <c r="X56" s="47">
        <f>IF(tblOrders[[#This Row],[Date closed]]="","",IF(tblOrders[[#This Row],[Std hours allowed]]="","",tblOrders[[#This Row],[Overhead charged]]-tblOrders[[#This Row],[Std hours allowed]]*tblOrders[[#This Row],[Std overhead rate]]))</f>
        <v>179.2</v>
      </c>
      <c r="Y56" s="48">
        <f>IF(tblOrders[[#This Row],[Date closed]]="","",IF(tblOrders[[#This Row],[Standard cost]]="","",tblOrders[[#This Row],[Actual cost]]-tblOrders[[#This Row],[Standard cost]]))</f>
        <v>443.93</v>
      </c>
      <c r="Z56" s="49">
        <f>IF(tblOrders[[#This Row],[Date closed]]="","",IF(N(tblOrders[[#This Row],[Standard cost]])=0,"",tblOrders[[#This Row],[Total variance]]/tblOrders[[#This Row],[Standard cost]]))</f>
        <v>0.0839583924349882</v>
      </c>
      <c r="AA56" s="50" t="str">
        <f>IF(tblOrders[[#This Row],[Date closed]]="","",IF(tblOrders[[#This Row],[Variance of standard]]="","",IF(AND(ABS(tblOrders[[#This Row],[Total variance]])&gt;=AmtLimit,ABS(tblOrders[[#This Row],[Variance of standard]])&gt;=PctLimit),"Out of limits","Within limits")))</f>
        <v>Within limits</v>
      </c>
      <c r="AB5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6" s="52">
        <f>IF(tblOrders[[#This Row],[Date closed]]="","",IF(AND(tblOrders[[#This Row],[Date closed]]&gt;=FFrom,tblOrders[[#This Row],[Date closed]]&lt;=FTo,OR(DashProduct="",tblOrders[[#This Row],[Product]]=DashProduct)),tblOrders[[#This Row],[Date closed]],""))</f>
        <v>46268</v>
      </c>
      <c r="AD56" s="28" t="s">
        <v>126</v>
      </c>
    </row>
    <row r="57" spans="2:30">
      <c r="B57" s="41">
        <v>46269</v>
      </c>
      <c r="C57" s="28" t="s">
        <v>177</v>
      </c>
      <c r="D57" s="28" t="s">
        <v>91</v>
      </c>
      <c r="E57" s="30">
        <v>120</v>
      </c>
      <c r="F57" s="42">
        <v>1706.3</v>
      </c>
      <c r="G57" s="37">
        <v>2086.8</v>
      </c>
      <c r="H57" s="42">
        <v>135</v>
      </c>
      <c r="I57" s="37">
        <v>4204.56</v>
      </c>
      <c r="J57" s="37">
        <v>5940</v>
      </c>
      <c r="K57" s="43">
        <f>IF(tblOrders[[#This Row],[Date closed]]="","",IFERROR(INDEX(tblStandards[Std material qty],MATCH(tblOrders[[#This Row],[Product]],tblStandards[Product],0)),""))</f>
        <v>14</v>
      </c>
      <c r="L57" s="44">
        <f>IF(tblOrders[[#This Row],[Date closed]]="","",IFERROR(INDEX(tblStandards[Std material price],MATCH(tblOrders[[#This Row],[Product]],tblStandards[Product],0)),""))</f>
        <v>1.15</v>
      </c>
      <c r="M57" s="43">
        <f>IF(tblOrders[[#This Row],[Date closed]]="","",IFERROR(INDEX(tblStandards[Std labour hours],MATCH(tblOrders[[#This Row],[Product]],tblStandards[Product],0)),""))</f>
        <v>1.1</v>
      </c>
      <c r="N57" s="45">
        <f>IF(tblOrders[[#This Row],[Date closed]]="","",IFERROR(INDEX(tblStandards[Std labour rate],MATCH(tblOrders[[#This Row],[Product]],tblStandards[Product],0)),""))</f>
        <v>30</v>
      </c>
      <c r="O57" s="45">
        <f>IF(tblOrders[[#This Row],[Date closed]]="","",IFERROR(INDEX(tblStandards[Std overhead rate],MATCH(tblOrders[[#This Row],[Product]],tblStandards[Product],0)),""))</f>
        <v>42</v>
      </c>
      <c r="P57" s="46">
        <f>IF(tblOrders[[#This Row],[Date closed]]="","",IF(tblOrders[[#This Row],[Std material qty]]="","",tblOrders[[#This Row],[Good qty]]*tblOrders[[#This Row],[Std material qty]]))</f>
        <v>1680</v>
      </c>
      <c r="Q57" s="46">
        <f>IF(tblOrders[[#This Row],[Date closed]]="","",IF(tblOrders[[#This Row],[Std labour hours]]="","",tblOrders[[#This Row],[Good qty]]*tblOrders[[#This Row],[Std labour hours]]))</f>
        <v>132</v>
      </c>
      <c r="R57" s="47">
        <f>IF(tblOrders[[#This Row],[Date closed]]="","",IF(tblOrders[[#This Row],[Std qty allowed]]="","",tblOrders[[#This Row],[Std qty allowed]]*tblOrders[[#This Row],[Std material price]]+tblOrders[[#This Row],[Std hours allowed]]*(tblOrders[[#This Row],[Std labour rate]]+tblOrders[[#This Row],[Std overhead rate]])))</f>
        <v>11436</v>
      </c>
      <c r="S57" s="47">
        <f>IF(tblOrders[[#This Row],[Date closed]]="","",tblOrders[[#This Row],[Material cost]]+tblOrders[[#This Row],[Labour cost]]+tblOrders[[#This Row],[Overhead charged]])</f>
        <v>12231.36</v>
      </c>
      <c r="T57" s="47">
        <f>IF(tblOrders[[#This Row],[Date closed]]="","",IF(tblOrders[[#This Row],[Std material price]]="","",tblOrders[[#This Row],[Material cost]]-tblOrders[[#This Row],[Material used]]*tblOrders[[#This Row],[Std material price]]))</f>
        <v>124.555</v>
      </c>
      <c r="U57" s="47">
        <f>IF(tblOrders[[#This Row],[Date closed]]="","",IF(tblOrders[[#This Row],[Std qty allowed]]="","",(tblOrders[[#This Row],[Material used]]-tblOrders[[#This Row],[Std qty allowed]])*tblOrders[[#This Row],[Std material price]]))</f>
        <v>30.2449999999999</v>
      </c>
      <c r="V57" s="47">
        <f>IF(tblOrders[[#This Row],[Date closed]]="","",IF(tblOrders[[#This Row],[Std labour rate]]="","",tblOrders[[#This Row],[Labour cost]]-tblOrders[[#This Row],[Labour hours]]*tblOrders[[#This Row],[Std labour rate]]))</f>
        <v>154.56</v>
      </c>
      <c r="W57" s="47">
        <f>IF(tblOrders[[#This Row],[Date closed]]="","",IF(tblOrders[[#This Row],[Std hours allowed]]="","",(tblOrders[[#This Row],[Labour hours]]-tblOrders[[#This Row],[Std hours allowed]])*tblOrders[[#This Row],[Std labour rate]]))</f>
        <v>90</v>
      </c>
      <c r="X57" s="47">
        <f>IF(tblOrders[[#This Row],[Date closed]]="","",IF(tblOrders[[#This Row],[Std hours allowed]]="","",tblOrders[[#This Row],[Overhead charged]]-tblOrders[[#This Row],[Std hours allowed]]*tblOrders[[#This Row],[Std overhead rate]]))</f>
        <v>396</v>
      </c>
      <c r="Y57" s="48">
        <f>IF(tblOrders[[#This Row],[Date closed]]="","",IF(tblOrders[[#This Row],[Standard cost]]="","",tblOrders[[#This Row],[Actual cost]]-tblOrders[[#This Row],[Standard cost]]))</f>
        <v>795.360000000001</v>
      </c>
      <c r="Z57" s="49">
        <f>IF(tblOrders[[#This Row],[Date closed]]="","",IF(N(tblOrders[[#This Row],[Standard cost]])=0,"",tblOrders[[#This Row],[Total variance]]/tblOrders[[#This Row],[Standard cost]]))</f>
        <v>0.0695487932843652</v>
      </c>
      <c r="AA57" s="50" t="str">
        <f>IF(tblOrders[[#This Row],[Date closed]]="","",IF(tblOrders[[#This Row],[Variance of standard]]="","",IF(AND(ABS(tblOrders[[#This Row],[Total variance]])&gt;=AmtLimit,ABS(tblOrders[[#This Row],[Variance of standard]])&gt;=PctLimit),"Out of limits","Within limits")))</f>
        <v>Out of limits</v>
      </c>
      <c r="AB57"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7" s="52">
        <f>IF(tblOrders[[#This Row],[Date closed]]="","",IF(AND(tblOrders[[#This Row],[Date closed]]&gt;=FFrom,tblOrders[[#This Row],[Date closed]]&lt;=FTo,OR(DashProduct="",tblOrders[[#This Row],[Product]]=DashProduct)),tblOrders[[#This Row],[Date closed]],""))</f>
        <v>46269</v>
      </c>
      <c r="AD57" s="28" t="s">
        <v>126</v>
      </c>
    </row>
    <row r="58" spans="2:30">
      <c r="B58" s="41">
        <v>46272</v>
      </c>
      <c r="C58" s="28" t="s">
        <v>178</v>
      </c>
      <c r="D58" s="28" t="s">
        <v>93</v>
      </c>
      <c r="E58" s="30">
        <v>200</v>
      </c>
      <c r="F58" s="42">
        <v>1666.2</v>
      </c>
      <c r="G58" s="37">
        <v>2204.38</v>
      </c>
      <c r="H58" s="42">
        <v>124.8</v>
      </c>
      <c r="I58" s="37">
        <v>3718.22</v>
      </c>
      <c r="J58" s="37">
        <v>5491.2</v>
      </c>
      <c r="K58" s="43">
        <f>IF(tblOrders[[#This Row],[Date closed]]="","",IFERROR(INDEX(tblStandards[Std material qty],MATCH(tblOrders[[#This Row],[Product]],tblStandards[Product],0)),""))</f>
        <v>8.2</v>
      </c>
      <c r="L58" s="44">
        <f>IF(tblOrders[[#This Row],[Date closed]]="","",IFERROR(INDEX(tblStandards[Std material price],MATCH(tblOrders[[#This Row],[Product]],tblStandards[Product],0)),""))</f>
        <v>1.25</v>
      </c>
      <c r="M58" s="43">
        <f>IF(tblOrders[[#This Row],[Date closed]]="","",IFERROR(INDEX(tblStandards[Std labour hours],MATCH(tblOrders[[#This Row],[Product]],tblStandards[Product],0)),""))</f>
        <v>0.65</v>
      </c>
      <c r="N58" s="45">
        <f>IF(tblOrders[[#This Row],[Date closed]]="","",IFERROR(INDEX(tblStandards[Std labour rate],MATCH(tblOrders[[#This Row],[Product]],tblStandards[Product],0)),""))</f>
        <v>28</v>
      </c>
      <c r="O58" s="45">
        <f>IF(tblOrders[[#This Row],[Date closed]]="","",IFERROR(INDEX(tblStandards[Std overhead rate],MATCH(tblOrders[[#This Row],[Product]],tblStandards[Product],0)),""))</f>
        <v>42</v>
      </c>
      <c r="P58" s="46">
        <f>IF(tblOrders[[#This Row],[Date closed]]="","",IF(tblOrders[[#This Row],[Std material qty]]="","",tblOrders[[#This Row],[Good qty]]*tblOrders[[#This Row],[Std material qty]]))</f>
        <v>1640</v>
      </c>
      <c r="Q58" s="46">
        <f>IF(tblOrders[[#This Row],[Date closed]]="","",IF(tblOrders[[#This Row],[Std labour hours]]="","",tblOrders[[#This Row],[Good qty]]*tblOrders[[#This Row],[Std labour hours]]))</f>
        <v>130</v>
      </c>
      <c r="R58" s="47">
        <f>IF(tblOrders[[#This Row],[Date closed]]="","",IF(tblOrders[[#This Row],[Std qty allowed]]="","",tblOrders[[#This Row],[Std qty allowed]]*tblOrders[[#This Row],[Std material price]]+tblOrders[[#This Row],[Std hours allowed]]*(tblOrders[[#This Row],[Std labour rate]]+tblOrders[[#This Row],[Std overhead rate]])))</f>
        <v>11150</v>
      </c>
      <c r="S58" s="47">
        <f>IF(tblOrders[[#This Row],[Date closed]]="","",tblOrders[[#This Row],[Material cost]]+tblOrders[[#This Row],[Labour cost]]+tblOrders[[#This Row],[Overhead charged]])</f>
        <v>11413.8</v>
      </c>
      <c r="T58" s="47">
        <f>IF(tblOrders[[#This Row],[Date closed]]="","",IF(tblOrders[[#This Row],[Std material price]]="","",tblOrders[[#This Row],[Material cost]]-tblOrders[[#This Row],[Material used]]*tblOrders[[#This Row],[Std material price]]))</f>
        <v>121.63</v>
      </c>
      <c r="U58" s="47">
        <f>IF(tblOrders[[#This Row],[Date closed]]="","",IF(tblOrders[[#This Row],[Std qty allowed]]="","",(tblOrders[[#This Row],[Material used]]-tblOrders[[#This Row],[Std qty allowed]])*tblOrders[[#This Row],[Std material price]]))</f>
        <v>32.7500000000003</v>
      </c>
      <c r="V58" s="47">
        <f>IF(tblOrders[[#This Row],[Date closed]]="","",IF(tblOrders[[#This Row],[Std labour rate]]="","",tblOrders[[#This Row],[Labour cost]]-tblOrders[[#This Row],[Labour hours]]*tblOrders[[#This Row],[Std labour rate]]))</f>
        <v>223.82</v>
      </c>
      <c r="W58" s="47">
        <f>IF(tblOrders[[#This Row],[Date closed]]="","",IF(tblOrders[[#This Row],[Std hours allowed]]="","",(tblOrders[[#This Row],[Labour hours]]-tblOrders[[#This Row],[Std hours allowed]])*tblOrders[[#This Row],[Std labour rate]]))</f>
        <v>-145.6</v>
      </c>
      <c r="X58" s="47">
        <f>IF(tblOrders[[#This Row],[Date closed]]="","",IF(tblOrders[[#This Row],[Std hours allowed]]="","",tblOrders[[#This Row],[Overhead charged]]-tblOrders[[#This Row],[Std hours allowed]]*tblOrders[[#This Row],[Std overhead rate]]))</f>
        <v>31.1999999999998</v>
      </c>
      <c r="Y58" s="48">
        <f>IF(tblOrders[[#This Row],[Date closed]]="","",IF(tblOrders[[#This Row],[Standard cost]]="","",tblOrders[[#This Row],[Actual cost]]-tblOrders[[#This Row],[Standard cost]]))</f>
        <v>263.799999999999</v>
      </c>
      <c r="Z58" s="49">
        <f>IF(tblOrders[[#This Row],[Date closed]]="","",IF(N(tblOrders[[#This Row],[Standard cost]])=0,"",tblOrders[[#This Row],[Total variance]]/tblOrders[[#This Row],[Standard cost]]))</f>
        <v>0.023659192825112</v>
      </c>
      <c r="AA58" s="50" t="str">
        <f>IF(tblOrders[[#This Row],[Date closed]]="","",IF(tblOrders[[#This Row],[Variance of standard]]="","",IF(AND(ABS(tblOrders[[#This Row],[Total variance]])&gt;=AmtLimit,ABS(tblOrders[[#This Row],[Variance of standard]])&gt;=PctLimit),"Out of limits","Within limits")))</f>
        <v>Within limits</v>
      </c>
      <c r="AB58"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8" s="52">
        <f>IF(tblOrders[[#This Row],[Date closed]]="","",IF(AND(tblOrders[[#This Row],[Date closed]]&gt;=FFrom,tblOrders[[#This Row],[Date closed]]&lt;=FTo,OR(DashProduct="",tblOrders[[#This Row],[Product]]=DashProduct)),tblOrders[[#This Row],[Date closed]],""))</f>
        <v>46272</v>
      </c>
      <c r="AD58" s="28" t="s">
        <v>126</v>
      </c>
    </row>
    <row r="59" spans="2:30">
      <c r="B59" s="41">
        <v>46273</v>
      </c>
      <c r="C59" s="28" t="s">
        <v>179</v>
      </c>
      <c r="D59" s="28" t="s">
        <v>95</v>
      </c>
      <c r="E59" s="30">
        <v>60</v>
      </c>
      <c r="F59" s="42">
        <v>763.8</v>
      </c>
      <c r="G59" s="37">
        <v>1018.15</v>
      </c>
      <c r="H59" s="42">
        <v>88.90000000000001</v>
      </c>
      <c r="I59" s="37">
        <v>2567.52</v>
      </c>
      <c r="J59" s="37">
        <v>3911.6</v>
      </c>
      <c r="K59" s="43">
        <f>IF(tblOrders[[#This Row],[Date closed]]="","",IFERROR(INDEX(tblStandards[Std material qty],MATCH(tblOrders[[#This Row],[Product]],tblStandards[Product],0)),""))</f>
        <v>11.5</v>
      </c>
      <c r="L59" s="44">
        <f>IF(tblOrders[[#This Row],[Date closed]]="","",IFERROR(INDEX(tblStandards[Std material price],MATCH(tblOrders[[#This Row],[Product]],tblStandards[Product],0)),""))</f>
        <v>1.25</v>
      </c>
      <c r="M59" s="43">
        <f>IF(tblOrders[[#This Row],[Date closed]]="","",IFERROR(INDEX(tblStandards[Std labour hours],MATCH(tblOrders[[#This Row],[Product]],tblStandards[Product],0)),""))</f>
        <v>1.4</v>
      </c>
      <c r="N59" s="45">
        <f>IF(tblOrders[[#This Row],[Date closed]]="","",IFERROR(INDEX(tblStandards[Std labour rate],MATCH(tblOrders[[#This Row],[Product]],tblStandards[Product],0)),""))</f>
        <v>28</v>
      </c>
      <c r="O59" s="45">
        <f>IF(tblOrders[[#This Row],[Date closed]]="","",IFERROR(INDEX(tblStandards[Std overhead rate],MATCH(tblOrders[[#This Row],[Product]],tblStandards[Product],0)),""))</f>
        <v>42</v>
      </c>
      <c r="P59" s="46">
        <f>IF(tblOrders[[#This Row],[Date closed]]="","",IF(tblOrders[[#This Row],[Std material qty]]="","",tblOrders[[#This Row],[Good qty]]*tblOrders[[#This Row],[Std material qty]]))</f>
        <v>690</v>
      </c>
      <c r="Q59" s="46">
        <f>IF(tblOrders[[#This Row],[Date closed]]="","",IF(tblOrders[[#This Row],[Std labour hours]]="","",tblOrders[[#This Row],[Good qty]]*tblOrders[[#This Row],[Std labour hours]]))</f>
        <v>84</v>
      </c>
      <c r="R59" s="47">
        <f>IF(tblOrders[[#This Row],[Date closed]]="","",IF(tblOrders[[#This Row],[Std qty allowed]]="","",tblOrders[[#This Row],[Std qty allowed]]*tblOrders[[#This Row],[Std material price]]+tblOrders[[#This Row],[Std hours allowed]]*(tblOrders[[#This Row],[Std labour rate]]+tblOrders[[#This Row],[Std overhead rate]])))</f>
        <v>6742.5</v>
      </c>
      <c r="S59" s="47">
        <f>IF(tblOrders[[#This Row],[Date closed]]="","",tblOrders[[#This Row],[Material cost]]+tblOrders[[#This Row],[Labour cost]]+tblOrders[[#This Row],[Overhead charged]])</f>
        <v>7497.27</v>
      </c>
      <c r="T59" s="47">
        <f>IF(tblOrders[[#This Row],[Date closed]]="","",IF(tblOrders[[#This Row],[Std material price]]="","",tblOrders[[#This Row],[Material cost]]-tblOrders[[#This Row],[Material used]]*tblOrders[[#This Row],[Std material price]]))</f>
        <v>63.4</v>
      </c>
      <c r="U59" s="47">
        <f>IF(tblOrders[[#This Row],[Date closed]]="","",IF(tblOrders[[#This Row],[Std qty allowed]]="","",(tblOrders[[#This Row],[Material used]]-tblOrders[[#This Row],[Std qty allowed]])*tblOrders[[#This Row],[Std material price]]))</f>
        <v>92.2499999999999</v>
      </c>
      <c r="V59" s="47">
        <f>IF(tblOrders[[#This Row],[Date closed]]="","",IF(tblOrders[[#This Row],[Std labour rate]]="","",tblOrders[[#This Row],[Labour cost]]-tblOrders[[#This Row],[Labour hours]]*tblOrders[[#This Row],[Std labour rate]]))</f>
        <v>78.3199999999997</v>
      </c>
      <c r="W59" s="47">
        <f>IF(tblOrders[[#This Row],[Date closed]]="","",IF(tblOrders[[#This Row],[Std hours allowed]]="","",(tblOrders[[#This Row],[Labour hours]]-tblOrders[[#This Row],[Std hours allowed]])*tblOrders[[#This Row],[Std labour rate]]))</f>
        <v>137.2</v>
      </c>
      <c r="X59" s="47">
        <f>IF(tblOrders[[#This Row],[Date closed]]="","",IF(tblOrders[[#This Row],[Std hours allowed]]="","",tblOrders[[#This Row],[Overhead charged]]-tblOrders[[#This Row],[Std hours allowed]]*tblOrders[[#This Row],[Std overhead rate]]))</f>
        <v>383.6</v>
      </c>
      <c r="Y59" s="48">
        <f>IF(tblOrders[[#This Row],[Date closed]]="","",IF(tblOrders[[#This Row],[Standard cost]]="","",tblOrders[[#This Row],[Actual cost]]-tblOrders[[#This Row],[Standard cost]]))</f>
        <v>754.77</v>
      </c>
      <c r="Z59" s="49">
        <f>IF(tblOrders[[#This Row],[Date closed]]="","",IF(N(tblOrders[[#This Row],[Standard cost]])=0,"",tblOrders[[#This Row],[Total variance]]/tblOrders[[#This Row],[Standard cost]]))</f>
        <v>0.111942157953281</v>
      </c>
      <c r="AA59" s="50" t="str">
        <f>IF(tblOrders[[#This Row],[Date closed]]="","",IF(tblOrders[[#This Row],[Variance of standard]]="","",IF(AND(ABS(tblOrders[[#This Row],[Total variance]])&gt;=AmtLimit,ABS(tblOrders[[#This Row],[Variance of standard]])&gt;=PctLimit),"Out of limits","Within limits")))</f>
        <v>Out of limits</v>
      </c>
      <c r="AB59"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59" s="52">
        <f>IF(tblOrders[[#This Row],[Date closed]]="","",IF(AND(tblOrders[[#This Row],[Date closed]]&gt;=FFrom,tblOrders[[#This Row],[Date closed]]&lt;=FTo,OR(DashProduct="",tblOrders[[#This Row],[Product]]=DashProduct)),tblOrders[[#This Row],[Date closed]],""))</f>
        <v>46273</v>
      </c>
      <c r="AD59" s="28" t="s">
        <v>126</v>
      </c>
    </row>
    <row r="60" spans="2:30">
      <c r="B60" s="41">
        <v>46274</v>
      </c>
      <c r="C60" s="28" t="s">
        <v>180</v>
      </c>
      <c r="D60" s="28" t="s">
        <v>97</v>
      </c>
      <c r="E60" s="30">
        <v>60</v>
      </c>
      <c r="F60" s="42">
        <v>1936</v>
      </c>
      <c r="G60" s="37">
        <v>2265.12</v>
      </c>
      <c r="H60" s="42">
        <v>138.6</v>
      </c>
      <c r="I60" s="37">
        <v>4399.93</v>
      </c>
      <c r="J60" s="37">
        <v>6098.4</v>
      </c>
      <c r="K60" s="43">
        <f>IF(tblOrders[[#This Row],[Date closed]]="","",IFERROR(INDEX(tblStandards[Std material qty],MATCH(tblOrders[[#This Row],[Product]],tblStandards[Product],0)),""))</f>
        <v>32</v>
      </c>
      <c r="L60" s="44">
        <f>IF(tblOrders[[#This Row],[Date closed]]="","",IFERROR(INDEX(tblStandards[Std material price],MATCH(tblOrders[[#This Row],[Product]],tblStandards[Product],0)),""))</f>
        <v>1.1</v>
      </c>
      <c r="M60" s="43">
        <f>IF(tblOrders[[#This Row],[Date closed]]="","",IFERROR(INDEX(tblStandards[Std labour hours],MATCH(tblOrders[[#This Row],[Product]],tblStandards[Product],0)),""))</f>
        <v>2.2</v>
      </c>
      <c r="N60" s="45">
        <f>IF(tblOrders[[#This Row],[Date closed]]="","",IFERROR(INDEX(tblStandards[Std labour rate],MATCH(tblOrders[[#This Row],[Product]],tblStandards[Product],0)),""))</f>
        <v>30</v>
      </c>
      <c r="O60" s="45">
        <f>IF(tblOrders[[#This Row],[Date closed]]="","",IFERROR(INDEX(tblStandards[Std overhead rate],MATCH(tblOrders[[#This Row],[Product]],tblStandards[Product],0)),""))</f>
        <v>42</v>
      </c>
      <c r="P60" s="46">
        <f>IF(tblOrders[[#This Row],[Date closed]]="","",IF(tblOrders[[#This Row],[Std material qty]]="","",tblOrders[[#This Row],[Good qty]]*tblOrders[[#This Row],[Std material qty]]))</f>
        <v>1920</v>
      </c>
      <c r="Q60" s="46">
        <f>IF(tblOrders[[#This Row],[Date closed]]="","",IF(tblOrders[[#This Row],[Std labour hours]]="","",tblOrders[[#This Row],[Good qty]]*tblOrders[[#This Row],[Std labour hours]]))</f>
        <v>132</v>
      </c>
      <c r="R60" s="47">
        <f>IF(tblOrders[[#This Row],[Date closed]]="","",IF(tblOrders[[#This Row],[Std qty allowed]]="","",tblOrders[[#This Row],[Std qty allowed]]*tblOrders[[#This Row],[Std material price]]+tblOrders[[#This Row],[Std hours allowed]]*(tblOrders[[#This Row],[Std labour rate]]+tblOrders[[#This Row],[Std overhead rate]])))</f>
        <v>11616</v>
      </c>
      <c r="S60" s="47">
        <f>IF(tblOrders[[#This Row],[Date closed]]="","",tblOrders[[#This Row],[Material cost]]+tblOrders[[#This Row],[Labour cost]]+tblOrders[[#This Row],[Overhead charged]])</f>
        <v>12763.45</v>
      </c>
      <c r="T60" s="47">
        <f>IF(tblOrders[[#This Row],[Date closed]]="","",IF(tblOrders[[#This Row],[Std material price]]="","",tblOrders[[#This Row],[Material cost]]-tblOrders[[#This Row],[Material used]]*tblOrders[[#This Row],[Std material price]]))</f>
        <v>135.52</v>
      </c>
      <c r="U60" s="47">
        <f>IF(tblOrders[[#This Row],[Date closed]]="","",IF(tblOrders[[#This Row],[Std qty allowed]]="","",(tblOrders[[#This Row],[Material used]]-tblOrders[[#This Row],[Std qty allowed]])*tblOrders[[#This Row],[Std material price]]))</f>
        <v>17.6</v>
      </c>
      <c r="V60" s="47">
        <f>IF(tblOrders[[#This Row],[Date closed]]="","",IF(tblOrders[[#This Row],[Std labour rate]]="","",tblOrders[[#This Row],[Labour cost]]-tblOrders[[#This Row],[Labour hours]]*tblOrders[[#This Row],[Std labour rate]]))</f>
        <v>241.93</v>
      </c>
      <c r="W60" s="47">
        <f>IF(tblOrders[[#This Row],[Date closed]]="","",IF(tblOrders[[#This Row],[Std hours allowed]]="","",(tblOrders[[#This Row],[Labour hours]]-tblOrders[[#This Row],[Std hours allowed]])*tblOrders[[#This Row],[Std labour rate]]))</f>
        <v>198</v>
      </c>
      <c r="X60" s="47">
        <f>IF(tblOrders[[#This Row],[Date closed]]="","",IF(tblOrders[[#This Row],[Std hours allowed]]="","",tblOrders[[#This Row],[Overhead charged]]-tblOrders[[#This Row],[Std hours allowed]]*tblOrders[[#This Row],[Std overhead rate]]))</f>
        <v>554.4</v>
      </c>
      <c r="Y60" s="48">
        <f>IF(tblOrders[[#This Row],[Date closed]]="","",IF(tblOrders[[#This Row],[Standard cost]]="","",tblOrders[[#This Row],[Actual cost]]-tblOrders[[#This Row],[Standard cost]]))</f>
        <v>1147.45</v>
      </c>
      <c r="Z60" s="49">
        <f>IF(tblOrders[[#This Row],[Date closed]]="","",IF(N(tblOrders[[#This Row],[Standard cost]])=0,"",tblOrders[[#This Row],[Total variance]]/tblOrders[[#This Row],[Standard cost]]))</f>
        <v>0.09878185261708</v>
      </c>
      <c r="AA60" s="50" t="str">
        <f>IF(tblOrders[[#This Row],[Date closed]]="","",IF(tblOrders[[#This Row],[Variance of standard]]="","",IF(AND(ABS(tblOrders[[#This Row],[Total variance]])&gt;=AmtLimit,ABS(tblOrders[[#This Row],[Variance of standard]])&gt;=PctLimit),"Out of limits","Within limits")))</f>
        <v>Out of limits</v>
      </c>
      <c r="AB60"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0" s="52">
        <f>IF(tblOrders[[#This Row],[Date closed]]="","",IF(AND(tblOrders[[#This Row],[Date closed]]&gt;=FFrom,tblOrders[[#This Row],[Date closed]]&lt;=FTo,OR(DashProduct="",tblOrders[[#This Row],[Product]]=DashProduct)),tblOrders[[#This Row],[Date closed]],""))</f>
        <v>46274</v>
      </c>
      <c r="AD60" s="28" t="s">
        <v>126</v>
      </c>
    </row>
    <row r="61" spans="2:30">
      <c r="B61" s="41">
        <v>46279</v>
      </c>
      <c r="C61" s="28" t="s">
        <v>181</v>
      </c>
      <c r="D61" s="28" t="s">
        <v>93</v>
      </c>
      <c r="E61" s="30">
        <v>140</v>
      </c>
      <c r="F61" s="42">
        <v>1179.7</v>
      </c>
      <c r="G61" s="37">
        <v>1580.8</v>
      </c>
      <c r="H61" s="42">
        <v>91.40000000000001</v>
      </c>
      <c r="I61" s="37">
        <v>2711.41</v>
      </c>
      <c r="J61" s="37">
        <v>4021.6</v>
      </c>
      <c r="K61" s="43">
        <f>IF(tblOrders[[#This Row],[Date closed]]="","",IFERROR(INDEX(tblStandards[Std material qty],MATCH(tblOrders[[#This Row],[Product]],tblStandards[Product],0)),""))</f>
        <v>8.2</v>
      </c>
      <c r="L61" s="44">
        <f>IF(tblOrders[[#This Row],[Date closed]]="","",IFERROR(INDEX(tblStandards[Std material price],MATCH(tblOrders[[#This Row],[Product]],tblStandards[Product],0)),""))</f>
        <v>1.25</v>
      </c>
      <c r="M61" s="43">
        <f>IF(tblOrders[[#This Row],[Date closed]]="","",IFERROR(INDEX(tblStandards[Std labour hours],MATCH(tblOrders[[#This Row],[Product]],tblStandards[Product],0)),""))</f>
        <v>0.65</v>
      </c>
      <c r="N61" s="45">
        <f>IF(tblOrders[[#This Row],[Date closed]]="","",IFERROR(INDEX(tblStandards[Std labour rate],MATCH(tblOrders[[#This Row],[Product]],tblStandards[Product],0)),""))</f>
        <v>28</v>
      </c>
      <c r="O61" s="45">
        <f>IF(tblOrders[[#This Row],[Date closed]]="","",IFERROR(INDEX(tblStandards[Std overhead rate],MATCH(tblOrders[[#This Row],[Product]],tblStandards[Product],0)),""))</f>
        <v>42</v>
      </c>
      <c r="P61" s="46">
        <f>IF(tblOrders[[#This Row],[Date closed]]="","",IF(tblOrders[[#This Row],[Std material qty]]="","",tblOrders[[#This Row],[Good qty]]*tblOrders[[#This Row],[Std material qty]]))</f>
        <v>1148</v>
      </c>
      <c r="Q61" s="46">
        <f>IF(tblOrders[[#This Row],[Date closed]]="","",IF(tblOrders[[#This Row],[Std labour hours]]="","",tblOrders[[#This Row],[Good qty]]*tblOrders[[#This Row],[Std labour hours]]))</f>
        <v>91</v>
      </c>
      <c r="R61" s="47">
        <f>IF(tblOrders[[#This Row],[Date closed]]="","",IF(tblOrders[[#This Row],[Std qty allowed]]="","",tblOrders[[#This Row],[Std qty allowed]]*tblOrders[[#This Row],[Std material price]]+tblOrders[[#This Row],[Std hours allowed]]*(tblOrders[[#This Row],[Std labour rate]]+tblOrders[[#This Row],[Std overhead rate]])))</f>
        <v>7805</v>
      </c>
      <c r="S61" s="47">
        <f>IF(tblOrders[[#This Row],[Date closed]]="","",tblOrders[[#This Row],[Material cost]]+tblOrders[[#This Row],[Labour cost]]+tblOrders[[#This Row],[Overhead charged]])</f>
        <v>8313.81</v>
      </c>
      <c r="T61" s="47">
        <f>IF(tblOrders[[#This Row],[Date closed]]="","",IF(tblOrders[[#This Row],[Std material price]]="","",tblOrders[[#This Row],[Material cost]]-tblOrders[[#This Row],[Material used]]*tblOrders[[#This Row],[Std material price]]))</f>
        <v>106.175</v>
      </c>
      <c r="U61" s="47">
        <f>IF(tblOrders[[#This Row],[Date closed]]="","",IF(tblOrders[[#This Row],[Std qty allowed]]="","",(tblOrders[[#This Row],[Material used]]-tblOrders[[#This Row],[Std qty allowed]])*tblOrders[[#This Row],[Std material price]]))</f>
        <v>39.6250000000001</v>
      </c>
      <c r="V61" s="47">
        <f>IF(tblOrders[[#This Row],[Date closed]]="","",IF(tblOrders[[#This Row],[Std labour rate]]="","",tblOrders[[#This Row],[Labour cost]]-tblOrders[[#This Row],[Labour hours]]*tblOrders[[#This Row],[Std labour rate]]))</f>
        <v>152.21</v>
      </c>
      <c r="W61" s="47">
        <f>IF(tblOrders[[#This Row],[Date closed]]="","",IF(tblOrders[[#This Row],[Std hours allowed]]="","",(tblOrders[[#This Row],[Labour hours]]-tblOrders[[#This Row],[Std hours allowed]])*tblOrders[[#This Row],[Std labour rate]]))</f>
        <v>11.2000000000002</v>
      </c>
      <c r="X61" s="47">
        <f>IF(tblOrders[[#This Row],[Date closed]]="","",IF(tblOrders[[#This Row],[Std hours allowed]]="","",tblOrders[[#This Row],[Overhead charged]]-tblOrders[[#This Row],[Std hours allowed]]*tblOrders[[#This Row],[Std overhead rate]]))</f>
        <v>199.6</v>
      </c>
      <c r="Y61" s="48">
        <f>IF(tblOrders[[#This Row],[Date closed]]="","",IF(tblOrders[[#This Row],[Standard cost]]="","",tblOrders[[#This Row],[Actual cost]]-tblOrders[[#This Row],[Standard cost]]))</f>
        <v>508.81</v>
      </c>
      <c r="Z61" s="49">
        <f>IF(tblOrders[[#This Row],[Date closed]]="","",IF(N(tblOrders[[#This Row],[Standard cost]])=0,"",tblOrders[[#This Row],[Total variance]]/tblOrders[[#This Row],[Standard cost]]))</f>
        <v>0.065190262652146</v>
      </c>
      <c r="AA61" s="50" t="str">
        <f>IF(tblOrders[[#This Row],[Date closed]]="","",IF(tblOrders[[#This Row],[Variance of standard]]="","",IF(AND(ABS(tblOrders[[#This Row],[Total variance]])&gt;=AmtLimit,ABS(tblOrders[[#This Row],[Variance of standard]])&gt;=PctLimit),"Out of limits","Within limits")))</f>
        <v>Out of limits</v>
      </c>
      <c r="AB61"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1" s="52">
        <f>IF(tblOrders[[#This Row],[Date closed]]="","",IF(AND(tblOrders[[#This Row],[Date closed]]&gt;=FFrom,tblOrders[[#This Row],[Date closed]]&lt;=FTo,OR(DashProduct="",tblOrders[[#This Row],[Product]]=DashProduct)),tblOrders[[#This Row],[Date closed]],""))</f>
        <v>46279</v>
      </c>
      <c r="AD61" s="28" t="s">
        <v>126</v>
      </c>
    </row>
    <row r="62" spans="2:30">
      <c r="B62" s="41">
        <v>46281</v>
      </c>
      <c r="C62" s="28" t="s">
        <v>182</v>
      </c>
      <c r="D62" s="28" t="s">
        <v>89</v>
      </c>
      <c r="E62" s="30">
        <v>340</v>
      </c>
      <c r="F62" s="42">
        <v>2262.9</v>
      </c>
      <c r="G62" s="37">
        <v>2695.11</v>
      </c>
      <c r="H62" s="42">
        <v>65.3</v>
      </c>
      <c r="I62" s="37">
        <v>1902.08</v>
      </c>
      <c r="J62" s="37">
        <v>2873.2</v>
      </c>
      <c r="K62" s="43">
        <f>IF(tblOrders[[#This Row],[Date closed]]="","",IFERROR(INDEX(tblStandards[Std material qty],MATCH(tblOrders[[#This Row],[Product]],tblStandards[Product],0)),""))</f>
        <v>6.5</v>
      </c>
      <c r="L62" s="44">
        <f>IF(tblOrders[[#This Row],[Date closed]]="","",IFERROR(INDEX(tblStandards[Std material price],MATCH(tblOrders[[#This Row],[Product]],tblStandards[Product],0)),""))</f>
        <v>1.1</v>
      </c>
      <c r="M62" s="43">
        <f>IF(tblOrders[[#This Row],[Date closed]]="","",IFERROR(INDEX(tblStandards[Std labour hours],MATCH(tblOrders[[#This Row],[Product]],tblStandards[Product],0)),""))</f>
        <v>0.2</v>
      </c>
      <c r="N62" s="45">
        <f>IF(tblOrders[[#This Row],[Date closed]]="","",IFERROR(INDEX(tblStandards[Std labour rate],MATCH(tblOrders[[#This Row],[Product]],tblStandards[Product],0)),""))</f>
        <v>28</v>
      </c>
      <c r="O62" s="45">
        <f>IF(tblOrders[[#This Row],[Date closed]]="","",IFERROR(INDEX(tblStandards[Std overhead rate],MATCH(tblOrders[[#This Row],[Product]],tblStandards[Product],0)),""))</f>
        <v>42</v>
      </c>
      <c r="P62" s="46">
        <f>IF(tblOrders[[#This Row],[Date closed]]="","",IF(tblOrders[[#This Row],[Std material qty]]="","",tblOrders[[#This Row],[Good qty]]*tblOrders[[#This Row],[Std material qty]]))</f>
        <v>2210</v>
      </c>
      <c r="Q62" s="46">
        <f>IF(tblOrders[[#This Row],[Date closed]]="","",IF(tblOrders[[#This Row],[Std labour hours]]="","",tblOrders[[#This Row],[Good qty]]*tblOrders[[#This Row],[Std labour hours]]))</f>
        <v>68</v>
      </c>
      <c r="R62" s="47">
        <f>IF(tblOrders[[#This Row],[Date closed]]="","",IF(tblOrders[[#This Row],[Std qty allowed]]="","",tblOrders[[#This Row],[Std qty allowed]]*tblOrders[[#This Row],[Std material price]]+tblOrders[[#This Row],[Std hours allowed]]*(tblOrders[[#This Row],[Std labour rate]]+tblOrders[[#This Row],[Std overhead rate]])))</f>
        <v>7191</v>
      </c>
      <c r="S62" s="47">
        <f>IF(tblOrders[[#This Row],[Date closed]]="","",tblOrders[[#This Row],[Material cost]]+tblOrders[[#This Row],[Labour cost]]+tblOrders[[#This Row],[Overhead charged]])</f>
        <v>7470.39</v>
      </c>
      <c r="T62" s="47">
        <f>IF(tblOrders[[#This Row],[Date closed]]="","",IF(tblOrders[[#This Row],[Std material price]]="","",tblOrders[[#This Row],[Material cost]]-tblOrders[[#This Row],[Material used]]*tblOrders[[#This Row],[Std material price]]))</f>
        <v>205.92</v>
      </c>
      <c r="U62" s="47">
        <f>IF(tblOrders[[#This Row],[Date closed]]="","",IF(tblOrders[[#This Row],[Std qty allowed]]="","",(tblOrders[[#This Row],[Material used]]-tblOrders[[#This Row],[Std qty allowed]])*tblOrders[[#This Row],[Std material price]]))</f>
        <v>58.1900000000001</v>
      </c>
      <c r="V62" s="47">
        <f>IF(tblOrders[[#This Row],[Date closed]]="","",IF(tblOrders[[#This Row],[Std labour rate]]="","",tblOrders[[#This Row],[Labour cost]]-tblOrders[[#This Row],[Labour hours]]*tblOrders[[#This Row],[Std labour rate]]))</f>
        <v>73.6800000000001</v>
      </c>
      <c r="W62" s="47">
        <f>IF(tblOrders[[#This Row],[Date closed]]="","",IF(tblOrders[[#This Row],[Std hours allowed]]="","",(tblOrders[[#This Row],[Labour hours]]-tblOrders[[#This Row],[Std hours allowed]])*tblOrders[[#This Row],[Std labour rate]]))</f>
        <v>-75.6000000000001</v>
      </c>
      <c r="X62" s="47">
        <f>IF(tblOrders[[#This Row],[Date closed]]="","",IF(tblOrders[[#This Row],[Std hours allowed]]="","",tblOrders[[#This Row],[Overhead charged]]-tblOrders[[#This Row],[Std hours allowed]]*tblOrders[[#This Row],[Std overhead rate]]))</f>
        <v>17.1999999999998</v>
      </c>
      <c r="Y62" s="48">
        <f>IF(tblOrders[[#This Row],[Date closed]]="","",IF(tblOrders[[#This Row],[Standard cost]]="","",tblOrders[[#This Row],[Actual cost]]-tblOrders[[#This Row],[Standard cost]]))</f>
        <v>279.39</v>
      </c>
      <c r="Z62" s="49">
        <f>IF(tblOrders[[#This Row],[Date closed]]="","",IF(N(tblOrders[[#This Row],[Standard cost]])=0,"",tblOrders[[#This Row],[Total variance]]/tblOrders[[#This Row],[Standard cost]]))</f>
        <v>0.0388527325823947</v>
      </c>
      <c r="AA62" s="50" t="str">
        <f>IF(tblOrders[[#This Row],[Date closed]]="","",IF(tblOrders[[#This Row],[Variance of standard]]="","",IF(AND(ABS(tblOrders[[#This Row],[Total variance]])&gt;=AmtLimit,ABS(tblOrders[[#This Row],[Variance of standard]])&gt;=PctLimit),"Out of limits","Within limits")))</f>
        <v>Within limits</v>
      </c>
      <c r="AB62"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2" s="52">
        <f>IF(tblOrders[[#This Row],[Date closed]]="","",IF(AND(tblOrders[[#This Row],[Date closed]]&gt;=FFrom,tblOrders[[#This Row],[Date closed]]&lt;=FTo,OR(DashProduct="",tblOrders[[#This Row],[Product]]=DashProduct)),tblOrders[[#This Row],[Date closed]],""))</f>
        <v>46281</v>
      </c>
      <c r="AD62" s="28" t="s">
        <v>126</v>
      </c>
    </row>
    <row r="63" spans="2:30">
      <c r="B63" s="41">
        <v>46282</v>
      </c>
      <c r="C63" s="28" t="s">
        <v>183</v>
      </c>
      <c r="D63" s="28" t="s">
        <v>93</v>
      </c>
      <c r="E63" s="30">
        <v>130</v>
      </c>
      <c r="F63" s="42">
        <v>1093.1</v>
      </c>
      <c r="G63" s="37">
        <v>1473.5</v>
      </c>
      <c r="H63" s="42">
        <v>86.59999999999999</v>
      </c>
      <c r="I63" s="37">
        <v>2543.57</v>
      </c>
      <c r="J63" s="37">
        <v>3810.4</v>
      </c>
      <c r="K63" s="43">
        <f>IF(tblOrders[[#This Row],[Date closed]]="","",IFERROR(INDEX(tblStandards[Std material qty],MATCH(tblOrders[[#This Row],[Product]],tblStandards[Product],0)),""))</f>
        <v>8.2</v>
      </c>
      <c r="L63" s="44">
        <f>IF(tblOrders[[#This Row],[Date closed]]="","",IFERROR(INDEX(tblStandards[Std material price],MATCH(tblOrders[[#This Row],[Product]],tblStandards[Product],0)),""))</f>
        <v>1.25</v>
      </c>
      <c r="M63" s="43">
        <f>IF(tblOrders[[#This Row],[Date closed]]="","",IFERROR(INDEX(tblStandards[Std labour hours],MATCH(tblOrders[[#This Row],[Product]],tblStandards[Product],0)),""))</f>
        <v>0.65</v>
      </c>
      <c r="N63" s="45">
        <f>IF(tblOrders[[#This Row],[Date closed]]="","",IFERROR(INDEX(tblStandards[Std labour rate],MATCH(tblOrders[[#This Row],[Product]],tblStandards[Product],0)),""))</f>
        <v>28</v>
      </c>
      <c r="O63" s="45">
        <f>IF(tblOrders[[#This Row],[Date closed]]="","",IFERROR(INDEX(tblStandards[Std overhead rate],MATCH(tblOrders[[#This Row],[Product]],tblStandards[Product],0)),""))</f>
        <v>42</v>
      </c>
      <c r="P63" s="46">
        <f>IF(tblOrders[[#This Row],[Date closed]]="","",IF(tblOrders[[#This Row],[Std material qty]]="","",tblOrders[[#This Row],[Good qty]]*tblOrders[[#This Row],[Std material qty]]))</f>
        <v>1066</v>
      </c>
      <c r="Q63" s="46">
        <f>IF(tblOrders[[#This Row],[Date closed]]="","",IF(tblOrders[[#This Row],[Std labour hours]]="","",tblOrders[[#This Row],[Good qty]]*tblOrders[[#This Row],[Std labour hours]]))</f>
        <v>84.5</v>
      </c>
      <c r="R63" s="47">
        <f>IF(tblOrders[[#This Row],[Date closed]]="","",IF(tblOrders[[#This Row],[Std qty allowed]]="","",tblOrders[[#This Row],[Std qty allowed]]*tblOrders[[#This Row],[Std material price]]+tblOrders[[#This Row],[Std hours allowed]]*(tblOrders[[#This Row],[Std labour rate]]+tblOrders[[#This Row],[Std overhead rate]])))</f>
        <v>7247.5</v>
      </c>
      <c r="S63" s="47">
        <f>IF(tblOrders[[#This Row],[Date closed]]="","",tblOrders[[#This Row],[Material cost]]+tblOrders[[#This Row],[Labour cost]]+tblOrders[[#This Row],[Overhead charged]])</f>
        <v>7827.47</v>
      </c>
      <c r="T63" s="47">
        <f>IF(tblOrders[[#This Row],[Date closed]]="","",IF(tblOrders[[#This Row],[Std material price]]="","",tblOrders[[#This Row],[Material cost]]-tblOrders[[#This Row],[Material used]]*tblOrders[[#This Row],[Std material price]]))</f>
        <v>107.125</v>
      </c>
      <c r="U63" s="47">
        <f>IF(tblOrders[[#This Row],[Date closed]]="","",IF(tblOrders[[#This Row],[Std qty allowed]]="","",(tblOrders[[#This Row],[Material used]]-tblOrders[[#This Row],[Std qty allowed]])*tblOrders[[#This Row],[Std material price]]))</f>
        <v>33.8749999999999</v>
      </c>
      <c r="V63" s="47">
        <f>IF(tblOrders[[#This Row],[Date closed]]="","",IF(tblOrders[[#This Row],[Std labour rate]]="","",tblOrders[[#This Row],[Labour cost]]-tblOrders[[#This Row],[Labour hours]]*tblOrders[[#This Row],[Std labour rate]]))</f>
        <v>118.77</v>
      </c>
      <c r="W63" s="47">
        <f>IF(tblOrders[[#This Row],[Date closed]]="","",IF(tblOrders[[#This Row],[Std hours allowed]]="","",(tblOrders[[#This Row],[Labour hours]]-tblOrders[[#This Row],[Std hours allowed]])*tblOrders[[#This Row],[Std labour rate]]))</f>
        <v>58.7999999999998</v>
      </c>
      <c r="X63" s="47">
        <f>IF(tblOrders[[#This Row],[Date closed]]="","",IF(tblOrders[[#This Row],[Std hours allowed]]="","",tblOrders[[#This Row],[Overhead charged]]-tblOrders[[#This Row],[Std hours allowed]]*tblOrders[[#This Row],[Std overhead rate]]))</f>
        <v>261.4</v>
      </c>
      <c r="Y63" s="48">
        <f>IF(tblOrders[[#This Row],[Date closed]]="","",IF(tblOrders[[#This Row],[Standard cost]]="","",tblOrders[[#This Row],[Actual cost]]-tblOrders[[#This Row],[Standard cost]]))</f>
        <v>579.97</v>
      </c>
      <c r="Z63" s="49">
        <f>IF(tblOrders[[#This Row],[Date closed]]="","",IF(N(tblOrders[[#This Row],[Standard cost]])=0,"",tblOrders[[#This Row],[Total variance]]/tblOrders[[#This Row],[Standard cost]]))</f>
        <v>0.0800234563642636</v>
      </c>
      <c r="AA63" s="50" t="str">
        <f>IF(tblOrders[[#This Row],[Date closed]]="","",IF(tblOrders[[#This Row],[Variance of standard]]="","",IF(AND(ABS(tblOrders[[#This Row],[Total variance]])&gt;=AmtLimit,ABS(tblOrders[[#This Row],[Variance of standard]])&gt;=PctLimit),"Out of limits","Within limits")))</f>
        <v>Out of limits</v>
      </c>
      <c r="AB63"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3" s="52">
        <f>IF(tblOrders[[#This Row],[Date closed]]="","",IF(AND(tblOrders[[#This Row],[Date closed]]&gt;=FFrom,tblOrders[[#This Row],[Date closed]]&lt;=FTo,OR(DashProduct="",tblOrders[[#This Row],[Product]]=DashProduct)),tblOrders[[#This Row],[Date closed]],""))</f>
        <v>46282</v>
      </c>
      <c r="AD63" s="28" t="s">
        <v>126</v>
      </c>
    </row>
    <row r="64" spans="2:30">
      <c r="B64" s="41">
        <v>46289</v>
      </c>
      <c r="C64" s="28" t="s">
        <v>184</v>
      </c>
      <c r="D64" s="28" t="s">
        <v>91</v>
      </c>
      <c r="E64" s="30">
        <v>100</v>
      </c>
      <c r="F64" s="42">
        <v>1420.4</v>
      </c>
      <c r="G64" s="37">
        <v>1742.83</v>
      </c>
      <c r="H64" s="42">
        <v>106.1</v>
      </c>
      <c r="I64" s="37">
        <v>3295.39</v>
      </c>
      <c r="J64" s="37">
        <v>4668.4</v>
      </c>
      <c r="K64" s="43">
        <f>IF(tblOrders[[#This Row],[Date closed]]="","",IFERROR(INDEX(tblStandards[Std material qty],MATCH(tblOrders[[#This Row],[Product]],tblStandards[Product],0)),""))</f>
        <v>14</v>
      </c>
      <c r="L64" s="44">
        <f>IF(tblOrders[[#This Row],[Date closed]]="","",IFERROR(INDEX(tblStandards[Std material price],MATCH(tblOrders[[#This Row],[Product]],tblStandards[Product],0)),""))</f>
        <v>1.15</v>
      </c>
      <c r="M64" s="43">
        <f>IF(tblOrders[[#This Row],[Date closed]]="","",IFERROR(INDEX(tblStandards[Std labour hours],MATCH(tblOrders[[#This Row],[Product]],tblStandards[Product],0)),""))</f>
        <v>1.1</v>
      </c>
      <c r="N64" s="45">
        <f>IF(tblOrders[[#This Row],[Date closed]]="","",IFERROR(INDEX(tblStandards[Std labour rate],MATCH(tblOrders[[#This Row],[Product]],tblStandards[Product],0)),""))</f>
        <v>30</v>
      </c>
      <c r="O64" s="45">
        <f>IF(tblOrders[[#This Row],[Date closed]]="","",IFERROR(INDEX(tblStandards[Std overhead rate],MATCH(tblOrders[[#This Row],[Product]],tblStandards[Product],0)),""))</f>
        <v>42</v>
      </c>
      <c r="P64" s="46">
        <f>IF(tblOrders[[#This Row],[Date closed]]="","",IF(tblOrders[[#This Row],[Std material qty]]="","",tblOrders[[#This Row],[Good qty]]*tblOrders[[#This Row],[Std material qty]]))</f>
        <v>1400</v>
      </c>
      <c r="Q64" s="46">
        <f>IF(tblOrders[[#This Row],[Date closed]]="","",IF(tblOrders[[#This Row],[Std labour hours]]="","",tblOrders[[#This Row],[Good qty]]*tblOrders[[#This Row],[Std labour hours]]))</f>
        <v>110</v>
      </c>
      <c r="R64" s="47">
        <f>IF(tblOrders[[#This Row],[Date closed]]="","",IF(tblOrders[[#This Row],[Std qty allowed]]="","",tblOrders[[#This Row],[Std qty allowed]]*tblOrders[[#This Row],[Std material price]]+tblOrders[[#This Row],[Std hours allowed]]*(tblOrders[[#This Row],[Std labour rate]]+tblOrders[[#This Row],[Std overhead rate]])))</f>
        <v>9530</v>
      </c>
      <c r="S64" s="47">
        <f>IF(tblOrders[[#This Row],[Date closed]]="","",tblOrders[[#This Row],[Material cost]]+tblOrders[[#This Row],[Labour cost]]+tblOrders[[#This Row],[Overhead charged]])</f>
        <v>9706.62</v>
      </c>
      <c r="T64" s="47">
        <f>IF(tblOrders[[#This Row],[Date closed]]="","",IF(tblOrders[[#This Row],[Std material price]]="","",tblOrders[[#This Row],[Material cost]]-tblOrders[[#This Row],[Material used]]*tblOrders[[#This Row],[Std material price]]))</f>
        <v>109.37</v>
      </c>
      <c r="U64" s="47">
        <f>IF(tblOrders[[#This Row],[Date closed]]="","",IF(tblOrders[[#This Row],[Std qty allowed]]="","",(tblOrders[[#This Row],[Material used]]-tblOrders[[#This Row],[Std qty allowed]])*tblOrders[[#This Row],[Std material price]]))</f>
        <v>23.4600000000001</v>
      </c>
      <c r="V64" s="47">
        <f>IF(tblOrders[[#This Row],[Date closed]]="","",IF(tblOrders[[#This Row],[Std labour rate]]="","",tblOrders[[#This Row],[Labour cost]]-tblOrders[[#This Row],[Labour hours]]*tblOrders[[#This Row],[Std labour rate]]))</f>
        <v>112.39</v>
      </c>
      <c r="W64" s="47">
        <f>IF(tblOrders[[#This Row],[Date closed]]="","",IF(tblOrders[[#This Row],[Std hours allowed]]="","",(tblOrders[[#This Row],[Labour hours]]-tblOrders[[#This Row],[Std hours allowed]])*tblOrders[[#This Row],[Std labour rate]]))</f>
        <v>-117.000000000001</v>
      </c>
      <c r="X64" s="47">
        <f>IF(tblOrders[[#This Row],[Date closed]]="","",IF(tblOrders[[#This Row],[Std hours allowed]]="","",tblOrders[[#This Row],[Overhead charged]]-tblOrders[[#This Row],[Std hours allowed]]*tblOrders[[#This Row],[Std overhead rate]]))</f>
        <v>48.3999999999987</v>
      </c>
      <c r="Y64" s="48">
        <f>IF(tblOrders[[#This Row],[Date closed]]="","",IF(tblOrders[[#This Row],[Standard cost]]="","",tblOrders[[#This Row],[Actual cost]]-tblOrders[[#This Row],[Standard cost]]))</f>
        <v>176.619999999999</v>
      </c>
      <c r="Z64" s="49">
        <f>IF(tblOrders[[#This Row],[Date closed]]="","",IF(N(tblOrders[[#This Row],[Standard cost]])=0,"",tblOrders[[#This Row],[Total variance]]/tblOrders[[#This Row],[Standard cost]]))</f>
        <v>0.018533053515215</v>
      </c>
      <c r="AA64" s="50" t="str">
        <f>IF(tblOrders[[#This Row],[Date closed]]="","",IF(tblOrders[[#This Row],[Variance of standard]]="","",IF(AND(ABS(tblOrders[[#This Row],[Total variance]])&gt;=AmtLimit,ABS(tblOrders[[#This Row],[Variance of standard]])&gt;=PctLimit),"Out of limits","Within limits")))</f>
        <v>Within limits</v>
      </c>
      <c r="AB64"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4" s="52">
        <f>IF(tblOrders[[#This Row],[Date closed]]="","",IF(AND(tblOrders[[#This Row],[Date closed]]&gt;=FFrom,tblOrders[[#This Row],[Date closed]]&lt;=FTo,OR(DashProduct="",tblOrders[[#This Row],[Product]]=DashProduct)),tblOrders[[#This Row],[Date closed]],""))</f>
        <v>46289</v>
      </c>
      <c r="AD64" s="28" t="s">
        <v>126</v>
      </c>
    </row>
    <row r="65" spans="2:30">
      <c r="B65" s="41">
        <v>46293</v>
      </c>
      <c r="C65" s="28" t="s">
        <v>185</v>
      </c>
      <c r="D65" s="28" t="s">
        <v>89</v>
      </c>
      <c r="E65" s="30">
        <v>390</v>
      </c>
      <c r="F65" s="42">
        <v>2560.3</v>
      </c>
      <c r="G65" s="37">
        <v>3010.91</v>
      </c>
      <c r="H65" s="42">
        <v>79.2</v>
      </c>
      <c r="I65" s="37">
        <v>2346.87</v>
      </c>
      <c r="J65" s="37">
        <v>3484.8</v>
      </c>
      <c r="K65" s="43">
        <f>IF(tblOrders[[#This Row],[Date closed]]="","",IFERROR(INDEX(tblStandards[Std material qty],MATCH(tblOrders[[#This Row],[Product]],tblStandards[Product],0)),""))</f>
        <v>6.5</v>
      </c>
      <c r="L65" s="44">
        <f>IF(tblOrders[[#This Row],[Date closed]]="","",IFERROR(INDEX(tblStandards[Std material price],MATCH(tblOrders[[#This Row],[Product]],tblStandards[Product],0)),""))</f>
        <v>1.1</v>
      </c>
      <c r="M65" s="43">
        <f>IF(tblOrders[[#This Row],[Date closed]]="","",IFERROR(INDEX(tblStandards[Std labour hours],MATCH(tblOrders[[#This Row],[Product]],tblStandards[Product],0)),""))</f>
        <v>0.2</v>
      </c>
      <c r="N65" s="45">
        <f>IF(tblOrders[[#This Row],[Date closed]]="","",IFERROR(INDEX(tblStandards[Std labour rate],MATCH(tblOrders[[#This Row],[Product]],tblStandards[Product],0)),""))</f>
        <v>28</v>
      </c>
      <c r="O65" s="45">
        <f>IF(tblOrders[[#This Row],[Date closed]]="","",IFERROR(INDEX(tblStandards[Std overhead rate],MATCH(tblOrders[[#This Row],[Product]],tblStandards[Product],0)),""))</f>
        <v>42</v>
      </c>
      <c r="P65" s="46">
        <f>IF(tblOrders[[#This Row],[Date closed]]="","",IF(tblOrders[[#This Row],[Std material qty]]="","",tblOrders[[#This Row],[Good qty]]*tblOrders[[#This Row],[Std material qty]]))</f>
        <v>2535</v>
      </c>
      <c r="Q65" s="46">
        <f>IF(tblOrders[[#This Row],[Date closed]]="","",IF(tblOrders[[#This Row],[Std labour hours]]="","",tblOrders[[#This Row],[Good qty]]*tblOrders[[#This Row],[Std labour hours]]))</f>
        <v>78</v>
      </c>
      <c r="R65" s="47">
        <f>IF(tblOrders[[#This Row],[Date closed]]="","",IF(tblOrders[[#This Row],[Std qty allowed]]="","",tblOrders[[#This Row],[Std qty allowed]]*tblOrders[[#This Row],[Std material price]]+tblOrders[[#This Row],[Std hours allowed]]*(tblOrders[[#This Row],[Std labour rate]]+tblOrders[[#This Row],[Std overhead rate]])))</f>
        <v>8248.5</v>
      </c>
      <c r="S65" s="47">
        <f>IF(tblOrders[[#This Row],[Date closed]]="","",tblOrders[[#This Row],[Material cost]]+tblOrders[[#This Row],[Labour cost]]+tblOrders[[#This Row],[Overhead charged]])</f>
        <v>8842.58</v>
      </c>
      <c r="T65" s="47">
        <f>IF(tblOrders[[#This Row],[Date closed]]="","",IF(tblOrders[[#This Row],[Std material price]]="","",tblOrders[[#This Row],[Material cost]]-tblOrders[[#This Row],[Material used]]*tblOrders[[#This Row],[Std material price]]))</f>
        <v>194.579999999999</v>
      </c>
      <c r="U65" s="47">
        <f>IF(tblOrders[[#This Row],[Date closed]]="","",IF(tblOrders[[#This Row],[Std qty allowed]]="","",(tblOrders[[#This Row],[Material used]]-tblOrders[[#This Row],[Std qty allowed]])*tblOrders[[#This Row],[Std material price]]))</f>
        <v>27.8300000000002</v>
      </c>
      <c r="V65" s="47">
        <f>IF(tblOrders[[#This Row],[Date closed]]="","",IF(tblOrders[[#This Row],[Std labour rate]]="","",tblOrders[[#This Row],[Labour cost]]-tblOrders[[#This Row],[Labour hours]]*tblOrders[[#This Row],[Std labour rate]]))</f>
        <v>129.27</v>
      </c>
      <c r="W65" s="47">
        <f>IF(tblOrders[[#This Row],[Date closed]]="","",IF(tblOrders[[#This Row],[Std hours allowed]]="","",(tblOrders[[#This Row],[Labour hours]]-tblOrders[[#This Row],[Std hours allowed]])*tblOrders[[#This Row],[Std labour rate]]))</f>
        <v>33.6000000000001</v>
      </c>
      <c r="X65" s="47">
        <f>IF(tblOrders[[#This Row],[Date closed]]="","",IF(tblOrders[[#This Row],[Std hours allowed]]="","",tblOrders[[#This Row],[Overhead charged]]-tblOrders[[#This Row],[Std hours allowed]]*tblOrders[[#This Row],[Std overhead rate]]))</f>
        <v>208.8</v>
      </c>
      <c r="Y65" s="48">
        <f>IF(tblOrders[[#This Row],[Date closed]]="","",IF(tblOrders[[#This Row],[Standard cost]]="","",tblOrders[[#This Row],[Actual cost]]-tblOrders[[#This Row],[Standard cost]]))</f>
        <v>594.08</v>
      </c>
      <c r="Z65" s="49">
        <f>IF(tblOrders[[#This Row],[Date closed]]="","",IF(N(tblOrders[[#This Row],[Standard cost]])=0,"",tblOrders[[#This Row],[Total variance]]/tblOrders[[#This Row],[Standard cost]]))</f>
        <v>0.072022792022792</v>
      </c>
      <c r="AA65" s="50" t="str">
        <f>IF(tblOrders[[#This Row],[Date closed]]="","",IF(tblOrders[[#This Row],[Variance of standard]]="","",IF(AND(ABS(tblOrders[[#This Row],[Total variance]])&gt;=AmtLimit,ABS(tblOrders[[#This Row],[Variance of standard]])&gt;=PctLimit),"Out of limits","Within limits")))</f>
        <v>Out of limits</v>
      </c>
      <c r="AB65"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5" s="52">
        <f>IF(tblOrders[[#This Row],[Date closed]]="","",IF(AND(tblOrders[[#This Row],[Date closed]]&gt;=FFrom,tblOrders[[#This Row],[Date closed]]&lt;=FTo,OR(DashProduct="",tblOrders[[#This Row],[Product]]=DashProduct)),tblOrders[[#This Row],[Date closed]],""))</f>
        <v>46293</v>
      </c>
      <c r="AD65" s="28" t="s">
        <v>126</v>
      </c>
    </row>
    <row r="66" spans="2:30">
      <c r="B66" s="41">
        <v>46295</v>
      </c>
      <c r="C66" s="28" t="s">
        <v>186</v>
      </c>
      <c r="D66" s="28" t="s">
        <v>89</v>
      </c>
      <c r="E66" s="30">
        <v>370</v>
      </c>
      <c r="F66" s="42">
        <v>2396.4</v>
      </c>
      <c r="G66" s="37">
        <v>2856.51</v>
      </c>
      <c r="H66" s="42">
        <v>71.3</v>
      </c>
      <c r="I66" s="37">
        <v>2064.96</v>
      </c>
      <c r="J66" s="37">
        <v>3137.2</v>
      </c>
      <c r="K66" s="43">
        <f>IF(tblOrders[[#This Row],[Date closed]]="","",IFERROR(INDEX(tblStandards[Std material qty],MATCH(tblOrders[[#This Row],[Product]],tblStandards[Product],0)),""))</f>
        <v>6.5</v>
      </c>
      <c r="L66" s="44">
        <f>IF(tblOrders[[#This Row],[Date closed]]="","",IFERROR(INDEX(tblStandards[Std material price],MATCH(tblOrders[[#This Row],[Product]],tblStandards[Product],0)),""))</f>
        <v>1.1</v>
      </c>
      <c r="M66" s="43">
        <f>IF(tblOrders[[#This Row],[Date closed]]="","",IFERROR(INDEX(tblStandards[Std labour hours],MATCH(tblOrders[[#This Row],[Product]],tblStandards[Product],0)),""))</f>
        <v>0.2</v>
      </c>
      <c r="N66" s="45">
        <f>IF(tblOrders[[#This Row],[Date closed]]="","",IFERROR(INDEX(tblStandards[Std labour rate],MATCH(tblOrders[[#This Row],[Product]],tblStandards[Product],0)),""))</f>
        <v>28</v>
      </c>
      <c r="O66" s="45">
        <f>IF(tblOrders[[#This Row],[Date closed]]="","",IFERROR(INDEX(tblStandards[Std overhead rate],MATCH(tblOrders[[#This Row],[Product]],tblStandards[Product],0)),""))</f>
        <v>42</v>
      </c>
      <c r="P66" s="46">
        <f>IF(tblOrders[[#This Row],[Date closed]]="","",IF(tblOrders[[#This Row],[Std material qty]]="","",tblOrders[[#This Row],[Good qty]]*tblOrders[[#This Row],[Std material qty]]))</f>
        <v>2405</v>
      </c>
      <c r="Q66" s="46">
        <f>IF(tblOrders[[#This Row],[Date closed]]="","",IF(tblOrders[[#This Row],[Std labour hours]]="","",tblOrders[[#This Row],[Good qty]]*tblOrders[[#This Row],[Std labour hours]]))</f>
        <v>74</v>
      </c>
      <c r="R66" s="47">
        <f>IF(tblOrders[[#This Row],[Date closed]]="","",IF(tblOrders[[#This Row],[Std qty allowed]]="","",tblOrders[[#This Row],[Std qty allowed]]*tblOrders[[#This Row],[Std material price]]+tblOrders[[#This Row],[Std hours allowed]]*(tblOrders[[#This Row],[Std labour rate]]+tblOrders[[#This Row],[Std overhead rate]])))</f>
        <v>7825.5</v>
      </c>
      <c r="S66" s="47">
        <f>IF(tblOrders[[#This Row],[Date closed]]="","",tblOrders[[#This Row],[Material cost]]+tblOrders[[#This Row],[Labour cost]]+tblOrders[[#This Row],[Overhead charged]])</f>
        <v>8058.67</v>
      </c>
      <c r="T66" s="47">
        <f>IF(tblOrders[[#This Row],[Date closed]]="","",IF(tblOrders[[#This Row],[Std material price]]="","",tblOrders[[#This Row],[Material cost]]-tblOrders[[#This Row],[Material used]]*tblOrders[[#This Row],[Std material price]]))</f>
        <v>220.47</v>
      </c>
      <c r="U66" s="47">
        <f>IF(tblOrders[[#This Row],[Date closed]]="","",IF(tblOrders[[#This Row],[Std qty allowed]]="","",(tblOrders[[#This Row],[Material used]]-tblOrders[[#This Row],[Std qty allowed]])*tblOrders[[#This Row],[Std material price]]))</f>
        <v>-9.4599999999999</v>
      </c>
      <c r="V66" s="47">
        <f>IF(tblOrders[[#This Row],[Date closed]]="","",IF(tblOrders[[#This Row],[Std labour rate]]="","",tblOrders[[#This Row],[Labour cost]]-tblOrders[[#This Row],[Labour hours]]*tblOrders[[#This Row],[Std labour rate]]))</f>
        <v>68.5600000000002</v>
      </c>
      <c r="W66" s="47">
        <f>IF(tblOrders[[#This Row],[Date closed]]="","",IF(tblOrders[[#This Row],[Std hours allowed]]="","",(tblOrders[[#This Row],[Labour hours]]-tblOrders[[#This Row],[Std hours allowed]])*tblOrders[[#This Row],[Std labour rate]]))</f>
        <v>-75.6000000000001</v>
      </c>
      <c r="X66" s="47">
        <f>IF(tblOrders[[#This Row],[Date closed]]="","",IF(tblOrders[[#This Row],[Std hours allowed]]="","",tblOrders[[#This Row],[Overhead charged]]-tblOrders[[#This Row],[Std hours allowed]]*tblOrders[[#This Row],[Std overhead rate]]))</f>
        <v>29.1999999999998</v>
      </c>
      <c r="Y66" s="48">
        <f>IF(tblOrders[[#This Row],[Date closed]]="","",IF(tblOrders[[#This Row],[Standard cost]]="","",tblOrders[[#This Row],[Actual cost]]-tblOrders[[#This Row],[Standard cost]]))</f>
        <v>233.17</v>
      </c>
      <c r="Z66" s="49">
        <f>IF(tblOrders[[#This Row],[Date closed]]="","",IF(N(tblOrders[[#This Row],[Standard cost]])=0,"",tblOrders[[#This Row],[Total variance]]/tblOrders[[#This Row],[Standard cost]]))</f>
        <v>0.0297961791578813</v>
      </c>
      <c r="AA66" s="50" t="str">
        <f>IF(tblOrders[[#This Row],[Date closed]]="","",IF(tblOrders[[#This Row],[Variance of standard]]="","",IF(AND(ABS(tblOrders[[#This Row],[Total variance]])&gt;=AmtLimit,ABS(tblOrders[[#This Row],[Variance of standard]])&gt;=PctLimit),"Out of limits","Within limits")))</f>
        <v>Within limits</v>
      </c>
      <c r="AB66" s="51" t="str">
        <f>IF(tblOrders[[#This Row],[Date closed]]="","",IF(tblOrders[[#This Row],[Product]]="","Missing product",IF(tblOrders[[#This Row],[Good qty]]="","Missing good qty",IF(tblOrders[[#This Row],[Material used]]="","Missing material used",IF(tblOrders[[#This Row],[Labour hours]]="","Missing labour hours",IF(tblOrders[[#This Row],[Std material qty]]="","Product not on Setup list",IF(tblOrders[[#This Row],[Good qty]]=0,"No good output",IF(AND(tblOrders[[#This Row],[Material used]]&gt;0,tblOrders[[#This Row],[Material cost]]=""),"Material cost missing",IF(AND(tblOrders[[#This Row],[Labour hours]]&gt;0,tblOrders[[#This Row],[Labour cost]]=""),"Labour cost missing",IF(COUNTIF(tblOrders[Order],tblOrders[[#This Row],[Order]])&gt;1,"Duplicate order","OK"))))))))))</f>
        <v>OK</v>
      </c>
      <c r="AC66" s="52">
        <f>IF(tblOrders[[#This Row],[Date closed]]="","",IF(AND(tblOrders[[#This Row],[Date closed]]&gt;=FFrom,tblOrders[[#This Row],[Date closed]]&lt;=FTo,OR(DashProduct="",tblOrders[[#This Row],[Product]]=DashProduct)),tblOrders[[#This Row],[Date closed]],""))</f>
        <v>46295</v>
      </c>
      <c r="AD66" s="28" t="s">
        <v>126</v>
      </c>
    </row>
  </sheetData>
  <mergeCells count="3">
    <mergeCell ref="A1:AD1"/>
    <mergeCell ref="B2:AC2"/>
    <mergeCell ref="B4:AD4"/>
  </mergeCells>
  <conditionalFormatting sqref="AA7:AA56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AB7:AB566">
    <cfRule type="expression" dxfId="3" priority="21">
      <formula>$AB7="OK"</formula>
    </cfRule>
    <cfRule type="expression" dxfId="1" priority="22">
      <formula>AND($AB7&lt;&gt;"",$AB7&lt;&gt;"OK")</formula>
    </cfRule>
  </conditionalFormatting>
  <dataValidations count="10">
    <dataValidation type="date" allowBlank="1" showInputMessage="1" showErrorMessage="1" errorTitle="Check this entry" error="Enter a date between 01 Jan 2000 and 31 Dec 2100." promptTitle="Date closed" prompt="Enter a date between 01 Jan 2000 and 31 Dec 2100." sqref="B7:B566">
      <formula1>36526</formula1>
      <formula2>73415</formula2>
    </dataValidation>
    <dataValidation type="textLength" allowBlank="1" showInputMessage="1" showErrorMessage="1" errorTitle="Check this entry" error="Text up to 30 characters." promptTitle="Order" prompt="Text up to 30 characters." sqref="C7:C566">
      <formula1>0</formula1>
      <formula2>30</formula2>
    </dataValidation>
    <dataValidation type="list" allowBlank="1" showInputMessage="1" showErrorMessage="1" errorTitle="Check this entry" error="Pick from the list (edit the list on Setup: Standards)." promptTitle="Product" prompt="Pick from the list (edit the list on Setup: Standards)." sqref="D7:D566">
      <formula1>Standards</formula1>
    </dataValidation>
    <dataValidation type="whole" allowBlank="1" showInputMessage="1" showErrorMessage="1" errorTitle="Check this entry" error="Enter a whole number of at least 0." promptTitle="Good qty" prompt="Good units reported complete on the order. Enter a whole number of at least 0." sqref="E7:E566">
      <formula1>0</formula1>
      <formula2>1000000000.0</formula2>
    </dataValidation>
    <dataValidation type="decimal" allowBlank="1" showInputMessage="1" showErrorMessage="1" errorTitle="Check this entry" error="Enter a number of at least 0." promptTitle="Material used" prompt="Material issued to the order, in the product's material unit (Setup), net of returns to stores. Enter a number of at least 0." sqref="F7:F566">
      <formula1>0</formula1>
      <formula2>10000000000.0</formula2>
    </dataValidation>
    <dataValidation type="decimal" allowBlank="1" showInputMessage="1" showErrorMessage="1" errorTitle="Check this entry" error="Enter a number of at least 0." promptTitle="Material cost" prompt="Actual cost of the material used (quantity x actual price paid). Enter a number of at least 0." sqref="G7:G566">
      <formula1>0</formula1>
      <formula2>10000000000.0</formula2>
    </dataValidation>
    <dataValidation type="decimal" allowBlank="1" showInputMessage="1" showErrorMessage="1" errorTitle="Check this entry" error="Enter a number from 0 to 100,000,000." promptTitle="Labour hours" prompt="Direct labour hours booked to the order. Enter a number from 0 to 100,000,000." sqref="H7:H566">
      <formula1>0</formula1>
      <formula2>100000000.0</formula2>
    </dataValidation>
    <dataValidation type="decimal" allowBlank="1" showInputMessage="1" showErrorMessage="1" errorTitle="Check this entry" error="Enter a number of at least 0." promptTitle="Labour cost" prompt="Actual pay for those hours, overtime premium included. Enter a number of at least 0." sqref="I7:I566">
      <formula1>0</formula1>
      <formula2>10000000000.0</formula2>
    </dataValidation>
    <dataValidation type="decimal" allowBlank="1" showInputMessage="1" showErrorMessage="1" errorTitle="Check this entry" error="Enter a number of at least 0." promptTitle="Overhead charged" prompt="Actual overhead charged to the order by your cost system (e.g. hours x the period's actual overhead rate). Enter a number of at least 0." sqref="J7:J566">
      <formula1>0</formula1>
      <formula2>10000000000.0</formula2>
    </dataValidation>
    <dataValidation type="textLength" allowBlank="1" showInputMessage="1" showErrorMessage="1" errorTitle="Check this entry" error="Text up to 255 characters." promptTitle="Notes" prompt="Text up to 255 characters." sqref="AD7:AD566">
      <formula1>0</formula1>
      <formula2>255</formula2>
    </dataValidation>
  </dataValidations>
  <hyperlinks>
    <hyperlink ref="AD2" r:id="rId1" tooltip="Free manufacturing calculators and templates"/>
  </hyperlinks>
  <pageMargins left="0.4" right="0.4" top="0.7" bottom="0.65" header="0.3" footer="0.3"/>
  <pageSetup fitToHeight="0" orientation="landscape"/>
  <headerFooter>
    <oddHeader>&amp;L&amp;8MFG Calcs - Standard Cost Variance&amp;R&amp;8&amp;A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0"/>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27" t="s">
        <v>62</v>
      </c>
      <c r="C4" s="28"/>
      <c r="D4" s="28"/>
      <c r="F4" s="27" t="s">
        <v>187</v>
      </c>
      <c r="G4" s="53"/>
      <c r="H4" s="53"/>
      <c r="J4" s="27" t="s">
        <v>188</v>
      </c>
      <c r="K4" s="53"/>
      <c r="L4" s="53"/>
    </row>
    <row r="5" spans="1:12">
      <c r="B5" s="54" t="str">
        <f>"Showing "&amp;COUNTIFS(tblOrders[View date],"&gt;0")&amp;" orders, standard cost "&amp;FIXED(SUMIFS(tblOrders[Standard cost],tblOrders[View date],"&gt;0"),0)&amp;" "&amp;Currency&amp;". Variance = actual - standard: positive is unfavourable. Leave the filters blank for everything."</f>
        <v>Showing 60 orders, standard cost 437,206 USD. Variance = actual - standard: positive is unfavourable. Leave the filters blank for everything.</v>
      </c>
      <c r="C5" s="54"/>
      <c r="D5" s="54"/>
      <c r="E5" s="54"/>
      <c r="F5" s="54"/>
      <c r="G5" s="54"/>
      <c r="H5" s="54"/>
      <c r="I5" s="54"/>
      <c r="J5" s="54"/>
      <c r="K5" s="54"/>
      <c r="L5" s="54"/>
    </row>
    <row r="7" spans="1:12" ht="18" customHeight="1">
      <c r="B7" s="55" t="str">
        <f>"NET VARIANCE ("&amp;Currency&amp;")"</f>
        <v>NET VARIANCE (USD)</v>
      </c>
      <c r="C7" s="55"/>
      <c r="D7" s="55" t="s">
        <v>189</v>
      </c>
      <c r="E7" s="55"/>
      <c r="F7" s="55"/>
      <c r="G7" s="55" t="s">
        <v>190</v>
      </c>
      <c r="H7" s="55"/>
      <c r="I7" s="55"/>
      <c r="J7" s="55" t="str">
        <f>"BIGGEST UNFAVOURABLE ("&amp;Currency&amp;")"</f>
        <v>BIGGEST UNFAVOURABLE (USD)</v>
      </c>
      <c r="K7" s="55"/>
      <c r="L7" s="55"/>
    </row>
    <row r="8" spans="1:12" ht="21" customHeight="1">
      <c r="B8" s="56">
        <f>SUMIFS(tblOrders[Total variance],tblOrders[View date],"&gt;0")</f>
        <v>8826.73</v>
      </c>
      <c r="C8" s="56"/>
      <c r="D8" s="57">
        <f>IF((SUMIFS(tblOrders[Standard cost],tblOrders[View date],"&gt;0"))=0,"",(SUMIFS(tblOrders[Total variance],tblOrders[View date],"&gt;0"))/(SUMIFS(tblOrders[Standard cost],tblOrders[View date],"&gt;0")))</f>
        <v>0.0201889590668742</v>
      </c>
      <c r="E8" s="57"/>
      <c r="F8" s="57"/>
      <c r="G8" s="56">
        <f>COUNTIFS(tblOrders[Status],"Out of limits",tblOrders[View date],"&gt;0")</f>
        <v>9</v>
      </c>
      <c r="H8" s="56"/>
      <c r="I8" s="56"/>
      <c r="J8" s="58" t="str">
        <f>IF(MAX($C$43:$C$47)&lt;=0,"None unfavourable",INDEX($B$43:$B$47,MATCH(MAX($C$43:$C$47),$C$43:$C$47,0))&amp;"  "&amp;FIXED(MAX($C$43:$C$47),0))</f>
        <v>Labour rate  2,407</v>
      </c>
      <c r="K8" s="58"/>
      <c r="L8" s="58"/>
    </row>
    <row r="9" spans="1:12" ht="21" customHeight="1">
      <c r="B9" s="56"/>
      <c r="C9" s="56"/>
      <c r="D9" s="57"/>
      <c r="E9" s="57"/>
      <c r="F9" s="57"/>
      <c r="G9" s="56"/>
      <c r="H9" s="56"/>
      <c r="I9" s="56"/>
      <c r="J9" s="58"/>
      <c r="K9" s="58"/>
      <c r="L9" s="58"/>
    </row>
    <row r="10" spans="1:12">
      <c r="B10" s="59" t="s">
        <v>191</v>
      </c>
      <c r="C10" s="59"/>
      <c r="D10" s="59" t="s">
        <v>192</v>
      </c>
      <c r="E10" s="59"/>
      <c r="F10" s="59"/>
      <c r="G10" s="59" t="s">
        <v>193</v>
      </c>
      <c r="H10" s="59"/>
      <c r="I10" s="59"/>
      <c r="J10" s="59" t="s">
        <v>194</v>
      </c>
      <c r="K10" s="59"/>
      <c r="L10" s="59"/>
    </row>
    <row r="11" spans="1:12" ht="18" customHeight="1">
      <c r="B11" s="60"/>
      <c r="C11" s="60"/>
      <c r="D11" s="60"/>
      <c r="E11" s="60"/>
      <c r="F11" s="60"/>
      <c r="G11" s="60"/>
      <c r="H11" s="60"/>
      <c r="I11" s="60"/>
      <c r="J11" s="60"/>
      <c r="K11" s="60"/>
      <c r="L11" s="60"/>
    </row>
    <row r="30" spans="2:10">
      <c r="B30" s="31" t="s">
        <v>195</v>
      </c>
      <c r="C30" s="31"/>
      <c r="D30" s="31"/>
      <c r="E30" s="31"/>
      <c r="F30" s="31"/>
      <c r="G30" s="31"/>
      <c r="H30" s="31"/>
      <c r="I30" s="31"/>
      <c r="J30" s="31"/>
    </row>
    <row r="31" spans="2:10" ht="32" customHeight="1">
      <c r="B31" s="61" t="s">
        <v>196</v>
      </c>
      <c r="C31" s="33" t="s">
        <v>109</v>
      </c>
      <c r="D31" s="33" t="s">
        <v>110</v>
      </c>
      <c r="E31" s="33" t="s">
        <v>197</v>
      </c>
      <c r="F31" s="33" t="s">
        <v>198</v>
      </c>
      <c r="G31" s="33" t="s">
        <v>115</v>
      </c>
      <c r="H31" s="33" t="s">
        <v>116</v>
      </c>
      <c r="I31" s="33" t="s">
        <v>199</v>
      </c>
      <c r="J31" s="33" t="s">
        <v>200</v>
      </c>
    </row>
    <row r="32" spans="2:10" ht="14" customHeight="1">
      <c r="B32" s="32"/>
      <c r="C32" s="32" t="str">
        <f>Currency</f>
        <v>USD</v>
      </c>
      <c r="D32" s="32" t="str">
        <f>Currency</f>
        <v>USD</v>
      </c>
      <c r="E32" s="32" t="str">
        <f>Currency</f>
        <v>USD</v>
      </c>
      <c r="F32" s="32" t="str">
        <f>Currency</f>
        <v>USD</v>
      </c>
      <c r="G32" s="32" t="str">
        <f>Currency</f>
        <v>USD</v>
      </c>
      <c r="H32" s="32" t="str">
        <f>Currency</f>
        <v>USD</v>
      </c>
      <c r="I32" s="32" t="s">
        <v>85</v>
      </c>
      <c r="J32" s="32" t="s">
        <v>201</v>
      </c>
    </row>
    <row r="33" spans="2:10">
      <c r="B33" s="62">
        <f>IF($B$34="","",IF(DATE(YEAR($B$34),MONTH($B$34)-1,1)&lt;DATE(YEAR(MIN(tblOrders[View date])),MONTH(MIN(tblOrders[View date])),1),"",DATE(YEAR($B$34),MONTH($B$34)-1,1)))</f>
        <v>46113</v>
      </c>
      <c r="C33" s="47">
        <f>IF($B$33="","",SUMIFS(tblOrders[Standard cost],tblOrders[View date],"&gt;="&amp;$B$33,tblOrders[View date],"&lt;"&amp;DATE(YEAR($B$33),MONTH($B$33)+1,1)))</f>
        <v>63170.55</v>
      </c>
      <c r="D33" s="47">
        <f>IF($B$33="","",SUMIFS(tblOrders[Actual cost],tblOrders[View date],"&gt;="&amp;$B$33,tblOrders[View date],"&lt;"&amp;DATE(YEAR($B$33),MONTH($B$33)+1,1)))</f>
        <v>62189.77</v>
      </c>
      <c r="E33" s="47">
        <f>IF($B$33="","",SUMIFS(tblOrders[Material price var.],tblOrders[View date],"&gt;="&amp;$B$33,tblOrders[View date],"&lt;"&amp;DATE(YEAR($B$33),MONTH($B$33)+1,1))+SUMIFS(tblOrders[Material usage var.],tblOrders[View date],"&gt;="&amp;$B$33,tblOrders[View date],"&lt;"&amp;DATE(YEAR($B$33),MONTH($B$33)+1,1)))</f>
        <v>389.88</v>
      </c>
      <c r="F33" s="47">
        <f>IF($B$33="","",SUMIFS(tblOrders[Labour rate var.],tblOrders[View date],"&gt;="&amp;$B$33,tblOrders[View date],"&lt;"&amp;DATE(YEAR($B$33),MONTH($B$33)+1,1))+SUMIFS(tblOrders[Labour efficiency var.],tblOrders[View date],"&gt;="&amp;$B$33,tblOrders[View date],"&lt;"&amp;DATE(YEAR($B$33),MONTH($B$33)+1,1)))</f>
        <v>-324.41</v>
      </c>
      <c r="G33" s="47">
        <f>IF($B$33="","",SUMIFS(tblOrders[Overhead var.],tblOrders[View date],"&gt;="&amp;$B$33,tblOrders[View date],"&lt;"&amp;DATE(YEAR($B$33),MONTH($B$33)+1,1)))</f>
        <v>-1046.25</v>
      </c>
      <c r="H33" s="48">
        <f>IF($B$33="","",$D$33-$C$33)</f>
        <v>-980.779999999999</v>
      </c>
      <c r="I33" s="49">
        <f>IF($B$33="","",IF(($C$33)=0,"",($H$33)/($C$33)))</f>
        <v>-0.0155259056633194</v>
      </c>
      <c r="J33" s="47">
        <f>IF($B$33="","",COUNTIFS(tblOrders[Status],"Out of limits",tblOrders[View date],"&gt;="&amp;$B$33,tblOrders[View date],"&lt;"&amp;DATE(YEAR($B$33),MONTH($B$33)+1,1)))</f>
        <v>0</v>
      </c>
    </row>
    <row r="34" spans="2:10">
      <c r="B34" s="62">
        <f>IF($B$35="","",IF(DATE(YEAR($B$35),MONTH($B$35)-1,1)&lt;DATE(YEAR(MIN(tblOrders[View date])),MONTH(MIN(tblOrders[View date])),1),"",DATE(YEAR($B$35),MONTH($B$35)-1,1)))</f>
        <v>46143</v>
      </c>
      <c r="C34" s="47">
        <f>IF($B$34="","",SUMIFS(tblOrders[Standard cost],tblOrders[View date],"&gt;="&amp;$B$34,tblOrders[View date],"&lt;"&amp;DATE(YEAR($B$34),MONTH($B$34)+1,1)))</f>
        <v>63436.1</v>
      </c>
      <c r="D34" s="47">
        <f>IF($B$34="","",SUMIFS(tblOrders[Actual cost],tblOrders[View date],"&gt;="&amp;$B$34,tblOrders[View date],"&lt;"&amp;DATE(YEAR($B$34),MONTH($B$34)+1,1)))</f>
        <v>63683.16</v>
      </c>
      <c r="E34" s="47">
        <f>IF($B$34="","",SUMIFS(tblOrders[Material price var.],tblOrders[View date],"&gt;="&amp;$B$34,tblOrders[View date],"&lt;"&amp;DATE(YEAR($B$34),MONTH($B$34)+1,1))+SUMIFS(tblOrders[Material usage var.],tblOrders[View date],"&gt;="&amp;$B$34,tblOrders[View date],"&lt;"&amp;DATE(YEAR($B$34),MONTH($B$34)+1,1)))</f>
        <v>392.71</v>
      </c>
      <c r="F34" s="47">
        <f>IF($B$34="","",SUMIFS(tblOrders[Labour rate var.],tblOrders[View date],"&gt;="&amp;$B$34,tblOrders[View date],"&lt;"&amp;DATE(YEAR($B$34),MONTH($B$34)+1,1))+SUMIFS(tblOrders[Labour efficiency var.],tblOrders[View date],"&gt;="&amp;$B$34,tblOrders[View date],"&lt;"&amp;DATE(YEAR($B$34),MONTH($B$34)+1,1)))</f>
        <v>379.950000000001</v>
      </c>
      <c r="G34" s="47">
        <f>IF($B$34="","",SUMIFS(tblOrders[Overhead var.],tblOrders[View date],"&gt;="&amp;$B$34,tblOrders[View date],"&lt;"&amp;DATE(YEAR($B$34),MONTH($B$34)+1,1)))</f>
        <v>-525.6</v>
      </c>
      <c r="H34" s="48">
        <f>IF($B$34="","",$D$34-$C$34)</f>
        <v>247.060000000005</v>
      </c>
      <c r="I34" s="49">
        <f>IF($B$34="","",IF(($C$34)=0,"",($H$34)/($C$34)))</f>
        <v>0.00389462782232837</v>
      </c>
      <c r="J34" s="47">
        <f>IF($B$34="","",COUNTIFS(tblOrders[Status],"Out of limits",tblOrders[View date],"&gt;="&amp;$B$34,tblOrders[View date],"&lt;"&amp;DATE(YEAR($B$34),MONTH($B$34)+1,1)))</f>
        <v>0</v>
      </c>
    </row>
    <row r="35" spans="2:10">
      <c r="B35" s="62">
        <f>IF($B$36="","",IF(DATE(YEAR($B$36),MONTH($B$36)-1,1)&lt;DATE(YEAR(MIN(tblOrders[View date])),MONTH(MIN(tblOrders[View date])),1),"",DATE(YEAR($B$36),MONTH($B$36)-1,1)))</f>
        <v>46174</v>
      </c>
      <c r="C35" s="47">
        <f>IF($B$35="","",SUMIFS(tblOrders[Standard cost],tblOrders[View date],"&gt;="&amp;$B$35,tblOrders[View date],"&lt;"&amp;DATE(YEAR($B$35),MONTH($B$35)+1,1)))</f>
        <v>71389</v>
      </c>
      <c r="D35" s="47">
        <f>IF($B$35="","",SUMIFS(tblOrders[Actual cost],tblOrders[View date],"&gt;="&amp;$B$35,tblOrders[View date],"&lt;"&amp;DATE(YEAR($B$35),MONTH($B$35)+1,1)))</f>
        <v>71008.18</v>
      </c>
      <c r="E35" s="47">
        <f>IF($B$35="","",SUMIFS(tblOrders[Material price var.],tblOrders[View date],"&gt;="&amp;$B$35,tblOrders[View date],"&lt;"&amp;DATE(YEAR($B$35),MONTH($B$35)+1,1))+SUMIFS(tblOrders[Material usage var.],tblOrders[View date],"&gt;="&amp;$B$35,tblOrders[View date],"&lt;"&amp;DATE(YEAR($B$35),MONTH($B$35)+1,1)))</f>
        <v>452.539999999999</v>
      </c>
      <c r="F35" s="47">
        <f>IF($B$35="","",SUMIFS(tblOrders[Labour rate var.],tblOrders[View date],"&gt;="&amp;$B$35,tblOrders[View date],"&lt;"&amp;DATE(YEAR($B$35),MONTH($B$35)+1,1))+SUMIFS(tblOrders[Labour efficiency var.],tblOrders[View date],"&gt;="&amp;$B$35,tblOrders[View date],"&lt;"&amp;DATE(YEAR($B$35),MONTH($B$35)+1,1)))</f>
        <v>-103.810000000001</v>
      </c>
      <c r="G35" s="47">
        <f>IF($B$35="","",SUMIFS(tblOrders[Overhead var.],tblOrders[View date],"&gt;="&amp;$B$35,tblOrders[View date],"&lt;"&amp;DATE(YEAR($B$35),MONTH($B$35)+1,1)))</f>
        <v>-729.550000000002</v>
      </c>
      <c r="H35" s="48">
        <f>IF($B$35="","",$D$35-$C$35)</f>
        <v>-380.820000000007</v>
      </c>
      <c r="I35" s="49">
        <f>IF($B$35="","",IF(($C$35)=0,"",($H$35)/($C$35)))</f>
        <v>-0.00533443527714364</v>
      </c>
      <c r="J35" s="47">
        <f>IF($B$35="","",COUNTIFS(tblOrders[Status],"Out of limits",tblOrders[View date],"&gt;="&amp;$B$35,tblOrders[View date],"&lt;"&amp;DATE(YEAR($B$35),MONTH($B$35)+1,1)))</f>
        <v>0</v>
      </c>
    </row>
    <row r="36" spans="2:10">
      <c r="B36" s="62">
        <f>IF($B$37="","",IF(DATE(YEAR($B$37),MONTH($B$37)-1,1)&lt;DATE(YEAR(MIN(tblOrders[View date])),MONTH(MIN(tblOrders[View date])),1),"",DATE(YEAR($B$37),MONTH($B$37)-1,1)))</f>
        <v>46204</v>
      </c>
      <c r="C36" s="47">
        <f>IF($B$36="","",SUMIFS(tblOrders[Standard cost],tblOrders[View date],"&gt;="&amp;$B$36,tblOrders[View date],"&lt;"&amp;DATE(YEAR($B$36),MONTH($B$36)+1,1)))</f>
        <v>75423.85</v>
      </c>
      <c r="D36" s="47">
        <f>IF($B$36="","",SUMIFS(tblOrders[Actual cost],tblOrders[View date],"&gt;="&amp;$B$36,tblOrders[View date],"&lt;"&amp;DATE(YEAR($B$36),MONTH($B$36)+1,1)))</f>
        <v>76761.59</v>
      </c>
      <c r="E36" s="47">
        <f>IF($B$36="","",SUMIFS(tblOrders[Material price var.],tblOrders[View date],"&gt;="&amp;$B$36,tblOrders[View date],"&lt;"&amp;DATE(YEAR($B$36),MONTH($B$36)+1,1))+SUMIFS(tblOrders[Material usage var.],tblOrders[View date],"&gt;="&amp;$B$36,tblOrders[View date],"&lt;"&amp;DATE(YEAR($B$36),MONTH($B$36)+1,1)))</f>
        <v>537.259999999999</v>
      </c>
      <c r="F36" s="47">
        <f>IF($B$36="","",SUMIFS(tblOrders[Labour rate var.],tblOrders[View date],"&gt;="&amp;$B$36,tblOrders[View date],"&lt;"&amp;DATE(YEAR($B$36),MONTH($B$36)+1,1))+SUMIFS(tblOrders[Labour efficiency var.],tblOrders[View date],"&gt;="&amp;$B$36,tblOrders[View date],"&lt;"&amp;DATE(YEAR($B$36),MONTH($B$36)+1,1)))</f>
        <v>736.980000000001</v>
      </c>
      <c r="G36" s="47">
        <f>IF($B$36="","",SUMIFS(tblOrders[Overhead var.],tblOrders[View date],"&gt;="&amp;$B$36,tblOrders[View date],"&lt;"&amp;DATE(YEAR($B$36),MONTH($B$36)+1,1)))</f>
        <v>63.4999999999989</v>
      </c>
      <c r="H36" s="48">
        <f>IF($B$36="","",$D$36-$C$36)</f>
        <v>1337.73999999999</v>
      </c>
      <c r="I36" s="49">
        <f>IF($B$36="","",IF(($C$36)=0,"",($H$36)/($C$36)))</f>
        <v>0.0177362995922376</v>
      </c>
      <c r="J36" s="47">
        <f>IF($B$36="","",COUNTIFS(tblOrders[Status],"Out of limits",tblOrders[View date],"&gt;="&amp;$B$36,tblOrders[View date],"&lt;"&amp;DATE(YEAR($B$36),MONTH($B$36)+1,1)))</f>
        <v>1</v>
      </c>
    </row>
    <row r="37" spans="2:10">
      <c r="B37" s="62">
        <f>IF($B$38="","",IF(DATE(YEAR($B$38),MONTH($B$38)-1,1)&lt;DATE(YEAR(MIN(tblOrders[View date])),MONTH(MIN(tblOrders[View date])),1),"",DATE(YEAR($B$38),MONTH($B$38)-1,1)))</f>
        <v>46235</v>
      </c>
      <c r="C37" s="47">
        <f>IF($B$37="","",SUMIFS(tblOrders[Standard cost],tblOrders[View date],"&gt;="&amp;$B$37,tblOrders[View date],"&lt;"&amp;DATE(YEAR($B$37),MONTH($B$37)+1,1)))</f>
        <v>59746.8</v>
      </c>
      <c r="D37" s="47">
        <f>IF($B$37="","",SUMIFS(tblOrders[Actual cost],tblOrders[View date],"&gt;="&amp;$B$37,tblOrders[View date],"&lt;"&amp;DATE(YEAR($B$37),MONTH($B$37)+1,1)))</f>
        <v>62240.53</v>
      </c>
      <c r="E37" s="47">
        <f>IF($B$37="","",SUMIFS(tblOrders[Material price var.],tblOrders[View date],"&gt;="&amp;$B$37,tblOrders[View date],"&lt;"&amp;DATE(YEAR($B$37),MONTH($B$37)+1,1))+SUMIFS(tblOrders[Material usage var.],tblOrders[View date],"&gt;="&amp;$B$37,tblOrders[View date],"&lt;"&amp;DATE(YEAR($B$37),MONTH($B$37)+1,1)))</f>
        <v>940.84</v>
      </c>
      <c r="F37" s="47">
        <f>IF($B$37="","",SUMIFS(tblOrders[Labour rate var.],tblOrders[View date],"&gt;="&amp;$B$37,tblOrders[View date],"&lt;"&amp;DATE(YEAR($B$37),MONTH($B$37)+1,1))+SUMIFS(tblOrders[Labour efficiency var.],tblOrders[View date],"&gt;="&amp;$B$37,tblOrders[View date],"&lt;"&amp;DATE(YEAR($B$37),MONTH($B$37)+1,1)))</f>
        <v>329.489999999999</v>
      </c>
      <c r="G37" s="47">
        <f>IF($B$37="","",SUMIFS(tblOrders[Overhead var.],tblOrders[View date],"&gt;="&amp;$B$37,tblOrders[View date],"&lt;"&amp;DATE(YEAR($B$37),MONTH($B$37)+1,1)))</f>
        <v>1223.4</v>
      </c>
      <c r="H37" s="48">
        <f>IF($B$37="","",$D$37-$C$37)</f>
        <v>2493.73</v>
      </c>
      <c r="I37" s="49">
        <f>IF($B$37="","",IF(($C$37)=0,"",($H$37)/($C$37)))</f>
        <v>0.0417383023023827</v>
      </c>
      <c r="J37" s="47">
        <f>IF($B$37="","",COUNTIFS(tblOrders[Status],"Out of limits",tblOrders[View date],"&gt;="&amp;$B$37,tblOrders[View date],"&lt;"&amp;DATE(YEAR($B$37),MONTH($B$37)+1,1)))</f>
        <v>2</v>
      </c>
    </row>
    <row r="38" spans="2:10">
      <c r="B38" s="62">
        <f>IF(COUNT(tblOrders[View date])=0,"",DATE(YEAR(MAX(tblOrders[View date])),MONTH(MAX(tblOrders[View date])),1))</f>
        <v>46266</v>
      </c>
      <c r="C38" s="47">
        <f>IF($B$38="","",SUMIFS(tblOrders[Standard cost],tblOrders[View date],"&gt;="&amp;$B$38,tblOrders[View date],"&lt;"&amp;DATE(YEAR($B$38),MONTH($B$38)+1,1)))</f>
        <v>104039.5</v>
      </c>
      <c r="D38" s="47">
        <f>IF($B$38="","",SUMIFS(tblOrders[Actual cost],tblOrders[View date],"&gt;="&amp;$B$38,tblOrders[View date],"&lt;"&amp;DATE(YEAR($B$38),MONTH($B$38)+1,1)))</f>
        <v>110149.3</v>
      </c>
      <c r="E38" s="47">
        <f>IF($B$38="","",SUMIFS(tblOrders[Material price var.],tblOrders[View date],"&gt;="&amp;$B$38,tblOrders[View date],"&lt;"&amp;DATE(YEAR($B$38),MONTH($B$38)+1,1))+SUMIFS(tblOrders[Material usage var.],tblOrders[View date],"&gt;="&amp;$B$38,tblOrders[View date],"&lt;"&amp;DATE(YEAR($B$38),MONTH($B$38)+1,1)))</f>
        <v>2056.59</v>
      </c>
      <c r="F38" s="47">
        <f>IF($B$38="","",SUMIFS(tblOrders[Labour rate var.],tblOrders[View date],"&gt;="&amp;$B$38,tblOrders[View date],"&lt;"&amp;DATE(YEAR($B$38),MONTH($B$38)+1,1))+SUMIFS(tblOrders[Labour efficiency var.],tblOrders[View date],"&gt;="&amp;$B$38,tblOrders[View date],"&lt;"&amp;DATE(YEAR($B$38),MONTH($B$38)+1,1)))</f>
        <v>1687.81</v>
      </c>
      <c r="G38" s="47">
        <f>IF($B$38="","",SUMIFS(tblOrders[Overhead var.],tblOrders[View date],"&gt;="&amp;$B$38,tblOrders[View date],"&lt;"&amp;DATE(YEAR($B$38),MONTH($B$38)+1,1)))</f>
        <v>2365.4</v>
      </c>
      <c r="H38" s="48">
        <f>IF($B$38="","",$D$38-$C$38)</f>
        <v>6109.8</v>
      </c>
      <c r="I38" s="49">
        <f>IF($B$38="","",IF(($C$38)=0,"",($H$38)/($C$38)))</f>
        <v>0.058725772422974</v>
      </c>
      <c r="J38" s="47">
        <f>IF($B$38="","",COUNTIFS(tblOrders[Status],"Out of limits",tblOrders[View date],"&gt;="&amp;$B$38,tblOrders[View date],"&lt;"&amp;DATE(YEAR($B$38),MONTH($B$38)+1,1)))</f>
        <v>6</v>
      </c>
    </row>
    <row r="40" spans="2:10">
      <c r="B40" s="31" t="s">
        <v>202</v>
      </c>
      <c r="C40" s="31"/>
      <c r="D40" s="31"/>
      <c r="E40" s="31"/>
      <c r="F40" s="31"/>
    </row>
    <row r="41" spans="2:10" ht="32" customHeight="1">
      <c r="B41" s="61" t="s">
        <v>203</v>
      </c>
      <c r="C41" s="33" t="s">
        <v>204</v>
      </c>
      <c r="D41" s="33" t="s">
        <v>205</v>
      </c>
      <c r="E41" s="33" t="s">
        <v>206</v>
      </c>
      <c r="F41" s="33"/>
    </row>
    <row r="42" spans="2:10" ht="14" customHeight="1">
      <c r="B42" s="32"/>
      <c r="C42" s="32" t="str">
        <f>Currency</f>
        <v>USD</v>
      </c>
      <c r="D42" s="32" t="s">
        <v>85</v>
      </c>
      <c r="E42" s="32"/>
      <c r="F42" s="32"/>
    </row>
    <row r="43" spans="2:10">
      <c r="B43" s="63" t="s">
        <v>207</v>
      </c>
      <c r="C43" s="47">
        <f>CHOOSE(1,SUMIFS(tblOrders[Material price var.],tblOrders[View date],"&gt;0"),SUMIFS(tblOrders[Material usage var.],tblOrders[View date],"&gt;0"),SUMIFS(tblOrders[Labour rate var.],tblOrders[View date],"&gt;0"),SUMIFS(tblOrders[Labour efficiency var.],tblOrders[View date],"&gt;0"),SUMIFS(tblOrders[Overhead var.],tblOrders[View date],"&gt;0"))</f>
        <v>2391.315</v>
      </c>
      <c r="D43" s="49">
        <f>IF((SUMIFS(tblOrders[Standard cost],tblOrders[View date],"&gt;0"))=0,"",($C$43)/(SUMIFS(tblOrders[Standard cost],tblOrders[View date],"&gt;0")))</f>
        <v>0.00546954088898179</v>
      </c>
      <c r="E43" s="50" t="str">
        <f>IF($C$43&gt;0,"Unfavourable",IF($C$43&lt;0,"Favourable","-"))</f>
        <v>Unfavourable</v>
      </c>
      <c r="F43" s="50"/>
    </row>
    <row r="44" spans="2:10">
      <c r="B44" s="63" t="s">
        <v>208</v>
      </c>
      <c r="C44" s="47">
        <f>CHOOSE(2,SUMIFS(tblOrders[Material price var.],tblOrders[View date],"&gt;0"),SUMIFS(tblOrders[Material usage var.],tblOrders[View date],"&gt;0"),SUMIFS(tblOrders[Labour rate var.],tblOrders[View date],"&gt;0"),SUMIFS(tblOrders[Labour efficiency var.],tblOrders[View date],"&gt;0"),SUMIFS(tblOrders[Overhead var.],tblOrders[View date],"&gt;0"))</f>
        <v>2378.505</v>
      </c>
      <c r="D44" s="49">
        <f>IF((SUMIFS(tblOrders[Standard cost],tblOrders[View date],"&gt;0"))=0,"",($C$44)/(SUMIFS(tblOrders[Standard cost],tblOrders[View date],"&gt;0")))</f>
        <v>0.00544024118618738</v>
      </c>
      <c r="E44" s="50" t="str">
        <f>IF($C$44&gt;0,"Unfavourable",IF($C$44&lt;0,"Favourable","-"))</f>
        <v>Unfavourable</v>
      </c>
      <c r="F44" s="50"/>
    </row>
    <row r="45" spans="2:10">
      <c r="B45" s="63" t="s">
        <v>209</v>
      </c>
      <c r="C45" s="47">
        <f>CHOOSE(3,SUMIFS(tblOrders[Material price var.],tblOrders[View date],"&gt;0"),SUMIFS(tblOrders[Material usage var.],tblOrders[View date],"&gt;0"),SUMIFS(tblOrders[Labour rate var.],tblOrders[View date],"&gt;0"),SUMIFS(tblOrders[Labour efficiency var.],tblOrders[View date],"&gt;0"),SUMIFS(tblOrders[Overhead var.],tblOrders[View date],"&gt;0"))</f>
        <v>2406.81</v>
      </c>
      <c r="D45" s="49">
        <f>IF((SUMIFS(tblOrders[Standard cost],tblOrders[View date],"&gt;0"))=0,"",($C$45)/(SUMIFS(tblOrders[Standard cost],tblOrders[View date],"&gt;0")))</f>
        <v>0.005504981864376</v>
      </c>
      <c r="E45" s="50" t="str">
        <f>IF($C$45&gt;0,"Unfavourable",IF($C$45&lt;0,"Favourable","-"))</f>
        <v>Unfavourable</v>
      </c>
      <c r="F45" s="50"/>
    </row>
    <row r="46" spans="2:10">
      <c r="B46" s="63" t="s">
        <v>210</v>
      </c>
      <c r="C46" s="47">
        <f>CHOOSE(4,SUMIFS(tblOrders[Material price var.],tblOrders[View date],"&gt;0"),SUMIFS(tblOrders[Material usage var.],tblOrders[View date],"&gt;0"),SUMIFS(tblOrders[Labour rate var.],tblOrders[View date],"&gt;0"),SUMIFS(tblOrders[Labour efficiency var.],tblOrders[View date],"&gt;0"),SUMIFS(tblOrders[Overhead var.],tblOrders[View date],"&gt;0"))</f>
        <v>299.199999999999</v>
      </c>
      <c r="D46" s="49">
        <f>IF((SUMIFS(tblOrders[Standard cost],tblOrders[View date],"&gt;0"))=0,"",($C$46)/(SUMIFS(tblOrders[Standard cost],tblOrders[View date],"&gt;0")))</f>
        <v>0.000684345907579448</v>
      </c>
      <c r="E46" s="50" t="str">
        <f>IF($C$46&gt;0,"Unfavourable",IF($C$46&lt;0,"Favourable","-"))</f>
        <v>Unfavourable</v>
      </c>
      <c r="F46" s="50"/>
    </row>
    <row r="47" spans="2:10">
      <c r="B47" s="63" t="s">
        <v>211</v>
      </c>
      <c r="C47" s="47">
        <f>CHOOSE(5,SUMIFS(tblOrders[Material price var.],tblOrders[View date],"&gt;0"),SUMIFS(tblOrders[Material usage var.],tblOrders[View date],"&gt;0"),SUMIFS(tblOrders[Labour rate var.],tblOrders[View date],"&gt;0"),SUMIFS(tblOrders[Labour efficiency var.],tblOrders[View date],"&gt;0"),SUMIFS(tblOrders[Overhead var.],tblOrders[View date],"&gt;0"))</f>
        <v>1350.89999999999</v>
      </c>
      <c r="D47" s="49">
        <f>IF((SUMIFS(tblOrders[Standard cost],tblOrders[View date],"&gt;0"))=0,"",($C$47)/(SUMIFS(tblOrders[Standard cost],tblOrders[View date],"&gt;0")))</f>
        <v>0.00308984921974959</v>
      </c>
      <c r="E47" s="50" t="str">
        <f>IF($C$47&gt;0,"Unfavourable",IF($C$47&lt;0,"Favourable","-"))</f>
        <v>Unfavourable</v>
      </c>
      <c r="F47" s="50"/>
    </row>
    <row r="49" spans="2:12">
      <c r="B49" s="31" t="s">
        <v>212</v>
      </c>
      <c r="C49" s="31"/>
      <c r="D49" s="31"/>
      <c r="E49" s="31"/>
      <c r="F49" s="31"/>
      <c r="G49" s="31"/>
      <c r="H49" s="31"/>
      <c r="I49" s="31"/>
      <c r="J49" s="31"/>
      <c r="K49" s="31"/>
      <c r="L49" s="31"/>
    </row>
    <row r="50" spans="2:12" ht="32" customHeight="1">
      <c r="B50" s="61" t="s">
        <v>62</v>
      </c>
      <c r="C50" s="33" t="s">
        <v>21</v>
      </c>
      <c r="D50" s="33" t="s">
        <v>109</v>
      </c>
      <c r="E50" s="33" t="s">
        <v>197</v>
      </c>
      <c r="F50" s="33" t="s">
        <v>213</v>
      </c>
      <c r="G50" s="33" t="s">
        <v>198</v>
      </c>
      <c r="H50" s="33" t="s">
        <v>214</v>
      </c>
      <c r="I50" s="33" t="s">
        <v>115</v>
      </c>
      <c r="J50" s="33" t="s">
        <v>116</v>
      </c>
      <c r="K50" s="33" t="s">
        <v>199</v>
      </c>
      <c r="L50" s="33" t="s">
        <v>200</v>
      </c>
    </row>
    <row r="51" spans="2:12" ht="14" customHeight="1">
      <c r="B51" s="32"/>
      <c r="C51" s="32" t="s">
        <v>201</v>
      </c>
      <c r="D51" s="32" t="str">
        <f>Currency</f>
        <v>USD</v>
      </c>
      <c r="E51" s="32" t="str">
        <f>Currency</f>
        <v>USD</v>
      </c>
      <c r="F51" s="32" t="str">
        <f>Currency</f>
        <v>USD</v>
      </c>
      <c r="G51" s="32" t="str">
        <f>Currency</f>
        <v>USD</v>
      </c>
      <c r="H51" s="32" t="str">
        <f>Currency</f>
        <v>USD</v>
      </c>
      <c r="I51" s="32" t="str">
        <f>Currency</f>
        <v>USD</v>
      </c>
      <c r="J51" s="32" t="str">
        <f>Currency</f>
        <v>USD</v>
      </c>
      <c r="K51" s="32" t="s">
        <v>85</v>
      </c>
      <c r="L51" s="32" t="s">
        <v>201</v>
      </c>
    </row>
    <row r="52" spans="2:12">
      <c r="B52" s="63" t="str">
        <f>IFERROR(INDEX(tblStandards[Product],1)&amp;"","")</f>
        <v>BR-110</v>
      </c>
      <c r="C52" s="47">
        <f>IF($B$52="","",COUNTIFS(tblOrders[Product],$B$52,tblOrders[View date],"&gt;0"))</f>
        <v>9</v>
      </c>
      <c r="D52" s="47">
        <f>IF($B$52="","",SUMIFS(tblOrders[Standard cost],tblOrders[Product],$B$52,tblOrders[View date],"&gt;0"))</f>
        <v>53041.8</v>
      </c>
      <c r="E52" s="47">
        <f>IF($B$52="","",SUMIFS(tblOrders[Material price var.],tblOrders[Product],$B$52,tblOrders[View date],"&gt;0")+SUMIFS(tblOrders[Material usage var.],tblOrders[Product],$B$52,tblOrders[View date],"&gt;0"))</f>
        <v>410.819999999999</v>
      </c>
      <c r="F52" s="47">
        <f>IF($B$52="","",SUMIFS(tblOrders[Material usage var.],tblOrders[Product],$B$52,tblOrders[View date],"&gt;0"))</f>
        <v>241.45</v>
      </c>
      <c r="G52" s="47">
        <f>IF($B$52="","",SUMIFS(tblOrders[Labour rate var.],tblOrders[Product],$B$52,tblOrders[View date],"&gt;0")+SUMIFS(tblOrders[Labour efficiency var.],tblOrders[Product],$B$52,tblOrders[View date],"&gt;0"))</f>
        <v>208.830000000001</v>
      </c>
      <c r="H52" s="47">
        <f>IF($B$52="","",SUMIFS(tblOrders[Labour efficiency var.],tblOrders[Product],$B$52,tblOrders[View date],"&gt;0"))</f>
        <v>-5.59999999999849</v>
      </c>
      <c r="I52" s="47">
        <f>IF($B$52="","",SUMIFS(tblOrders[Overhead var.],tblOrders[Product],$B$52,tblOrders[View date],"&gt;0"))</f>
        <v>-130.999999999998</v>
      </c>
      <c r="J52" s="48">
        <f>IF($B$52="","",SUMIFS(tblOrders[Total variance],tblOrders[Product],$B$52,tblOrders[View date],"&gt;0"))</f>
        <v>488.650000000003</v>
      </c>
      <c r="K52" s="49">
        <f>IF($B$52="","",IF(($D$52)=0,"",($J$52)/($D$52)))</f>
        <v>0.00921254557726176</v>
      </c>
      <c r="L52" s="47">
        <f>IF($B$52="","",COUNTIFS(tblOrders[Status],"Out of limits",tblOrders[Product],$B$52,tblOrders[View date],"&gt;0"))</f>
        <v>0</v>
      </c>
    </row>
    <row r="53" spans="2:12">
      <c r="B53" s="63" t="str">
        <f>IFERROR(INDEX(tblStandards[Product],2)&amp;"","")</f>
        <v>BP-220</v>
      </c>
      <c r="C53" s="47">
        <f>IF($B$53="","",COUNTIFS(tblOrders[Product],$B$53,tblOrders[View date],"&gt;0"))</f>
        <v>12</v>
      </c>
      <c r="D53" s="47">
        <f>IF($B$53="","",SUMIFS(tblOrders[Standard cost],tblOrders[Product],$B$53,tblOrders[View date],"&gt;0"))</f>
        <v>64507.5</v>
      </c>
      <c r="E53" s="47">
        <f>IF($B$53="","",SUMIFS(tblOrders[Material price var.],tblOrders[Product],$B$53,tblOrders[View date],"&gt;0")+SUMIFS(tblOrders[Material usage var.],tblOrders[Product],$B$53,tblOrders[View date],"&gt;0"))</f>
        <v>930.159999999998</v>
      </c>
      <c r="F53" s="47">
        <f>IF($B$53="","",SUMIFS(tblOrders[Material usage var.],tblOrders[Product],$B$53,tblOrders[View date],"&gt;0"))</f>
        <v>86.1300000000003</v>
      </c>
      <c r="G53" s="47">
        <f>IF($B$53="","",SUMIFS(tblOrders[Labour rate var.],tblOrders[Product],$B$53,tblOrders[View date],"&gt;0")+SUMIFS(tblOrders[Labour efficiency var.],tblOrders[Product],$B$53,tblOrders[View date],"&gt;0"))</f>
        <v>162.13</v>
      </c>
      <c r="H53" s="47">
        <f>IF($B$53="","",SUMIFS(tblOrders[Labour efficiency var.],tblOrders[Product],$B$53,tblOrders[View date],"&gt;0"))</f>
        <v>-299.6</v>
      </c>
      <c r="I53" s="47">
        <f>IF($B$53="","",SUMIFS(tblOrders[Overhead var.],tblOrders[Product],$B$53,tblOrders[View date],"&gt;0"))</f>
        <v>-72.5000000000002</v>
      </c>
      <c r="J53" s="48">
        <f>IF($B$53="","",SUMIFS(tblOrders[Total variance],tblOrders[Product],$B$53,tblOrders[View date],"&gt;0"))</f>
        <v>1019.79</v>
      </c>
      <c r="K53" s="49">
        <f>IF($B$53="","",IF(($D$53)=0,"",($J$53)/($D$53)))</f>
        <v>0.0158088594349494</v>
      </c>
      <c r="L53" s="47">
        <f>IF($B$53="","",COUNTIFS(tblOrders[Status],"Out of limits",tblOrders[Product],$B$53,tblOrders[View date],"&gt;0"))</f>
        <v>1</v>
      </c>
    </row>
    <row r="54" spans="2:12">
      <c r="B54" s="63" t="str">
        <f>IFERROR(INDEX(tblStandards[Product],3)&amp;"","")</f>
        <v>FR-340</v>
      </c>
      <c r="C54" s="47">
        <f>IF($B$54="","",COUNTIFS(tblOrders[Product],$B$54,tblOrders[View date],"&gt;0"))</f>
        <v>10</v>
      </c>
      <c r="D54" s="47">
        <f>IF($B$54="","",SUMIFS(tblOrders[Standard cost],tblOrders[Product],$B$54,tblOrders[View date],"&gt;0"))</f>
        <v>81958</v>
      </c>
      <c r="E54" s="47">
        <f>IF($B$54="","",SUMIFS(tblOrders[Material price var.],tblOrders[Product],$B$54,tblOrders[View date],"&gt;0")+SUMIFS(tblOrders[Material usage var.],tblOrders[Product],$B$54,tblOrders[View date],"&gt;0"))</f>
        <v>702.280000000001</v>
      </c>
      <c r="F54" s="47">
        <f>IF($B$54="","",SUMIFS(tblOrders[Material usage var.],tblOrders[Product],$B$54,tblOrders[View date],"&gt;0"))</f>
        <v>329.59</v>
      </c>
      <c r="G54" s="47">
        <f>IF($B$54="","",SUMIFS(tblOrders[Labour rate var.],tblOrders[Product],$B$54,tblOrders[View date],"&gt;0")+SUMIFS(tblOrders[Labour efficiency var.],tblOrders[Product],$B$54,tblOrders[View date],"&gt;0"))</f>
        <v>642.399999999999</v>
      </c>
      <c r="H54" s="47">
        <f>IF($B$54="","",SUMIFS(tblOrders[Labour efficiency var.],tblOrders[Product],$B$54,tblOrders[View date],"&gt;0"))</f>
        <v>239.999999999998</v>
      </c>
      <c r="I54" s="47">
        <f>IF($B$54="","",SUMIFS(tblOrders[Overhead var.],tblOrders[Product],$B$54,tblOrders[View date],"&gt;0"))</f>
        <v>760.499999999996</v>
      </c>
      <c r="J54" s="48">
        <f>IF($B$54="","",SUMIFS(tblOrders[Total variance],tblOrders[Product],$B$54,tblOrders[View date],"&gt;0"))</f>
        <v>2105.18</v>
      </c>
      <c r="K54" s="49">
        <f>IF($B$54="","",IF(($D$54)=0,"",($J$54)/($D$54)))</f>
        <v>0.0256860831157422</v>
      </c>
      <c r="L54" s="47">
        <f>IF($B$54="","",COUNTIFS(tblOrders[Status],"Out of limits",tblOrders[Product],$B$54,tblOrders[View date],"&gt;0"))</f>
        <v>3</v>
      </c>
    </row>
    <row r="55" spans="2:12">
      <c r="B55" s="63" t="str">
        <f>IFERROR(INDEX(tblStandards[Product],4)&amp;"","")</f>
        <v>GD-410</v>
      </c>
      <c r="C55" s="47">
        <f>IF($B$55="","",COUNTIFS(tblOrders[Product],$B$55,tblOrders[View date],"&gt;0"))</f>
        <v>11</v>
      </c>
      <c r="D55" s="47">
        <f>IF($B$55="","",SUMIFS(tblOrders[Standard cost],tblOrders[Product],$B$55,tblOrders[View date],"&gt;0"))</f>
        <v>71360</v>
      </c>
      <c r="E55" s="47">
        <f>IF($B$55="","",SUMIFS(tblOrders[Material price var.],tblOrders[Product],$B$55,tblOrders[View date],"&gt;0")+SUMIFS(tblOrders[Material usage var.],tblOrders[Product],$B$55,tblOrders[View date],"&gt;0"))</f>
        <v>689.490000000001</v>
      </c>
      <c r="F55" s="47">
        <f>IF($B$55="","",SUMIFS(tblOrders[Material usage var.],tblOrders[Product],$B$55,tblOrders[View date],"&gt;0"))</f>
        <v>270.750000000001</v>
      </c>
      <c r="G55" s="47">
        <f>IF($B$55="","",SUMIFS(tblOrders[Labour rate var.],tblOrders[Product],$B$55,tblOrders[View date],"&gt;0")+SUMIFS(tblOrders[Labour efficiency var.],tblOrders[Product],$B$55,tblOrders[View date],"&gt;0"))</f>
        <v>412.749999999999</v>
      </c>
      <c r="H55" s="47">
        <f>IF($B$55="","",SUMIFS(tblOrders[Labour efficiency var.],tblOrders[Product],$B$55,tblOrders[View date],"&gt;0"))</f>
        <v>-215.6</v>
      </c>
      <c r="I55" s="47">
        <f>IF($B$55="","",SUMIFS(tblOrders[Overhead var.],tblOrders[Product],$B$55,tblOrders[View date],"&gt;0"))</f>
        <v>87.75</v>
      </c>
      <c r="J55" s="48">
        <f>IF($B$55="","",SUMIFS(tblOrders[Total variance],tblOrders[Product],$B$55,tblOrders[View date],"&gt;0"))</f>
        <v>1189.99</v>
      </c>
      <c r="K55" s="49">
        <f>IF($B$55="","",IF(($D$55)=0,"",($J$55)/($D$55)))</f>
        <v>0.0166758688340807</v>
      </c>
      <c r="L55" s="47">
        <f>IF($B$55="","",COUNTIFS(tblOrders[Status],"Out of limits",tblOrders[Product],$B$55,tblOrders[View date],"&gt;0"))</f>
        <v>2</v>
      </c>
    </row>
    <row r="56" spans="2:12">
      <c r="B56" s="63" t="str">
        <f>IFERROR(INDEX(tblStandards[Product],5)&amp;"","")</f>
        <v>EN-300</v>
      </c>
      <c r="C56" s="47">
        <f>IF($B$56="","",COUNTIFS(tblOrders[Product],$B$56,tblOrders[View date],"&gt;0"))</f>
        <v>9</v>
      </c>
      <c r="D56" s="47">
        <f>IF($B$56="","",SUMIFS(tblOrders[Standard cost],tblOrders[Product],$B$56,tblOrders[View date],"&gt;0"))</f>
        <v>96642.5</v>
      </c>
      <c r="E56" s="47">
        <f>IF($B$56="","",SUMIFS(tblOrders[Material price var.],tblOrders[Product],$B$56,tblOrders[View date],"&gt;0")+SUMIFS(tblOrders[Material usage var.],tblOrders[Product],$B$56,tblOrders[View date],"&gt;0"))</f>
        <v>1416.42</v>
      </c>
      <c r="F56" s="47">
        <f>IF($B$56="","",SUMIFS(tblOrders[Material usage var.],tblOrders[Product],$B$56,tblOrders[View date],"&gt;0"))</f>
        <v>1218.375</v>
      </c>
      <c r="G56" s="47">
        <f>IF($B$56="","",SUMIFS(tblOrders[Labour rate var.],tblOrders[Product],$B$56,tblOrders[View date],"&gt;0")+SUMIFS(tblOrders[Labour efficiency var.],tblOrders[Product],$B$56,tblOrders[View date],"&gt;0"))</f>
        <v>480.87</v>
      </c>
      <c r="H56" s="47">
        <f>IF($B$56="","",SUMIFS(tblOrders[Labour efficiency var.],tblOrders[Product],$B$56,tblOrders[View date],"&gt;0"))</f>
        <v>364</v>
      </c>
      <c r="I56" s="47">
        <f>IF($B$56="","",SUMIFS(tblOrders[Overhead var.],tblOrders[Product],$B$56,tblOrders[View date],"&gt;0"))</f>
        <v>261.699999999999</v>
      </c>
      <c r="J56" s="48">
        <f>IF($B$56="","",SUMIFS(tblOrders[Total variance],tblOrders[Product],$B$56,tblOrders[View date],"&gt;0"))</f>
        <v>2158.99</v>
      </c>
      <c r="K56" s="49">
        <f>IF($B$56="","",IF(($D$56)=0,"",($J$56)/($D$56)))</f>
        <v>0.0223399643014202</v>
      </c>
      <c r="L56" s="47">
        <f>IF($B$56="","",COUNTIFS(tblOrders[Status],"Out of limits",tblOrders[Product],$B$56,tblOrders[View date],"&gt;0"))</f>
        <v>1</v>
      </c>
    </row>
    <row r="57" spans="2:12">
      <c r="B57" s="63" t="str">
        <f>IFERROR(INDEX(tblStandards[Product],6)&amp;"","")</f>
        <v>RK-500</v>
      </c>
      <c r="C57" s="47">
        <f>IF($B$57="","",COUNTIFS(tblOrders[Product],$B$57,tblOrders[View date],"&gt;0"))</f>
        <v>9</v>
      </c>
      <c r="D57" s="47">
        <f>IF($B$57="","",SUMIFS(tblOrders[Standard cost],tblOrders[Product],$B$57,tblOrders[View date],"&gt;0"))</f>
        <v>69696</v>
      </c>
      <c r="E57" s="47">
        <f>IF($B$57="","",SUMIFS(tblOrders[Material price var.],tblOrders[Product],$B$57,tblOrders[View date],"&gt;0")+SUMIFS(tblOrders[Material usage var.],tblOrders[Product],$B$57,tblOrders[View date],"&gt;0"))</f>
        <v>620.649999999999</v>
      </c>
      <c r="F57" s="47">
        <f>IF($B$57="","",SUMIFS(tblOrders[Material usage var.],tblOrders[Product],$B$57,tblOrders[View date],"&gt;0"))</f>
        <v>232.21</v>
      </c>
      <c r="G57" s="47">
        <f>IF($B$57="","",SUMIFS(tblOrders[Labour rate var.],tblOrders[Product],$B$57,tblOrders[View date],"&gt;0")+SUMIFS(tblOrders[Labour efficiency var.],tblOrders[Product],$B$57,tblOrders[View date],"&gt;0"))</f>
        <v>799.029999999999</v>
      </c>
      <c r="H57" s="47">
        <f>IF($B$57="","",SUMIFS(tblOrders[Labour efficiency var.],tblOrders[Product],$B$57,tblOrders[View date],"&gt;0"))</f>
        <v>215.999999999999</v>
      </c>
      <c r="I57" s="47">
        <f>IF($B$57="","",SUMIFS(tblOrders[Overhead var.],tblOrders[Product],$B$57,tblOrders[View date],"&gt;0"))</f>
        <v>444.449999999998</v>
      </c>
      <c r="J57" s="48">
        <f>IF($B$57="","",SUMIFS(tblOrders[Total variance],tblOrders[Product],$B$57,tblOrders[View date],"&gt;0"))</f>
        <v>1864.13</v>
      </c>
      <c r="K57" s="49">
        <f>IF($B$57="","",IF(($D$57)=0,"",($J$57)/($D$57)))</f>
        <v>0.0267465851698806</v>
      </c>
      <c r="L57" s="47">
        <f>IF($B$57="","",COUNTIFS(tblOrders[Status],"Out of limits",tblOrders[Product],$B$57,tblOrders[View date],"&gt;0"))</f>
        <v>2</v>
      </c>
    </row>
    <row r="58" spans="2:12" ht="8" customHeight="1"/>
    <row r="59" spans="2:12" ht="26.76" customHeight="1">
      <c r="B59" s="21" t="s">
        <v>215</v>
      </c>
      <c r="C59" s="21"/>
      <c r="D59" s="21"/>
      <c r="E59" s="21"/>
      <c r="F59" s="21"/>
      <c r="G59" s="21"/>
      <c r="H59" s="21"/>
      <c r="I59" s="21"/>
      <c r="J59" s="21"/>
      <c r="K59" s="21"/>
      <c r="L59" s="21"/>
    </row>
    <row r="60" spans="2:12">
      <c r="B60" s="64">
        <f>IF(COUNTA(tblStandards[Product])&gt;6,"The Setup list has more than 6 products: the By product table shows the first 6.","")</f>
        <v/>
      </c>
      <c r="C60" s="64"/>
      <c r="D60" s="64"/>
      <c r="E60" s="64"/>
      <c r="F60" s="64"/>
      <c r="G60" s="64"/>
      <c r="H60" s="64"/>
      <c r="I60" s="64"/>
      <c r="J60" s="64"/>
      <c r="K60" s="64"/>
      <c r="L60" s="64"/>
    </row>
  </sheetData>
  <sheetProtection sheet="1" formatColumns="0" formatRows="0"/>
  <mergeCells count="35">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J30"/>
    <mergeCell ref="B40:F40"/>
    <mergeCell ref="E41:F41"/>
    <mergeCell ref="E42:F42"/>
    <mergeCell ref="E43:F43"/>
    <mergeCell ref="E44:F44"/>
    <mergeCell ref="E45:F45"/>
    <mergeCell ref="E46:F46"/>
    <mergeCell ref="E47:F47"/>
    <mergeCell ref="B49:L49"/>
    <mergeCell ref="B59:L59"/>
    <mergeCell ref="B60:L60"/>
  </mergeCells>
  <dataValidations count="3">
    <dataValidation type="list" allowBlank="1" showInputMessage="1" showErrorMessage="1" errorTitle="Check this entry" error="Pick from the list (edit the list on Setup: Standards)." promptTitle="Product" prompt="Leave blank for all products. Pick from the list (edit the list on Setup: Standards)." sqref="C4">
      <formula1>Standards</formula1>
    </dataValidation>
    <dataValidation type="date" allowBlank="1" showInputMessage="1" showErrorMessage="1" errorTitle="Check this entry" error="Enter a date between 01 Jan 2000 and 31 Dec 2100." promptTitle="From" prompt="First close date to include. Leave blank to start at the first order.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close date to include. Leave blank to end at the latest order.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Standard Cost Variance&amp;R&amp;8&amp;A</oddHeader>
    <oddFooter>&amp;L&amp;8mfgcalcs.com - free manufacturing templates&amp;R&amp;8Page &amp;P of &amp;N</oddFooter>
  </headerFooter>
  <rowBreaks count="2" manualBreakCount="2">
    <brk id="29" max="16383" man="1"/>
    <brk id="4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216</v>
      </c>
      <c r="C4" s="8"/>
      <c r="D4" s="8"/>
    </row>
    <row r="5" spans="1:4" ht="5" customHeight="1"/>
    <row r="6" spans="1:4" ht="69" customHeight="1">
      <c r="B6" s="10" t="s">
        <v>217</v>
      </c>
      <c r="C6" s="10"/>
      <c r="D6" s="10"/>
    </row>
    <row r="8" spans="1:4" ht="21" customHeight="1">
      <c r="B8" s="8" t="s">
        <v>218</v>
      </c>
      <c r="C8" s="8"/>
      <c r="D8" s="8"/>
    </row>
    <row r="9" spans="1:4" ht="5" customHeight="1"/>
    <row r="10" spans="1:4" ht="20" customHeight="1">
      <c r="B10" s="61" t="s">
        <v>219</v>
      </c>
      <c r="C10" s="61" t="s">
        <v>220</v>
      </c>
      <c r="D10" s="33" t="s">
        <v>221</v>
      </c>
    </row>
    <row r="11" spans="1:4" ht="30.4" customHeight="1">
      <c r="B11" s="65" t="s">
        <v>222</v>
      </c>
      <c r="C11" s="66" t="s">
        <v>223</v>
      </c>
      <c r="D11" s="67" t="s">
        <v>224</v>
      </c>
    </row>
    <row r="12" spans="1:4" ht="17.2" customHeight="1">
      <c r="B12" s="65" t="s">
        <v>225</v>
      </c>
      <c r="C12" s="66" t="s">
        <v>226</v>
      </c>
      <c r="D12" s="67" t="s">
        <v>227</v>
      </c>
    </row>
    <row r="13" spans="1:4" ht="30.4" customHeight="1">
      <c r="B13" s="65" t="s">
        <v>228</v>
      </c>
      <c r="C13" s="66" t="s">
        <v>229</v>
      </c>
      <c r="D13" s="67" t="s">
        <v>230</v>
      </c>
    </row>
    <row r="14" spans="1:4" ht="17.2" customHeight="1">
      <c r="B14" s="65" t="s">
        <v>110</v>
      </c>
      <c r="C14" s="66" t="s">
        <v>231</v>
      </c>
      <c r="D14" s="67" t="s">
        <v>230</v>
      </c>
    </row>
    <row r="15" spans="1:4" ht="17.2" customHeight="1">
      <c r="B15" s="65" t="s">
        <v>232</v>
      </c>
      <c r="C15" s="66" t="s">
        <v>233</v>
      </c>
      <c r="D15" s="67" t="s">
        <v>230</v>
      </c>
    </row>
    <row r="16" spans="1:4" ht="17.2" customHeight="1">
      <c r="B16" s="65" t="s">
        <v>234</v>
      </c>
      <c r="C16" s="66" t="s">
        <v>235</v>
      </c>
      <c r="D16" s="67" t="s">
        <v>230</v>
      </c>
    </row>
    <row r="17" spans="2:4" ht="17.2" customHeight="1">
      <c r="B17" s="65" t="s">
        <v>236</v>
      </c>
      <c r="C17" s="66" t="s">
        <v>237</v>
      </c>
      <c r="D17" s="67" t="s">
        <v>230</v>
      </c>
    </row>
    <row r="18" spans="2:4" ht="17.2" customHeight="1">
      <c r="B18" s="65" t="s">
        <v>238</v>
      </c>
      <c r="C18" s="66" t="s">
        <v>239</v>
      </c>
      <c r="D18" s="67" t="s">
        <v>230</v>
      </c>
    </row>
    <row r="19" spans="2:4" ht="17.2" customHeight="1">
      <c r="B19" s="65" t="s">
        <v>240</v>
      </c>
      <c r="C19" s="66" t="s">
        <v>241</v>
      </c>
      <c r="D19" s="67" t="s">
        <v>230</v>
      </c>
    </row>
    <row r="20" spans="2:4" ht="17.2" customHeight="1">
      <c r="B20" s="65" t="s">
        <v>242</v>
      </c>
      <c r="C20" s="66" t="s">
        <v>243</v>
      </c>
      <c r="D20" s="67" t="s">
        <v>244</v>
      </c>
    </row>
    <row r="21" spans="2:4" ht="30.4" customHeight="1">
      <c r="B21" s="65" t="s">
        <v>118</v>
      </c>
      <c r="C21" s="66" t="s">
        <v>245</v>
      </c>
      <c r="D21" s="67" t="s">
        <v>246</v>
      </c>
    </row>
    <row r="22" spans="2:4" ht="30.4" customHeight="1">
      <c r="B22" s="65" t="s">
        <v>247</v>
      </c>
      <c r="C22" s="66" t="s">
        <v>248</v>
      </c>
      <c r="D22" s="67" t="s">
        <v>244</v>
      </c>
    </row>
    <row r="24" spans="2:4" ht="21" customHeight="1">
      <c r="B24" s="8" t="s">
        <v>249</v>
      </c>
      <c r="C24" s="8"/>
      <c r="D24" s="8"/>
    </row>
    <row r="25" spans="2:4" ht="5" customHeight="1"/>
    <row r="26" spans="2:4" ht="29.4" customHeight="1">
      <c r="B26" s="26" t="s">
        <v>55</v>
      </c>
      <c r="C26" s="10" t="s">
        <v>250</v>
      </c>
      <c r="D26" s="10"/>
    </row>
    <row r="27" spans="2:4" ht="29.4" customHeight="1">
      <c r="B27" s="26" t="s">
        <v>55</v>
      </c>
      <c r="C27" s="10" t="s">
        <v>251</v>
      </c>
      <c r="D27" s="10"/>
    </row>
    <row r="28" spans="2:4" ht="29.4" customHeight="1">
      <c r="B28" s="26" t="s">
        <v>55</v>
      </c>
      <c r="C28" s="10" t="s">
        <v>252</v>
      </c>
      <c r="D28" s="10"/>
    </row>
    <row r="29" spans="2:4" ht="16.2" customHeight="1">
      <c r="B29" s="26" t="s">
        <v>55</v>
      </c>
      <c r="C29" s="10" t="s">
        <v>253</v>
      </c>
      <c r="D29" s="10"/>
    </row>
    <row r="31" spans="2:4" ht="21" customHeight="1">
      <c r="B31" s="8" t="s">
        <v>254</v>
      </c>
      <c r="C31" s="8"/>
      <c r="D31" s="8"/>
    </row>
    <row r="32" spans="2:4" ht="5" customHeight="1"/>
    <row r="33" spans="2:4" ht="16.2" customHeight="1">
      <c r="B33" s="26" t="s">
        <v>55</v>
      </c>
      <c r="C33" s="10" t="s">
        <v>255</v>
      </c>
      <c r="D33" s="10"/>
    </row>
    <row r="34" spans="2:4" ht="16.2" customHeight="1">
      <c r="B34" s="26" t="s">
        <v>55</v>
      </c>
      <c r="C34" s="10" t="s">
        <v>256</v>
      </c>
      <c r="D34" s="10"/>
    </row>
    <row r="35" spans="2:4" ht="29.4" customHeight="1">
      <c r="B35" s="26" t="s">
        <v>55</v>
      </c>
      <c r="C35" s="10" t="s">
        <v>257</v>
      </c>
      <c r="D35" s="10"/>
    </row>
    <row r="36" spans="2:4" ht="29.4" customHeight="1">
      <c r="B36" s="26" t="s">
        <v>55</v>
      </c>
      <c r="C36" s="10" t="s">
        <v>258</v>
      </c>
      <c r="D36" s="10"/>
    </row>
    <row r="38" spans="2:4" ht="21" customHeight="1">
      <c r="B38" s="8" t="s">
        <v>259</v>
      </c>
      <c r="C38" s="8"/>
      <c r="D38" s="8"/>
    </row>
    <row r="39" spans="2:4" ht="5" customHeight="1"/>
    <row r="40" spans="2:4" ht="82.2" customHeight="1">
      <c r="B40" s="10" t="s">
        <v>260</v>
      </c>
      <c r="C40" s="10"/>
      <c r="D40" s="10"/>
    </row>
    <row r="41" spans="2:4">
      <c r="B41" s="24" t="s">
        <v>261</v>
      </c>
      <c r="C41" s="24"/>
      <c r="D41" s="24"/>
    </row>
    <row r="43" spans="2:4" ht="21" customHeight="1">
      <c r="B43" s="8" t="s">
        <v>42</v>
      </c>
      <c r="C43" s="8"/>
      <c r="D43" s="8"/>
    </row>
    <row r="44" spans="2:4" ht="5" customHeight="1"/>
    <row r="45" spans="2:4" ht="42.6" customHeight="1">
      <c r="B45" s="10" t="s">
        <v>262</v>
      </c>
      <c r="C45" s="10"/>
      <c r="D45" s="10"/>
    </row>
    <row r="47" spans="2:4" ht="21" customHeight="1">
      <c r="B47" s="8" t="s">
        <v>263</v>
      </c>
      <c r="C47" s="8"/>
      <c r="D47" s="8"/>
    </row>
    <row r="48" spans="2:4" ht="5" customHeight="1"/>
    <row r="49" spans="2:4" ht="29.4" customHeight="1">
      <c r="B49" s="26" t="s">
        <v>55</v>
      </c>
      <c r="C49" s="10" t="s">
        <v>264</v>
      </c>
      <c r="D49" s="10"/>
    </row>
    <row r="50" spans="2:4" ht="29.4" customHeight="1">
      <c r="B50" s="26" t="s">
        <v>55</v>
      </c>
      <c r="C50" s="10" t="s">
        <v>265</v>
      </c>
      <c r="D50" s="10"/>
    </row>
    <row r="51" spans="2:4" ht="29.4" customHeight="1">
      <c r="B51" s="26" t="s">
        <v>55</v>
      </c>
      <c r="C51" s="10" t="s">
        <v>266</v>
      </c>
      <c r="D51" s="10"/>
    </row>
    <row r="52" spans="2:4">
      <c r="B52" s="21" t="s">
        <v>267</v>
      </c>
      <c r="C52" s="21"/>
      <c r="D52" s="21"/>
    </row>
    <row r="54" spans="2:4" ht="21" customHeight="1">
      <c r="B54" s="8" t="s">
        <v>268</v>
      </c>
      <c r="C54" s="8"/>
      <c r="D54" s="8"/>
    </row>
    <row r="55" spans="2:4" ht="5" customHeight="1"/>
    <row r="56" spans="2:4">
      <c r="B56" s="61" t="s">
        <v>50</v>
      </c>
      <c r="C56" s="61" t="s">
        <v>269</v>
      </c>
      <c r="D56" s="33" t="s">
        <v>270</v>
      </c>
    </row>
    <row r="57" spans="2:4" ht="16.2" customHeight="1">
      <c r="B57" s="68" t="s">
        <v>271</v>
      </c>
      <c r="C57" s="69" t="s">
        <v>272</v>
      </c>
      <c r="D57" s="70" t="s">
        <v>273</v>
      </c>
    </row>
    <row r="59" spans="2:4">
      <c r="B59" s="21" t="s">
        <v>61</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Standard Cost Variance&amp;R&amp;8&amp;A</oddHeader>
    <oddFooter>&amp;L&amp;8mfgcalcs.com - free manufacturing templates&amp;R&amp;8Page &amp;P of &amp;N</oddFooter>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D63"/>
  <sheetViews>
    <sheetView showGridLines="0" workbookViewId="0"/>
  </sheetViews>
  <sheetFormatPr defaultRowHeight="15"/>
  <cols>
    <col min="1" max="1" width="2.7109375" customWidth="1"/>
    <col min="2" max="19" width="12.7109375" customWidth="1"/>
    <col min="20" max="22" width="9.7109375" customWidth="1"/>
    <col min="23" max="23" width="10.28515625" customWidth="1"/>
    <col min="24" max="24" width="9.7109375" customWidth="1"/>
    <col min="25" max="26" width="10.28515625" customWidth="1"/>
    <col min="27" max="27" width="11.7109375" customWidth="1"/>
    <col min="28" max="28" width="17.7109375" customWidth="1"/>
    <col min="29" max="29" width="11.28515625" customWidth="1"/>
    <col min="30" max="30" width="22.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28</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30" customHeight="1">
      <c r="B4" s="71" t="s">
        <v>274</v>
      </c>
      <c r="C4" s="71"/>
      <c r="D4" s="22" t="str">
        <f>IF(COUNTIF($K$11:$K$36,"PASS")=26,"PASS","FAIL")</f>
        <v>PASS</v>
      </c>
      <c r="E4" s="22"/>
      <c r="F4" s="23" t="str">
        <f>COUNTIF($K$11:$K$36,"PASS")&amp;" of 26 checks pass"</f>
        <v>26 of 26 checks pass</v>
      </c>
      <c r="G4" s="23"/>
      <c r="H4" s="23"/>
      <c r="I4" s="23"/>
      <c r="J4" s="23"/>
    </row>
    <row r="6" spans="1:30" ht="29.4" customHeight="1">
      <c r="B6" s="10" t="s">
        <v>275</v>
      </c>
      <c r="C6" s="10"/>
      <c r="D6" s="10"/>
      <c r="E6" s="10"/>
      <c r="F6" s="10"/>
      <c r="G6" s="10"/>
      <c r="H6" s="10"/>
      <c r="I6" s="10"/>
      <c r="J6" s="10"/>
      <c r="K6" s="10"/>
      <c r="L6" s="10"/>
    </row>
    <row r="8" spans="1:30" ht="21" customHeight="1">
      <c r="B8" s="8" t="s">
        <v>276</v>
      </c>
      <c r="C8" s="8"/>
      <c r="D8" s="8"/>
      <c r="E8" s="8"/>
      <c r="F8" s="8"/>
      <c r="G8" s="8"/>
      <c r="H8" s="8"/>
      <c r="I8" s="8"/>
      <c r="J8" s="8"/>
      <c r="K8" s="8"/>
      <c r="L8" s="8"/>
    </row>
    <row r="9" spans="1:30" ht="5" customHeight="1"/>
    <row r="10" spans="1:30" ht="30" customHeight="1">
      <c r="B10" s="33" t="s">
        <v>277</v>
      </c>
      <c r="C10" s="61" t="s">
        <v>119</v>
      </c>
      <c r="D10" s="61"/>
      <c r="E10" s="61"/>
      <c r="F10" s="61"/>
      <c r="G10" s="33" t="s">
        <v>278</v>
      </c>
      <c r="H10" s="33" t="s">
        <v>279</v>
      </c>
      <c r="I10" s="33" t="s">
        <v>280</v>
      </c>
      <c r="J10" s="33" t="s">
        <v>281</v>
      </c>
      <c r="K10" s="33" t="s">
        <v>282</v>
      </c>
    </row>
    <row r="11" spans="1:30" ht="29.4" customHeight="1">
      <c r="B11" s="72">
        <v>1</v>
      </c>
      <c r="C11" s="69" t="s">
        <v>283</v>
      </c>
      <c r="D11" s="69"/>
      <c r="E11" s="69"/>
      <c r="F11" s="69"/>
      <c r="G11" s="73">
        <v>8000</v>
      </c>
      <c r="H11" s="45">
        <f>$R$51</f>
        <v>8000</v>
      </c>
      <c r="I11" s="74">
        <f>IF(AND(ISNUMBER($G$11),ISNUMBER($H$11)),ABS($H$11-$G$11),"")</f>
        <v>0</v>
      </c>
      <c r="J11" s="75">
        <v>1E-09</v>
      </c>
      <c r="K11" s="50" t="str">
        <f>IF(AND(ISNUMBER($G$11),ISNUMBER($H$11)),IF(ABS($H$11-$G$11)&lt;=$J$11,"PASS","FAIL"),"FAIL")</f>
        <v>PASS</v>
      </c>
    </row>
    <row r="12" spans="1:30" ht="29.4" customHeight="1">
      <c r="B12" s="72">
        <v>2</v>
      </c>
      <c r="C12" s="69" t="s">
        <v>284</v>
      </c>
      <c r="D12" s="69"/>
      <c r="E12" s="69"/>
      <c r="F12" s="69"/>
      <c r="G12" s="73">
        <v>250</v>
      </c>
      <c r="H12" s="45">
        <f>$T$51</f>
        <v>250</v>
      </c>
      <c r="I12" s="74">
        <f>IF(AND(ISNUMBER($G$12),ISNUMBER($H$12)),ABS($H$12-$G$12),"")</f>
        <v>0</v>
      </c>
      <c r="J12" s="75">
        <v>1E-09</v>
      </c>
      <c r="K12" s="50" t="str">
        <f>IF(AND(ISNUMBER($G$12),ISNUMBER($H$12)),IF(ABS($H$12-$G$12)&lt;=$J$12,"PASS","FAIL"),"FAIL")</f>
        <v>PASS</v>
      </c>
    </row>
    <row r="13" spans="1:30" ht="16.2" customHeight="1">
      <c r="B13" s="72">
        <v>3</v>
      </c>
      <c r="C13" s="69" t="s">
        <v>285</v>
      </c>
      <c r="D13" s="69"/>
      <c r="E13" s="69"/>
      <c r="F13" s="69"/>
      <c r="G13" s="73">
        <v>250</v>
      </c>
      <c r="H13" s="45">
        <f>$U$51</f>
        <v>250</v>
      </c>
      <c r="I13" s="74">
        <f>IF(AND(ISNUMBER($G$13),ISNUMBER($H$13)),ABS($H$13-$G$13),"")</f>
        <v>0</v>
      </c>
      <c r="J13" s="75">
        <v>1E-09</v>
      </c>
      <c r="K13" s="50" t="str">
        <f>IF(AND(ISNUMBER($G$13),ISNUMBER($H$13)),IF(ABS($H$13-$G$13)&lt;=$J$13,"PASS","FAIL"),"FAIL")</f>
        <v>PASS</v>
      </c>
    </row>
    <row r="14" spans="1:30" ht="16.2" customHeight="1">
      <c r="B14" s="72">
        <v>4</v>
      </c>
      <c r="C14" s="69" t="s">
        <v>286</v>
      </c>
      <c r="D14" s="69"/>
      <c r="E14" s="69"/>
      <c r="F14" s="69"/>
      <c r="G14" s="73">
        <v>100</v>
      </c>
      <c r="H14" s="45">
        <f>$V$51</f>
        <v>100</v>
      </c>
      <c r="I14" s="74">
        <f>IF(AND(ISNUMBER($G$14),ISNUMBER($H$14)),ABS($H$14-$G$14),"")</f>
        <v>0</v>
      </c>
      <c r="J14" s="75">
        <v>1E-09</v>
      </c>
      <c r="K14" s="50" t="str">
        <f>IF(AND(ISNUMBER($G$14),ISNUMBER($H$14)),IF(ABS($H$14-$G$14)&lt;=$J$14,"PASS","FAIL"),"FAIL")</f>
        <v>PASS</v>
      </c>
    </row>
    <row r="15" spans="1:30" ht="16.2" customHeight="1">
      <c r="B15" s="72">
        <v>5</v>
      </c>
      <c r="C15" s="69" t="s">
        <v>287</v>
      </c>
      <c r="D15" s="69"/>
      <c r="E15" s="69"/>
      <c r="F15" s="69"/>
      <c r="G15" s="73">
        <v>100</v>
      </c>
      <c r="H15" s="45">
        <f>$W$51</f>
        <v>100</v>
      </c>
      <c r="I15" s="74">
        <f>IF(AND(ISNUMBER($G$15),ISNUMBER($H$15)),ABS($H$15-$G$15),"")</f>
        <v>0</v>
      </c>
      <c r="J15" s="75">
        <v>1E-09</v>
      </c>
      <c r="K15" s="50" t="str">
        <f>IF(AND(ISNUMBER($G$15),ISNUMBER($H$15)),IF(ABS($H$15-$G$15)&lt;=$J$15,"PASS","FAIL"),"FAIL")</f>
        <v>PASS</v>
      </c>
    </row>
    <row r="16" spans="1:30" ht="16.2" customHeight="1">
      <c r="B16" s="72">
        <v>6</v>
      </c>
      <c r="C16" s="69" t="s">
        <v>288</v>
      </c>
      <c r="D16" s="69"/>
      <c r="E16" s="69"/>
      <c r="F16" s="69"/>
      <c r="G16" s="73">
        <v>100</v>
      </c>
      <c r="H16" s="45">
        <f>$X$51</f>
        <v>100</v>
      </c>
      <c r="I16" s="74">
        <f>IF(AND(ISNUMBER($G$16),ISNUMBER($H$16)),ABS($H$16-$G$16),"")</f>
        <v>0</v>
      </c>
      <c r="J16" s="75">
        <v>1E-09</v>
      </c>
      <c r="K16" s="50" t="str">
        <f>IF(AND(ISNUMBER($G$16),ISNUMBER($H$16)),IF(ABS($H$16-$G$16)&lt;=$J$16,"PASS","FAIL"),"FAIL")</f>
        <v>PASS</v>
      </c>
    </row>
    <row r="17" spans="2:11" ht="16.2" customHeight="1">
      <c r="B17" s="72">
        <v>7</v>
      </c>
      <c r="C17" s="69" t="s">
        <v>289</v>
      </c>
      <c r="D17" s="69"/>
      <c r="E17" s="69"/>
      <c r="F17" s="69"/>
      <c r="G17" s="73">
        <v>800</v>
      </c>
      <c r="H17" s="45">
        <f>$Y$51</f>
        <v>800</v>
      </c>
      <c r="I17" s="74">
        <f>IF(AND(ISNUMBER($G$17),ISNUMBER($H$17)),ABS($H$17-$G$17),"")</f>
        <v>0</v>
      </c>
      <c r="J17" s="75">
        <v>1E-09</v>
      </c>
      <c r="K17" s="50" t="str">
        <f>IF(AND(ISNUMBER($G$17),ISNUMBER($H$17)),IF(ABS($H$17-$G$17)&lt;=$J$17,"PASS","FAIL"),"FAIL")</f>
        <v>PASS</v>
      </c>
    </row>
    <row r="18" spans="2:11" ht="16.2" customHeight="1">
      <c r="B18" s="72">
        <v>8</v>
      </c>
      <c r="C18" s="69" t="s">
        <v>290</v>
      </c>
      <c r="D18" s="69"/>
      <c r="E18" s="69"/>
      <c r="F18" s="69"/>
      <c r="G18" s="76">
        <v>0.1</v>
      </c>
      <c r="H18" s="49">
        <f>$Z$51</f>
        <v>0.1</v>
      </c>
      <c r="I18" s="74">
        <f>IF(AND(ISNUMBER($G$18),ISNUMBER($H$18)),ABS($H$18-$G$18),"")</f>
        <v>0</v>
      </c>
      <c r="J18" s="75">
        <v>1E-09</v>
      </c>
      <c r="K18" s="50" t="str">
        <f>IF(AND(ISNUMBER($G$18),ISNUMBER($H$18)),IF(ABS($H$18-$G$18)&lt;=$J$18,"PASS","FAIL"),"FAIL")</f>
        <v>PASS</v>
      </c>
    </row>
    <row r="19" spans="2:11" ht="16.2" customHeight="1">
      <c r="B19" s="72">
        <v>9</v>
      </c>
      <c r="C19" s="69" t="s">
        <v>291</v>
      </c>
      <c r="D19" s="69"/>
      <c r="E19" s="69"/>
      <c r="F19" s="69"/>
      <c r="G19" s="68" t="s">
        <v>200</v>
      </c>
      <c r="H19" s="77" t="str">
        <f>$AA$51</f>
        <v>Out of limits</v>
      </c>
      <c r="I19" s="77"/>
      <c r="J19" s="70" t="s">
        <v>292</v>
      </c>
      <c r="K19" s="50" t="str">
        <f>IF($H$19&amp;""=$G$19&amp;"","PASS","FAIL")</f>
        <v>PASS</v>
      </c>
    </row>
    <row r="20" spans="2:11" ht="16.2" customHeight="1">
      <c r="B20" s="72">
        <v>10</v>
      </c>
      <c r="C20" s="69" t="s">
        <v>293</v>
      </c>
      <c r="D20" s="69"/>
      <c r="E20" s="69"/>
      <c r="F20" s="69"/>
      <c r="G20" s="78">
        <v>40</v>
      </c>
      <c r="H20" s="46">
        <f>$Q$52</f>
        <v>40</v>
      </c>
      <c r="I20" s="74">
        <f>IF(AND(ISNUMBER($G$20),ISNUMBER($H$20)),ABS($H$20-$G$20),"")</f>
        <v>0</v>
      </c>
      <c r="J20" s="75">
        <v>1E-09</v>
      </c>
      <c r="K20" s="50" t="str">
        <f>IF(AND(ISNUMBER($G$20),ISNUMBER($H$20)),IF(ABS($H$20-$G$20)&lt;=$J$20,"PASS","FAIL"),"FAIL")</f>
        <v>PASS</v>
      </c>
    </row>
    <row r="21" spans="2:11" ht="16.2" customHeight="1">
      <c r="B21" s="72">
        <v>11</v>
      </c>
      <c r="C21" s="69" t="s">
        <v>294</v>
      </c>
      <c r="D21" s="69"/>
      <c r="E21" s="69"/>
      <c r="F21" s="69"/>
      <c r="G21" s="73">
        <v>-39.5</v>
      </c>
      <c r="H21" s="45">
        <f>$T$52</f>
        <v>-39.5</v>
      </c>
      <c r="I21" s="74">
        <f>IF(AND(ISNUMBER($G$21),ISNUMBER($H$21)),ABS($H$21-$G$21),"")</f>
        <v>0</v>
      </c>
      <c r="J21" s="75">
        <v>1E-09</v>
      </c>
      <c r="K21" s="50" t="str">
        <f>IF(AND(ISNUMBER($G$21),ISNUMBER($H$21)),IF(ABS($H$21-$G$21)&lt;=$J$21,"PASS","FAIL"),"FAIL")</f>
        <v>PASS</v>
      </c>
    </row>
    <row r="22" spans="2:11" ht="16.2" customHeight="1">
      <c r="B22" s="72">
        <v>12</v>
      </c>
      <c r="C22" s="69" t="s">
        <v>295</v>
      </c>
      <c r="D22" s="69"/>
      <c r="E22" s="69"/>
      <c r="F22" s="69"/>
      <c r="G22" s="73">
        <v>120</v>
      </c>
      <c r="H22" s="45">
        <f>$W$52</f>
        <v>120</v>
      </c>
      <c r="I22" s="74">
        <f>IF(AND(ISNUMBER($G$22),ISNUMBER($H$22)),ABS($H$22-$G$22),"")</f>
        <v>0</v>
      </c>
      <c r="J22" s="75">
        <v>1E-09</v>
      </c>
      <c r="K22" s="50" t="str">
        <f>IF(AND(ISNUMBER($G$22),ISNUMBER($H$22)),IF(ABS($H$22-$G$22)&lt;=$J$22,"PASS","FAIL"),"FAIL")</f>
        <v>PASS</v>
      </c>
    </row>
    <row r="23" spans="2:11" ht="16.2" customHeight="1">
      <c r="B23" s="72">
        <v>13</v>
      </c>
      <c r="C23" s="69" t="s">
        <v>296</v>
      </c>
      <c r="D23" s="69"/>
      <c r="E23" s="69"/>
      <c r="F23" s="69"/>
      <c r="G23" s="73">
        <v>151.5</v>
      </c>
      <c r="H23" s="45">
        <f>$Y$52</f>
        <v>151.5</v>
      </c>
      <c r="I23" s="74">
        <f>IF(AND(ISNUMBER($G$23),ISNUMBER($H$23)),ABS($H$23-$G$23),"")</f>
        <v>0</v>
      </c>
      <c r="J23" s="75">
        <v>1E-09</v>
      </c>
      <c r="K23" s="50" t="str">
        <f>IF(AND(ISNUMBER($G$23),ISNUMBER($H$23)),IF(ABS($H$23-$G$23)&lt;=$J$23,"PASS","FAIL"),"FAIL")</f>
        <v>PASS</v>
      </c>
    </row>
    <row r="24" spans="2:11" ht="16.2" customHeight="1">
      <c r="B24" s="72">
        <v>14</v>
      </c>
      <c r="C24" s="69" t="s">
        <v>297</v>
      </c>
      <c r="D24" s="69"/>
      <c r="E24" s="69"/>
      <c r="F24" s="69"/>
      <c r="G24" s="68" t="s">
        <v>298</v>
      </c>
      <c r="H24" s="77" t="str">
        <f>$AA$52</f>
        <v>Within limits</v>
      </c>
      <c r="I24" s="77"/>
      <c r="J24" s="70" t="s">
        <v>292</v>
      </c>
      <c r="K24" s="50" t="str">
        <f>IF($H$24&amp;""=$G$24&amp;"","PASS","FAIL")</f>
        <v>PASS</v>
      </c>
    </row>
    <row r="25" spans="2:11" ht="16.2" customHeight="1">
      <c r="B25" s="72">
        <v>15</v>
      </c>
      <c r="C25" s="69" t="s">
        <v>299</v>
      </c>
      <c r="D25" s="69"/>
      <c r="E25" s="69"/>
      <c r="F25" s="69"/>
      <c r="G25" s="73">
        <v>0</v>
      </c>
      <c r="H25" s="45">
        <f>$Y$53</f>
        <v>0</v>
      </c>
      <c r="I25" s="74">
        <f>IF(AND(ISNUMBER($G$25),ISNUMBER($H$25)),ABS($H$25-$G$25),"")</f>
        <v>0</v>
      </c>
      <c r="J25" s="75">
        <v>1E-09</v>
      </c>
      <c r="K25" s="50" t="str">
        <f>IF(AND(ISNUMBER($G$25),ISNUMBER($H$25)),IF(ABS($H$25-$G$25)&lt;=$J$25,"PASS","FAIL"),"FAIL")</f>
        <v>PASS</v>
      </c>
    </row>
    <row r="26" spans="2:11" ht="16.2" customHeight="1">
      <c r="B26" s="72">
        <v>16</v>
      </c>
      <c r="C26" s="69" t="s">
        <v>300</v>
      </c>
      <c r="D26" s="69"/>
      <c r="E26" s="69"/>
      <c r="F26" s="69"/>
      <c r="G26" s="68" t="s">
        <v>298</v>
      </c>
      <c r="H26" s="77" t="str">
        <f>$AA$53</f>
        <v>Within limits</v>
      </c>
      <c r="I26" s="77"/>
      <c r="J26" s="70" t="s">
        <v>292</v>
      </c>
      <c r="K26" s="50" t="str">
        <f>IF($H$26&amp;""=$G$26&amp;"","PASS","FAIL")</f>
        <v>PASS</v>
      </c>
    </row>
    <row r="27" spans="2:11" ht="16.2" customHeight="1">
      <c r="B27" s="72">
        <v>17</v>
      </c>
      <c r="C27" s="69" t="s">
        <v>301</v>
      </c>
      <c r="D27" s="69"/>
      <c r="E27" s="69"/>
      <c r="F27" s="69"/>
      <c r="G27" s="68" t="s">
        <v>302</v>
      </c>
      <c r="H27" s="77" t="str">
        <f>$AB$54</f>
        <v>Product not on Setup list</v>
      </c>
      <c r="I27" s="77"/>
      <c r="J27" s="70" t="s">
        <v>292</v>
      </c>
      <c r="K27" s="50" t="str">
        <f>IF($H$27&amp;""=$G$27&amp;"","PASS","FAIL")</f>
        <v>PASS</v>
      </c>
    </row>
    <row r="28" spans="2:11" ht="16.2" customHeight="1">
      <c r="B28" s="72">
        <v>18</v>
      </c>
      <c r="C28" s="69" t="s">
        <v>303</v>
      </c>
      <c r="D28" s="69"/>
      <c r="E28" s="69"/>
      <c r="F28" s="69"/>
      <c r="G28" s="68" t="s">
        <v>126</v>
      </c>
      <c r="H28" s="77">
        <f>$Y$54</f>
        <v/>
      </c>
      <c r="I28" s="77"/>
      <c r="J28" s="70" t="s">
        <v>292</v>
      </c>
      <c r="K28" s="50" t="str">
        <f>IF($H$28&amp;""=$G$28&amp;"","PASS","FAIL")</f>
        <v>PASS</v>
      </c>
    </row>
    <row r="29" spans="2:11" ht="16.2" customHeight="1">
      <c r="B29" s="72">
        <v>19</v>
      </c>
      <c r="C29" s="69" t="s">
        <v>304</v>
      </c>
      <c r="D29" s="69"/>
      <c r="E29" s="69"/>
      <c r="F29" s="69"/>
      <c r="G29" s="73">
        <v>951.5</v>
      </c>
      <c r="H29" s="45">
        <f>SUMIFS(tblVerifyOrders[Total variance],tblVerifyOrders[View date],"&gt;0")</f>
        <v>951.5</v>
      </c>
      <c r="I29" s="74">
        <f>IF(AND(ISNUMBER($G$29),ISNUMBER($H$29)),ABS($H$29-$G$29),"")</f>
        <v>0</v>
      </c>
      <c r="J29" s="75">
        <v>1E-09</v>
      </c>
      <c r="K29" s="50" t="str">
        <f>IF(AND(ISNUMBER($G$29),ISNUMBER($H$29)),IF(ABS($H$29-$G$29)&lt;=$J$29,"PASS","FAIL"),"FAIL")</f>
        <v>PASS</v>
      </c>
    </row>
    <row r="30" spans="2:11" ht="16.2" customHeight="1">
      <c r="B30" s="72">
        <v>20</v>
      </c>
      <c r="C30" s="69" t="s">
        <v>305</v>
      </c>
      <c r="D30" s="69"/>
      <c r="E30" s="69"/>
      <c r="F30" s="69"/>
      <c r="G30" s="76">
        <v>0.0743359375</v>
      </c>
      <c r="H30" s="49">
        <f>IF((SUMIFS(tblVerifyOrders[Standard cost],tblVerifyOrders[View date],"&gt;0"))=0,"",(SUMIFS(tblVerifyOrders[Total variance],tblVerifyOrders[View date],"&gt;0"))/(SUMIFS(tblVerifyOrders[Standard cost],tblVerifyOrders[View date],"&gt;0")))</f>
        <v>0.0743359375</v>
      </c>
      <c r="I30" s="74">
        <f>IF(AND(ISNUMBER($G$30),ISNUMBER($H$30)),ABS($H$30-$G$30),"")</f>
        <v>0</v>
      </c>
      <c r="J30" s="75">
        <v>1E-09</v>
      </c>
      <c r="K30" s="50" t="str">
        <f>IF(AND(ISNUMBER($G$30),ISNUMBER($H$30)),IF(ABS($H$30-$G$30)&lt;=$J$30,"PASS","FAIL"),"FAIL")</f>
        <v>PASS</v>
      </c>
    </row>
    <row r="31" spans="2:11" ht="16.2" customHeight="1">
      <c r="B31" s="72">
        <v>21</v>
      </c>
      <c r="C31" s="69" t="s">
        <v>306</v>
      </c>
      <c r="D31" s="69"/>
      <c r="E31" s="69"/>
      <c r="F31" s="69"/>
      <c r="G31" s="79">
        <v>1</v>
      </c>
      <c r="H31" s="47">
        <f>COUNTIFS(tblVerifyOrders[Status],"Out of limits",tblVerifyOrders[View date],"&gt;0")</f>
        <v>1</v>
      </c>
      <c r="I31" s="74">
        <f>IF(AND(ISNUMBER($G$31),ISNUMBER($H$31)),ABS($H$31-$G$31),"")</f>
        <v>0</v>
      </c>
      <c r="J31" s="75">
        <v>1E-09</v>
      </c>
      <c r="K31" s="50" t="str">
        <f>IF(AND(ISNUMBER($G$31),ISNUMBER($H$31)),IF(ABS($H$31-$G$31)&lt;=$J$31,"PASS","FAIL"),"FAIL")</f>
        <v>PASS</v>
      </c>
    </row>
    <row r="32" spans="2:11" ht="16.2" customHeight="1">
      <c r="B32" s="72">
        <v>22</v>
      </c>
      <c r="C32" s="69" t="s">
        <v>307</v>
      </c>
      <c r="D32" s="69"/>
      <c r="E32" s="69"/>
      <c r="F32" s="69"/>
      <c r="G32" s="73">
        <v>210.5</v>
      </c>
      <c r="H32" s="45">
        <f>$C$59</f>
        <v>210.5</v>
      </c>
      <c r="I32" s="74">
        <f>IF(AND(ISNUMBER($G$32),ISNUMBER($H$32)),ABS($H$32-$G$32),"")</f>
        <v>0</v>
      </c>
      <c r="J32" s="75">
        <v>1E-09</v>
      </c>
      <c r="K32" s="50" t="str">
        <f>IF(AND(ISNUMBER($G$32),ISNUMBER($H$32)),IF(ABS($H$32-$G$32)&lt;=$J$32,"PASS","FAIL"),"FAIL")</f>
        <v>PASS</v>
      </c>
    </row>
    <row r="33" spans="2:12" ht="16.2" customHeight="1">
      <c r="B33" s="72">
        <v>23</v>
      </c>
      <c r="C33" s="69" t="s">
        <v>308</v>
      </c>
      <c r="D33" s="69"/>
      <c r="E33" s="69"/>
      <c r="F33" s="69"/>
      <c r="G33" s="73">
        <v>225</v>
      </c>
      <c r="H33" s="45">
        <f>$C$60</f>
        <v>225</v>
      </c>
      <c r="I33" s="74">
        <f>IF(AND(ISNUMBER($G$33),ISNUMBER($H$33)),ABS($H$33-$G$33),"")</f>
        <v>0</v>
      </c>
      <c r="J33" s="75">
        <v>1E-09</v>
      </c>
      <c r="K33" s="50" t="str">
        <f>IF(AND(ISNUMBER($G$33),ISNUMBER($H$33)),IF(ABS($H$33-$G$33)&lt;=$J$33,"PASS","FAIL"),"FAIL")</f>
        <v>PASS</v>
      </c>
    </row>
    <row r="34" spans="2:12" ht="16.2" customHeight="1">
      <c r="B34" s="72">
        <v>24</v>
      </c>
      <c r="C34" s="69" t="s">
        <v>309</v>
      </c>
      <c r="D34" s="69"/>
      <c r="E34" s="69"/>
      <c r="F34" s="69"/>
      <c r="G34" s="73">
        <v>146</v>
      </c>
      <c r="H34" s="45">
        <f>$C$61</f>
        <v>146</v>
      </c>
      <c r="I34" s="74">
        <f>IF(AND(ISNUMBER($G$34),ISNUMBER($H$34)),ABS($H$34-$G$34),"")</f>
        <v>0</v>
      </c>
      <c r="J34" s="75">
        <v>1E-09</v>
      </c>
      <c r="K34" s="50" t="str">
        <f>IF(AND(ISNUMBER($G$34),ISNUMBER($H$34)),IF(ABS($H$34-$G$34)&lt;=$J$34,"PASS","FAIL"),"FAIL")</f>
        <v>PASS</v>
      </c>
    </row>
    <row r="35" spans="2:12" ht="16.2" customHeight="1">
      <c r="B35" s="72">
        <v>25</v>
      </c>
      <c r="C35" s="69" t="s">
        <v>310</v>
      </c>
      <c r="D35" s="69"/>
      <c r="E35" s="69"/>
      <c r="F35" s="69"/>
      <c r="G35" s="73">
        <v>220</v>
      </c>
      <c r="H35" s="45">
        <f>$C$62</f>
        <v>220</v>
      </c>
      <c r="I35" s="74">
        <f>IF(AND(ISNUMBER($G$35),ISNUMBER($H$35)),ABS($H$35-$G$35),"")</f>
        <v>0</v>
      </c>
      <c r="J35" s="75">
        <v>1E-09</v>
      </c>
      <c r="K35" s="50" t="str">
        <f>IF(AND(ISNUMBER($G$35),ISNUMBER($H$35)),IF(ABS($H$35-$G$35)&lt;=$J$35,"PASS","FAIL"),"FAIL")</f>
        <v>PASS</v>
      </c>
    </row>
    <row r="36" spans="2:12" ht="16.2" customHeight="1">
      <c r="B36" s="72">
        <v>26</v>
      </c>
      <c r="C36" s="69" t="s">
        <v>311</v>
      </c>
      <c r="D36" s="69"/>
      <c r="E36" s="69"/>
      <c r="F36" s="69"/>
      <c r="G36" s="73">
        <v>150</v>
      </c>
      <c r="H36" s="45">
        <f>$C$63</f>
        <v>150</v>
      </c>
      <c r="I36" s="74">
        <f>IF(AND(ISNUMBER($G$36),ISNUMBER($H$36)),ABS($H$36-$G$36),"")</f>
        <v>0</v>
      </c>
      <c r="J36" s="75">
        <v>1E-09</v>
      </c>
      <c r="K36" s="50" t="str">
        <f>IF(AND(ISNUMBER($G$36),ISNUMBER($H$36)),IF(ABS($H$36-$G$36)&lt;=$J$36,"PASS","FAIL"),"FAIL")</f>
        <v>PASS</v>
      </c>
    </row>
    <row r="38" spans="2:12" ht="21" customHeight="1">
      <c r="B38" s="8" t="s">
        <v>312</v>
      </c>
      <c r="C38" s="8"/>
      <c r="D38" s="8"/>
      <c r="E38" s="8"/>
      <c r="F38" s="8"/>
      <c r="G38" s="8"/>
      <c r="H38" s="8"/>
      <c r="I38" s="8"/>
      <c r="J38" s="8"/>
      <c r="K38" s="8"/>
      <c r="L38" s="8"/>
    </row>
    <row r="39" spans="2:12" ht="5" customHeight="1"/>
    <row r="40" spans="2:12">
      <c r="B40" s="21" t="s">
        <v>313</v>
      </c>
      <c r="C40" s="21"/>
      <c r="D40" s="21"/>
      <c r="E40" s="21"/>
      <c r="F40" s="21"/>
      <c r="G40" s="21"/>
      <c r="H40" s="21"/>
      <c r="I40" s="21"/>
      <c r="J40" s="21"/>
      <c r="K40" s="21"/>
      <c r="L40" s="21"/>
    </row>
    <row r="41" spans="2:12">
      <c r="B41" s="31" t="s">
        <v>314</v>
      </c>
      <c r="C41" s="31"/>
      <c r="D41" s="31"/>
      <c r="E41" s="31"/>
      <c r="F41" s="31"/>
    </row>
    <row r="42" spans="2:12">
      <c r="B42" s="27" t="s">
        <v>315</v>
      </c>
      <c r="C42" s="27"/>
      <c r="D42" s="27"/>
      <c r="E42" s="79">
        <v>0</v>
      </c>
      <c r="F42" s="7"/>
    </row>
    <row r="43" spans="2:12">
      <c r="B43" s="27" t="s">
        <v>316</v>
      </c>
      <c r="C43" s="27"/>
      <c r="D43" s="27"/>
      <c r="E43" s="79">
        <v>2958465</v>
      </c>
      <c r="F43" s="7"/>
    </row>
    <row r="44" spans="2:12">
      <c r="B44" s="27" t="s">
        <v>317</v>
      </c>
      <c r="C44" s="27"/>
      <c r="D44" s="27"/>
      <c r="E44" s="68" t="s">
        <v>126</v>
      </c>
      <c r="F44" s="68"/>
    </row>
    <row r="45" spans="2:12">
      <c r="B45" s="27" t="s">
        <v>318</v>
      </c>
      <c r="C45" s="27"/>
      <c r="D45" s="27"/>
      <c r="E45" s="76">
        <v>0.05</v>
      </c>
      <c r="F45" s="7"/>
    </row>
    <row r="46" spans="2:12">
      <c r="B46" s="27" t="s">
        <v>79</v>
      </c>
      <c r="C46" s="27"/>
      <c r="D46" s="27"/>
      <c r="E46" s="79">
        <v>500</v>
      </c>
      <c r="F46" s="7"/>
    </row>
    <row r="48" spans="2:12">
      <c r="B48" s="31" t="s">
        <v>319</v>
      </c>
      <c r="C48" s="31"/>
      <c r="D48" s="31"/>
      <c r="E48" s="31"/>
      <c r="F48" s="31"/>
      <c r="G48" s="31"/>
      <c r="H48" s="31"/>
      <c r="I48" s="31"/>
      <c r="J48" s="31"/>
      <c r="K48" s="31"/>
      <c r="L48" s="31"/>
    </row>
    <row r="49" spans="2:30" ht="14" customHeight="1">
      <c r="B49" s="32"/>
      <c r="C49" s="32"/>
      <c r="D49" s="32"/>
      <c r="E49" s="32" t="s">
        <v>122</v>
      </c>
      <c r="F49" s="32" t="s">
        <v>123</v>
      </c>
      <c r="G49" s="32" t="str">
        <f>Currency</f>
        <v>USD</v>
      </c>
      <c r="H49" s="32" t="s">
        <v>124</v>
      </c>
      <c r="I49" s="32" t="str">
        <f>Currency</f>
        <v>USD</v>
      </c>
      <c r="J49" s="32" t="str">
        <f>Currency</f>
        <v>USD</v>
      </c>
      <c r="K49" s="32" t="s">
        <v>83</v>
      </c>
      <c r="L49" s="32" t="str">
        <f>Currency&amp;"/mat. unit"</f>
        <v>USD/mat. unit</v>
      </c>
      <c r="M49" s="32" t="s">
        <v>84</v>
      </c>
      <c r="N49" s="32" t="str">
        <f>Currency&amp;"/h"</f>
        <v>USD/h</v>
      </c>
      <c r="O49" s="32" t="str">
        <f>Currency&amp;"/h"</f>
        <v>USD/h</v>
      </c>
      <c r="P49" s="32" t="s">
        <v>123</v>
      </c>
      <c r="Q49" s="32" t="s">
        <v>124</v>
      </c>
      <c r="R49" s="32" t="str">
        <f>Currency</f>
        <v>USD</v>
      </c>
      <c r="S49" s="32" t="str">
        <f>Currency</f>
        <v>USD</v>
      </c>
      <c r="T49" s="32" t="str">
        <f>Currency</f>
        <v>USD</v>
      </c>
      <c r="U49" s="32" t="str">
        <f>Currency</f>
        <v>USD</v>
      </c>
      <c r="V49" s="32" t="str">
        <f>Currency</f>
        <v>USD</v>
      </c>
      <c r="W49" s="32" t="str">
        <f>Currency</f>
        <v>USD</v>
      </c>
      <c r="X49" s="32" t="str">
        <f>Currency</f>
        <v>USD</v>
      </c>
      <c r="Y49" s="32" t="str">
        <f>Currency</f>
        <v>USD</v>
      </c>
      <c r="Z49" s="32" t="s">
        <v>85</v>
      </c>
      <c r="AA49" s="32"/>
      <c r="AB49" s="32"/>
      <c r="AC49" s="32"/>
      <c r="AD49" s="32"/>
    </row>
    <row r="50" spans="2:30" ht="45.5" customHeight="1">
      <c r="B50" s="33" t="s">
        <v>99</v>
      </c>
      <c r="C50" s="33" t="s">
        <v>100</v>
      </c>
      <c r="D50" s="33" t="s">
        <v>62</v>
      </c>
      <c r="E50" s="33" t="s">
        <v>101</v>
      </c>
      <c r="F50" s="33" t="s">
        <v>102</v>
      </c>
      <c r="G50" s="33" t="s">
        <v>103</v>
      </c>
      <c r="H50" s="33" t="s">
        <v>104</v>
      </c>
      <c r="I50" s="33" t="s">
        <v>105</v>
      </c>
      <c r="J50" s="33" t="s">
        <v>106</v>
      </c>
      <c r="K50" s="33" t="s">
        <v>65</v>
      </c>
      <c r="L50" s="33" t="s">
        <v>66</v>
      </c>
      <c r="M50" s="33" t="s">
        <v>67</v>
      </c>
      <c r="N50" s="33" t="s">
        <v>68</v>
      </c>
      <c r="O50" s="33" t="s">
        <v>69</v>
      </c>
      <c r="P50" s="33" t="s">
        <v>107</v>
      </c>
      <c r="Q50" s="33" t="s">
        <v>108</v>
      </c>
      <c r="R50" s="33" t="s">
        <v>109</v>
      </c>
      <c r="S50" s="33" t="s">
        <v>110</v>
      </c>
      <c r="T50" s="33" t="s">
        <v>111</v>
      </c>
      <c r="U50" s="33" t="s">
        <v>112</v>
      </c>
      <c r="V50" s="33" t="s">
        <v>113</v>
      </c>
      <c r="W50" s="33" t="s">
        <v>114</v>
      </c>
      <c r="X50" s="33" t="s">
        <v>115</v>
      </c>
      <c r="Y50" s="33" t="s">
        <v>116</v>
      </c>
      <c r="Z50" s="33" t="s">
        <v>117</v>
      </c>
      <c r="AA50" s="33" t="s">
        <v>118</v>
      </c>
      <c r="AB50" s="33" t="s">
        <v>119</v>
      </c>
      <c r="AC50" s="33" t="s">
        <v>120</v>
      </c>
      <c r="AD50" s="33" t="s">
        <v>72</v>
      </c>
    </row>
    <row r="51" spans="2:30">
      <c r="B51" s="80">
        <v>46027</v>
      </c>
      <c r="C51" s="68" t="s">
        <v>320</v>
      </c>
      <c r="D51" s="68" t="s">
        <v>321</v>
      </c>
      <c r="E51" s="79">
        <v>1000</v>
      </c>
      <c r="F51" s="78">
        <v>2100</v>
      </c>
      <c r="G51" s="73">
        <v>5500</v>
      </c>
      <c r="H51" s="78">
        <v>105</v>
      </c>
      <c r="I51" s="73">
        <v>2200</v>
      </c>
      <c r="J51" s="73">
        <v>1100</v>
      </c>
      <c r="K51" s="81">
        <v>2</v>
      </c>
      <c r="L51" s="82">
        <v>2.5</v>
      </c>
      <c r="M51" s="81">
        <v>0.1</v>
      </c>
      <c r="N51" s="73">
        <v>20</v>
      </c>
      <c r="O51" s="73">
        <v>10</v>
      </c>
      <c r="P51" s="46">
        <f>IF(tblVerifyOrders[[#This Row],[Date closed]]="","",IF(tblVerifyOrders[[#This Row],[Std material qty]]="","",tblVerifyOrders[[#This Row],[Good qty]]*tblVerifyOrders[[#This Row],[Std material qty]]))</f>
        <v>2000</v>
      </c>
      <c r="Q51" s="46">
        <f>IF(tblVerifyOrders[[#This Row],[Date closed]]="","",IF(tblVerifyOrders[[#This Row],[Std labour hours]]="","",tblVerifyOrders[[#This Row],[Good qty]]*tblVerifyOrders[[#This Row],[Std labour hours]]))</f>
        <v>100</v>
      </c>
      <c r="R51" s="47">
        <f>IF(tblVerifyOrders[[#This Row],[Date closed]]="","",IF(tblVerifyOrders[[#This Row],[Std qty allowed]]="","",tblVerifyOrders[[#This Row],[Std qty allowed]]*tblVerifyOrders[[#This Row],[Std material price]]+tblVerifyOrders[[#This Row],[Std hours allowed]]*(tblVerifyOrders[[#This Row],[Std labour rate]]+tblVerifyOrders[[#This Row],[Std overhead rate]])))</f>
        <v>8000</v>
      </c>
      <c r="S51" s="47">
        <f>IF(tblVerifyOrders[[#This Row],[Date closed]]="","",tblVerifyOrders[[#This Row],[Material cost]]+tblVerifyOrders[[#This Row],[Labour cost]]+tblVerifyOrders[[#This Row],[Overhead charged]])</f>
        <v>8800</v>
      </c>
      <c r="T51" s="47">
        <f>IF(tblVerifyOrders[[#This Row],[Date closed]]="","",IF(tblVerifyOrders[[#This Row],[Std material price]]="","",tblVerifyOrders[[#This Row],[Material cost]]-tblVerifyOrders[[#This Row],[Material used]]*tblVerifyOrders[[#This Row],[Std material price]]))</f>
        <v>250</v>
      </c>
      <c r="U51" s="47">
        <f>IF(tblVerifyOrders[[#This Row],[Date closed]]="","",IF(tblVerifyOrders[[#This Row],[Std qty allowed]]="","",(tblVerifyOrders[[#This Row],[Material used]]-tblVerifyOrders[[#This Row],[Std qty allowed]])*tblVerifyOrders[[#This Row],[Std material price]]))</f>
        <v>250</v>
      </c>
      <c r="V51" s="47">
        <f>IF(tblVerifyOrders[[#This Row],[Date closed]]="","",IF(tblVerifyOrders[[#This Row],[Std labour rate]]="","",tblVerifyOrders[[#This Row],[Labour cost]]-tblVerifyOrders[[#This Row],[Labour hours]]*tblVerifyOrders[[#This Row],[Std labour rate]]))</f>
        <v>100</v>
      </c>
      <c r="W51" s="47">
        <f>IF(tblVerifyOrders[[#This Row],[Date closed]]="","",IF(tblVerifyOrders[[#This Row],[Std hours allowed]]="","",(tblVerifyOrders[[#This Row],[Labour hours]]-tblVerifyOrders[[#This Row],[Std hours allowed]])*tblVerifyOrders[[#This Row],[Std labour rate]]))</f>
        <v>100</v>
      </c>
      <c r="X51" s="47">
        <f>IF(tblVerifyOrders[[#This Row],[Date closed]]="","",IF(tblVerifyOrders[[#This Row],[Std hours allowed]]="","",tblVerifyOrders[[#This Row],[Overhead charged]]-tblVerifyOrders[[#This Row],[Std hours allowed]]*tblVerifyOrders[[#This Row],[Std overhead rate]]))</f>
        <v>100</v>
      </c>
      <c r="Y51" s="48">
        <f>IF(tblVerifyOrders[[#This Row],[Date closed]]="","",IF(tblVerifyOrders[[#This Row],[Standard cost]]="","",tblVerifyOrders[[#This Row],[Actual cost]]-tblVerifyOrders[[#This Row],[Standard cost]]))</f>
        <v>800</v>
      </c>
      <c r="Z51" s="49">
        <f>IF(tblVerifyOrders[[#This Row],[Date closed]]="","",IF(N(tblVerifyOrders[[#This Row],[Standard cost]])=0,"",tblVerifyOrders[[#This Row],[Total variance]]/tblVerifyOrders[[#This Row],[Standard cost]]))</f>
        <v>0.1</v>
      </c>
      <c r="AA51" s="50" t="str">
        <f>IF(tblVerifyOrders[[#This Row],[Date closed]]="","",IF(tblVerifyOrders[[#This Row],[Variance of standard]]="","",IF(AND(ABS(tblVerifyOrders[[#This Row],[Total variance]])&gt;=$E$46,ABS(tblVerifyOrders[[#This Row],[Variance of standard]])&gt;=$E$45),"Out of limits","Within limits")))</f>
        <v>Out of limits</v>
      </c>
      <c r="AB51" s="51" t="str">
        <f>IF(tblVerifyOrders[[#This Row],[Date closed]]="","",IF(tblVerifyOrders[[#This Row],[Product]]="","Missing product",IF(tblVerifyOrders[[#This Row],[Good qty]]="","Missing good qty",IF(tblVerifyOrders[[#This Row],[Material used]]="","Missing material used",IF(tblVerifyOrders[[#This Row],[Labour hours]]="","Missing labour hours",IF(tblVerifyOrders[[#This Row],[Std material qty]]="","Product not on Setup list",IF(tblVerifyOrders[[#This Row],[Good qty]]=0,"No good output",IF(AND(tblVerifyOrders[[#This Row],[Material used]]&gt;0,tblVerifyOrders[[#This Row],[Material cost]]=""),"Material cost missing",IF(AND(tblVerifyOrders[[#This Row],[Labour hours]]&gt;0,tblVerifyOrders[[#This Row],[Labour cost]]=""),"Labour cost missing",IF(COUNTIF(tblVerifyOrders[Order],tblVerifyOrders[[#This Row],[Order]])&gt;1,"Duplicate order","OK"))))))))))</f>
        <v>OK</v>
      </c>
      <c r="AC51" s="52">
        <f>IF(tblVerifyOrders[[#This Row],[Date closed]]="","",IF(AND(tblVerifyOrders[[#This Row],[Date closed]]&gt;=$E$42,tblVerifyOrders[[#This Row],[Date closed]]&lt;=$E$43,OR($E$44="",tblVerifyOrders[[#This Row],[Product]]=$E$44)),tblVerifyOrders[[#This Row],[Date closed]],""))</f>
        <v>46027</v>
      </c>
      <c r="AD51" s="68"/>
    </row>
    <row r="52" spans="2:30">
      <c r="B52" s="80">
        <v>46028</v>
      </c>
      <c r="C52" s="68" t="s">
        <v>322</v>
      </c>
      <c r="D52" s="68" t="s">
        <v>321</v>
      </c>
      <c r="E52" s="79">
        <v>400</v>
      </c>
      <c r="F52" s="78">
        <v>790</v>
      </c>
      <c r="G52" s="73">
        <v>1935.5</v>
      </c>
      <c r="H52" s="78">
        <v>46</v>
      </c>
      <c r="I52" s="73">
        <v>966</v>
      </c>
      <c r="J52" s="73">
        <v>450</v>
      </c>
      <c r="K52" s="81">
        <v>2</v>
      </c>
      <c r="L52" s="82">
        <v>2.5</v>
      </c>
      <c r="M52" s="81">
        <v>0.1</v>
      </c>
      <c r="N52" s="73">
        <v>20</v>
      </c>
      <c r="O52" s="73">
        <v>10</v>
      </c>
      <c r="P52" s="46">
        <f>IF(tblVerifyOrders[[#This Row],[Date closed]]="","",IF(tblVerifyOrders[[#This Row],[Std material qty]]="","",tblVerifyOrders[[#This Row],[Good qty]]*tblVerifyOrders[[#This Row],[Std material qty]]))</f>
        <v>800</v>
      </c>
      <c r="Q52" s="46">
        <f>IF(tblVerifyOrders[[#This Row],[Date closed]]="","",IF(tblVerifyOrders[[#This Row],[Std labour hours]]="","",tblVerifyOrders[[#This Row],[Good qty]]*tblVerifyOrders[[#This Row],[Std labour hours]]))</f>
        <v>40</v>
      </c>
      <c r="R52" s="47">
        <f>IF(tblVerifyOrders[[#This Row],[Date closed]]="","",IF(tblVerifyOrders[[#This Row],[Std qty allowed]]="","",tblVerifyOrders[[#This Row],[Std qty allowed]]*tblVerifyOrders[[#This Row],[Std material price]]+tblVerifyOrders[[#This Row],[Std hours allowed]]*(tblVerifyOrders[[#This Row],[Std labour rate]]+tblVerifyOrders[[#This Row],[Std overhead rate]])))</f>
        <v>3200</v>
      </c>
      <c r="S52" s="47">
        <f>IF(tblVerifyOrders[[#This Row],[Date closed]]="","",tblVerifyOrders[[#This Row],[Material cost]]+tblVerifyOrders[[#This Row],[Labour cost]]+tblVerifyOrders[[#This Row],[Overhead charged]])</f>
        <v>3351.5</v>
      </c>
      <c r="T52" s="47">
        <f>IF(tblVerifyOrders[[#This Row],[Date closed]]="","",IF(tblVerifyOrders[[#This Row],[Std material price]]="","",tblVerifyOrders[[#This Row],[Material cost]]-tblVerifyOrders[[#This Row],[Material used]]*tblVerifyOrders[[#This Row],[Std material price]]))</f>
        <v>-39.5</v>
      </c>
      <c r="U52" s="47">
        <f>IF(tblVerifyOrders[[#This Row],[Date closed]]="","",IF(tblVerifyOrders[[#This Row],[Std qty allowed]]="","",(tblVerifyOrders[[#This Row],[Material used]]-tblVerifyOrders[[#This Row],[Std qty allowed]])*tblVerifyOrders[[#This Row],[Std material price]]))</f>
        <v>-25</v>
      </c>
      <c r="V52" s="47">
        <f>IF(tblVerifyOrders[[#This Row],[Date closed]]="","",IF(tblVerifyOrders[[#This Row],[Std labour rate]]="","",tblVerifyOrders[[#This Row],[Labour cost]]-tblVerifyOrders[[#This Row],[Labour hours]]*tblVerifyOrders[[#This Row],[Std labour rate]]))</f>
        <v>46</v>
      </c>
      <c r="W52" s="47">
        <f>IF(tblVerifyOrders[[#This Row],[Date closed]]="","",IF(tblVerifyOrders[[#This Row],[Std hours allowed]]="","",(tblVerifyOrders[[#This Row],[Labour hours]]-tblVerifyOrders[[#This Row],[Std hours allowed]])*tblVerifyOrders[[#This Row],[Std labour rate]]))</f>
        <v>120</v>
      </c>
      <c r="X52" s="47">
        <f>IF(tblVerifyOrders[[#This Row],[Date closed]]="","",IF(tblVerifyOrders[[#This Row],[Std hours allowed]]="","",tblVerifyOrders[[#This Row],[Overhead charged]]-tblVerifyOrders[[#This Row],[Std hours allowed]]*tblVerifyOrders[[#This Row],[Std overhead rate]]))</f>
        <v>50</v>
      </c>
      <c r="Y52" s="48">
        <f>IF(tblVerifyOrders[[#This Row],[Date closed]]="","",IF(tblVerifyOrders[[#This Row],[Standard cost]]="","",tblVerifyOrders[[#This Row],[Actual cost]]-tblVerifyOrders[[#This Row],[Standard cost]]))</f>
        <v>151.5</v>
      </c>
      <c r="Z52" s="49">
        <f>IF(tblVerifyOrders[[#This Row],[Date closed]]="","",IF(N(tblVerifyOrders[[#This Row],[Standard cost]])=0,"",tblVerifyOrders[[#This Row],[Total variance]]/tblVerifyOrders[[#This Row],[Standard cost]]))</f>
        <v>0.04734375</v>
      </c>
      <c r="AA52" s="50" t="str">
        <f>IF(tblVerifyOrders[[#This Row],[Date closed]]="","",IF(tblVerifyOrders[[#This Row],[Variance of standard]]="","",IF(AND(ABS(tblVerifyOrders[[#This Row],[Total variance]])&gt;=$E$46,ABS(tblVerifyOrders[[#This Row],[Variance of standard]])&gt;=$E$45),"Out of limits","Within limits")))</f>
        <v>Within limits</v>
      </c>
      <c r="AB52" s="51" t="str">
        <f>IF(tblVerifyOrders[[#This Row],[Date closed]]="","",IF(tblVerifyOrders[[#This Row],[Product]]="","Missing product",IF(tblVerifyOrders[[#This Row],[Good qty]]="","Missing good qty",IF(tblVerifyOrders[[#This Row],[Material used]]="","Missing material used",IF(tblVerifyOrders[[#This Row],[Labour hours]]="","Missing labour hours",IF(tblVerifyOrders[[#This Row],[Std material qty]]="","Product not on Setup list",IF(tblVerifyOrders[[#This Row],[Good qty]]=0,"No good output",IF(AND(tblVerifyOrders[[#This Row],[Material used]]&gt;0,tblVerifyOrders[[#This Row],[Material cost]]=""),"Material cost missing",IF(AND(tblVerifyOrders[[#This Row],[Labour hours]]&gt;0,tblVerifyOrders[[#This Row],[Labour cost]]=""),"Labour cost missing",IF(COUNTIF(tblVerifyOrders[Order],tblVerifyOrders[[#This Row],[Order]])&gt;1,"Duplicate order","OK"))))))))))</f>
        <v>OK</v>
      </c>
      <c r="AC52" s="52">
        <f>IF(tblVerifyOrders[[#This Row],[Date closed]]="","",IF(AND(tblVerifyOrders[[#This Row],[Date closed]]&gt;=$E$42,tblVerifyOrders[[#This Row],[Date closed]]&lt;=$E$43,OR($E$44="",tblVerifyOrders[[#This Row],[Product]]=$E$44)),tblVerifyOrders[[#This Row],[Date closed]],""))</f>
        <v>46028</v>
      </c>
      <c r="AD52" s="68"/>
    </row>
    <row r="53" spans="2:30">
      <c r="B53" s="80">
        <v>46055</v>
      </c>
      <c r="C53" s="68" t="s">
        <v>323</v>
      </c>
      <c r="D53" s="68" t="s">
        <v>321</v>
      </c>
      <c r="E53" s="79">
        <v>200</v>
      </c>
      <c r="F53" s="78">
        <v>400</v>
      </c>
      <c r="G53" s="73">
        <v>1000</v>
      </c>
      <c r="H53" s="78">
        <v>20</v>
      </c>
      <c r="I53" s="73">
        <v>400</v>
      </c>
      <c r="J53" s="73">
        <v>200</v>
      </c>
      <c r="K53" s="81">
        <v>2</v>
      </c>
      <c r="L53" s="82">
        <v>2.5</v>
      </c>
      <c r="M53" s="81">
        <v>0.1</v>
      </c>
      <c r="N53" s="73">
        <v>20</v>
      </c>
      <c r="O53" s="73">
        <v>10</v>
      </c>
      <c r="P53" s="46">
        <f>IF(tblVerifyOrders[[#This Row],[Date closed]]="","",IF(tblVerifyOrders[[#This Row],[Std material qty]]="","",tblVerifyOrders[[#This Row],[Good qty]]*tblVerifyOrders[[#This Row],[Std material qty]]))</f>
        <v>400</v>
      </c>
      <c r="Q53" s="46">
        <f>IF(tblVerifyOrders[[#This Row],[Date closed]]="","",IF(tblVerifyOrders[[#This Row],[Std labour hours]]="","",tblVerifyOrders[[#This Row],[Good qty]]*tblVerifyOrders[[#This Row],[Std labour hours]]))</f>
        <v>20</v>
      </c>
      <c r="R53" s="47">
        <f>IF(tblVerifyOrders[[#This Row],[Date closed]]="","",IF(tblVerifyOrders[[#This Row],[Std qty allowed]]="","",tblVerifyOrders[[#This Row],[Std qty allowed]]*tblVerifyOrders[[#This Row],[Std material price]]+tblVerifyOrders[[#This Row],[Std hours allowed]]*(tblVerifyOrders[[#This Row],[Std labour rate]]+tblVerifyOrders[[#This Row],[Std overhead rate]])))</f>
        <v>1600</v>
      </c>
      <c r="S53" s="47">
        <f>IF(tblVerifyOrders[[#This Row],[Date closed]]="","",tblVerifyOrders[[#This Row],[Material cost]]+tblVerifyOrders[[#This Row],[Labour cost]]+tblVerifyOrders[[#This Row],[Overhead charged]])</f>
        <v>1600</v>
      </c>
      <c r="T53" s="47">
        <f>IF(tblVerifyOrders[[#This Row],[Date closed]]="","",IF(tblVerifyOrders[[#This Row],[Std material price]]="","",tblVerifyOrders[[#This Row],[Material cost]]-tblVerifyOrders[[#This Row],[Material used]]*tblVerifyOrders[[#This Row],[Std material price]]))</f>
        <v>0</v>
      </c>
      <c r="U53" s="47">
        <f>IF(tblVerifyOrders[[#This Row],[Date closed]]="","",IF(tblVerifyOrders[[#This Row],[Std qty allowed]]="","",(tblVerifyOrders[[#This Row],[Material used]]-tblVerifyOrders[[#This Row],[Std qty allowed]])*tblVerifyOrders[[#This Row],[Std material price]]))</f>
        <v>0</v>
      </c>
      <c r="V53" s="47">
        <f>IF(tblVerifyOrders[[#This Row],[Date closed]]="","",IF(tblVerifyOrders[[#This Row],[Std labour rate]]="","",tblVerifyOrders[[#This Row],[Labour cost]]-tblVerifyOrders[[#This Row],[Labour hours]]*tblVerifyOrders[[#This Row],[Std labour rate]]))</f>
        <v>0</v>
      </c>
      <c r="W53" s="47">
        <f>IF(tblVerifyOrders[[#This Row],[Date closed]]="","",IF(tblVerifyOrders[[#This Row],[Std hours allowed]]="","",(tblVerifyOrders[[#This Row],[Labour hours]]-tblVerifyOrders[[#This Row],[Std hours allowed]])*tblVerifyOrders[[#This Row],[Std labour rate]]))</f>
        <v>0</v>
      </c>
      <c r="X53" s="47">
        <f>IF(tblVerifyOrders[[#This Row],[Date closed]]="","",IF(tblVerifyOrders[[#This Row],[Std hours allowed]]="","",tblVerifyOrders[[#This Row],[Overhead charged]]-tblVerifyOrders[[#This Row],[Std hours allowed]]*tblVerifyOrders[[#This Row],[Std overhead rate]]))</f>
        <v>0</v>
      </c>
      <c r="Y53" s="48">
        <f>IF(tblVerifyOrders[[#This Row],[Date closed]]="","",IF(tblVerifyOrders[[#This Row],[Standard cost]]="","",tblVerifyOrders[[#This Row],[Actual cost]]-tblVerifyOrders[[#This Row],[Standard cost]]))</f>
        <v>0</v>
      </c>
      <c r="Z53" s="49">
        <f>IF(tblVerifyOrders[[#This Row],[Date closed]]="","",IF(N(tblVerifyOrders[[#This Row],[Standard cost]])=0,"",tblVerifyOrders[[#This Row],[Total variance]]/tblVerifyOrders[[#This Row],[Standard cost]]))</f>
        <v>0</v>
      </c>
      <c r="AA53" s="50" t="str">
        <f>IF(tblVerifyOrders[[#This Row],[Date closed]]="","",IF(tblVerifyOrders[[#This Row],[Variance of standard]]="","",IF(AND(ABS(tblVerifyOrders[[#This Row],[Total variance]])&gt;=$E$46,ABS(tblVerifyOrders[[#This Row],[Variance of standard]])&gt;=$E$45),"Out of limits","Within limits")))</f>
        <v>Within limits</v>
      </c>
      <c r="AB53" s="51" t="str">
        <f>IF(tblVerifyOrders[[#This Row],[Date closed]]="","",IF(tblVerifyOrders[[#This Row],[Product]]="","Missing product",IF(tblVerifyOrders[[#This Row],[Good qty]]="","Missing good qty",IF(tblVerifyOrders[[#This Row],[Material used]]="","Missing material used",IF(tblVerifyOrders[[#This Row],[Labour hours]]="","Missing labour hours",IF(tblVerifyOrders[[#This Row],[Std material qty]]="","Product not on Setup list",IF(tblVerifyOrders[[#This Row],[Good qty]]=0,"No good output",IF(AND(tblVerifyOrders[[#This Row],[Material used]]&gt;0,tblVerifyOrders[[#This Row],[Material cost]]=""),"Material cost missing",IF(AND(tblVerifyOrders[[#This Row],[Labour hours]]&gt;0,tblVerifyOrders[[#This Row],[Labour cost]]=""),"Labour cost missing",IF(COUNTIF(tblVerifyOrders[Order],tblVerifyOrders[[#This Row],[Order]])&gt;1,"Duplicate order","OK"))))))))))</f>
        <v>OK</v>
      </c>
      <c r="AC53" s="52">
        <f>IF(tblVerifyOrders[[#This Row],[Date closed]]="","",IF(AND(tblVerifyOrders[[#This Row],[Date closed]]&gt;=$E$42,tblVerifyOrders[[#This Row],[Date closed]]&lt;=$E$43,OR($E$44="",tblVerifyOrders[[#This Row],[Product]]=$E$44)),tblVerifyOrders[[#This Row],[Date closed]],""))</f>
        <v>46055</v>
      </c>
      <c r="AD53" s="68"/>
    </row>
    <row r="54" spans="2:30">
      <c r="B54" s="80">
        <v>46056</v>
      </c>
      <c r="C54" s="68" t="s">
        <v>324</v>
      </c>
      <c r="D54" s="68" t="s">
        <v>325</v>
      </c>
      <c r="E54" s="79">
        <v>50</v>
      </c>
      <c r="F54" s="78">
        <v>100</v>
      </c>
      <c r="G54" s="73">
        <v>250</v>
      </c>
      <c r="H54" s="78">
        <v>5</v>
      </c>
      <c r="I54" s="73">
        <v>100</v>
      </c>
      <c r="J54" s="73">
        <v>50</v>
      </c>
      <c r="K54" s="81" t="s">
        <v>126</v>
      </c>
      <c r="L54" s="82" t="s">
        <v>126</v>
      </c>
      <c r="M54" s="81" t="s">
        <v>126</v>
      </c>
      <c r="N54" s="73" t="s">
        <v>126</v>
      </c>
      <c r="O54" s="73" t="s">
        <v>126</v>
      </c>
      <c r="P54" s="46">
        <f>IF(tblVerifyOrders[[#This Row],[Date closed]]="","",IF(tblVerifyOrders[[#This Row],[Std material qty]]="","",tblVerifyOrders[[#This Row],[Good qty]]*tblVerifyOrders[[#This Row],[Std material qty]]))</f>
        <v/>
      </c>
      <c r="Q54" s="46">
        <f>IF(tblVerifyOrders[[#This Row],[Date closed]]="","",IF(tblVerifyOrders[[#This Row],[Std labour hours]]="","",tblVerifyOrders[[#This Row],[Good qty]]*tblVerifyOrders[[#This Row],[Std labour hours]]))</f>
        <v/>
      </c>
      <c r="R54" s="47">
        <f>IF(tblVerifyOrders[[#This Row],[Date closed]]="","",IF(tblVerifyOrders[[#This Row],[Std qty allowed]]="","",tblVerifyOrders[[#This Row],[Std qty allowed]]*tblVerifyOrders[[#This Row],[Std material price]]+tblVerifyOrders[[#This Row],[Std hours allowed]]*(tblVerifyOrders[[#This Row],[Std labour rate]]+tblVerifyOrders[[#This Row],[Std overhead rate]])))</f>
        <v/>
      </c>
      <c r="S54" s="47">
        <f>IF(tblVerifyOrders[[#This Row],[Date closed]]="","",tblVerifyOrders[[#This Row],[Material cost]]+tblVerifyOrders[[#This Row],[Labour cost]]+tblVerifyOrders[[#This Row],[Overhead charged]])</f>
        <v>400</v>
      </c>
      <c r="T54" s="47">
        <f>IF(tblVerifyOrders[[#This Row],[Date closed]]="","",IF(tblVerifyOrders[[#This Row],[Std material price]]="","",tblVerifyOrders[[#This Row],[Material cost]]-tblVerifyOrders[[#This Row],[Material used]]*tblVerifyOrders[[#This Row],[Std material price]]))</f>
        <v/>
      </c>
      <c r="U54" s="47">
        <f>IF(tblVerifyOrders[[#This Row],[Date closed]]="","",IF(tblVerifyOrders[[#This Row],[Std qty allowed]]="","",(tblVerifyOrders[[#This Row],[Material used]]-tblVerifyOrders[[#This Row],[Std qty allowed]])*tblVerifyOrders[[#This Row],[Std material price]]))</f>
        <v/>
      </c>
      <c r="V54" s="47">
        <f>IF(tblVerifyOrders[[#This Row],[Date closed]]="","",IF(tblVerifyOrders[[#This Row],[Std labour rate]]="","",tblVerifyOrders[[#This Row],[Labour cost]]-tblVerifyOrders[[#This Row],[Labour hours]]*tblVerifyOrders[[#This Row],[Std labour rate]]))</f>
        <v/>
      </c>
      <c r="W54" s="47">
        <f>IF(tblVerifyOrders[[#This Row],[Date closed]]="","",IF(tblVerifyOrders[[#This Row],[Std hours allowed]]="","",(tblVerifyOrders[[#This Row],[Labour hours]]-tblVerifyOrders[[#This Row],[Std hours allowed]])*tblVerifyOrders[[#This Row],[Std labour rate]]))</f>
        <v/>
      </c>
      <c r="X54" s="47">
        <f>IF(tblVerifyOrders[[#This Row],[Date closed]]="","",IF(tblVerifyOrders[[#This Row],[Std hours allowed]]="","",tblVerifyOrders[[#This Row],[Overhead charged]]-tblVerifyOrders[[#This Row],[Std hours allowed]]*tblVerifyOrders[[#This Row],[Std overhead rate]]))</f>
        <v/>
      </c>
      <c r="Y54" s="48">
        <f>IF(tblVerifyOrders[[#This Row],[Date closed]]="","",IF(tblVerifyOrders[[#This Row],[Standard cost]]="","",tblVerifyOrders[[#This Row],[Actual cost]]-tblVerifyOrders[[#This Row],[Standard cost]]))</f>
        <v/>
      </c>
      <c r="Z54" s="49">
        <f>IF(tblVerifyOrders[[#This Row],[Date closed]]="","",IF(N(tblVerifyOrders[[#This Row],[Standard cost]])=0,"",tblVerifyOrders[[#This Row],[Total variance]]/tblVerifyOrders[[#This Row],[Standard cost]]))</f>
        <v/>
      </c>
      <c r="AA54" s="50">
        <f>IF(tblVerifyOrders[[#This Row],[Date closed]]="","",IF(tblVerifyOrders[[#This Row],[Variance of standard]]="","",IF(AND(ABS(tblVerifyOrders[[#This Row],[Total variance]])&gt;=$E$46,ABS(tblVerifyOrders[[#This Row],[Variance of standard]])&gt;=$E$45),"Out of limits","Within limits")))</f>
        <v/>
      </c>
      <c r="AB54" s="51" t="str">
        <f>IF(tblVerifyOrders[[#This Row],[Date closed]]="","",IF(tblVerifyOrders[[#This Row],[Product]]="","Missing product",IF(tblVerifyOrders[[#This Row],[Good qty]]="","Missing good qty",IF(tblVerifyOrders[[#This Row],[Material used]]="","Missing material used",IF(tblVerifyOrders[[#This Row],[Labour hours]]="","Missing labour hours",IF(tblVerifyOrders[[#This Row],[Std material qty]]="","Product not on Setup list",IF(tblVerifyOrders[[#This Row],[Good qty]]=0,"No good output",IF(AND(tblVerifyOrders[[#This Row],[Material used]]&gt;0,tblVerifyOrders[[#This Row],[Material cost]]=""),"Material cost missing",IF(AND(tblVerifyOrders[[#This Row],[Labour hours]]&gt;0,tblVerifyOrders[[#This Row],[Labour cost]]=""),"Labour cost missing",IF(COUNTIF(tblVerifyOrders[Order],tblVerifyOrders[[#This Row],[Order]])&gt;1,"Duplicate order","OK"))))))))))</f>
        <v>Product not on Setup list</v>
      </c>
      <c r="AC54" s="52">
        <f>IF(tblVerifyOrders[[#This Row],[Date closed]]="","",IF(AND(tblVerifyOrders[[#This Row],[Date closed]]&gt;=$E$42,tblVerifyOrders[[#This Row],[Date closed]]&lt;=$E$43,OR($E$44="",tblVerifyOrders[[#This Row],[Product]]=$E$44)),tblVerifyOrders[[#This Row],[Date closed]],""))</f>
        <v>46056</v>
      </c>
      <c r="AD54" s="68"/>
    </row>
    <row r="56" spans="2:30">
      <c r="B56" s="31" t="s">
        <v>326</v>
      </c>
      <c r="C56" s="31"/>
      <c r="D56" s="31"/>
      <c r="E56" s="31"/>
      <c r="F56" s="31"/>
      <c r="G56" s="31"/>
      <c r="H56" s="31"/>
      <c r="I56" s="31"/>
      <c r="J56" s="31"/>
      <c r="K56" s="31"/>
      <c r="L56" s="31"/>
    </row>
    <row r="57" spans="2:30" ht="32" customHeight="1">
      <c r="B57" s="61" t="s">
        <v>203</v>
      </c>
      <c r="C57" s="33" t="s">
        <v>204</v>
      </c>
      <c r="D57" s="33" t="s">
        <v>205</v>
      </c>
      <c r="E57" s="33" t="s">
        <v>206</v>
      </c>
      <c r="F57" s="33"/>
    </row>
    <row r="58" spans="2:30" ht="14" customHeight="1">
      <c r="B58" s="32"/>
      <c r="C58" s="32" t="str">
        <f>Currency</f>
        <v>USD</v>
      </c>
      <c r="D58" s="32" t="s">
        <v>85</v>
      </c>
      <c r="E58" s="32"/>
      <c r="F58" s="32"/>
    </row>
    <row r="59" spans="2:30">
      <c r="B59" s="63" t="s">
        <v>207</v>
      </c>
      <c r="C59" s="47">
        <f>CHOOSE(1,SUMIFS(tblVerifyOrders[Material price var.],tblVerifyOrders[View date],"&gt;0"),SUMIFS(tblVerifyOrders[Material usage var.],tblVerifyOrders[View date],"&gt;0"),SUMIFS(tblVerifyOrders[Labour rate var.],tblVerifyOrders[View date],"&gt;0"),SUMIFS(tblVerifyOrders[Labour efficiency var.],tblVerifyOrders[View date],"&gt;0"),SUMIFS(tblVerifyOrders[Overhead var.],tblVerifyOrders[View date],"&gt;0"))</f>
        <v>210.5</v>
      </c>
      <c r="D59" s="49">
        <f>IF((SUMIFS(tblVerifyOrders[Standard cost],tblVerifyOrders[View date],"&gt;0"))=0,"",($C$59)/(SUMIFS(tblVerifyOrders[Standard cost],tblVerifyOrders[View date],"&gt;0")))</f>
        <v>0.0164453125</v>
      </c>
      <c r="E59" s="50" t="str">
        <f>IF($C$59&gt;0,"Unfavourable",IF($C$59&lt;0,"Favourable","-"))</f>
        <v>Unfavourable</v>
      </c>
      <c r="F59" s="50"/>
    </row>
    <row r="60" spans="2:30">
      <c r="B60" s="63" t="s">
        <v>208</v>
      </c>
      <c r="C60" s="47">
        <f>CHOOSE(2,SUMIFS(tblVerifyOrders[Material price var.],tblVerifyOrders[View date],"&gt;0"),SUMIFS(tblVerifyOrders[Material usage var.],tblVerifyOrders[View date],"&gt;0"),SUMIFS(tblVerifyOrders[Labour rate var.],tblVerifyOrders[View date],"&gt;0"),SUMIFS(tblVerifyOrders[Labour efficiency var.],tblVerifyOrders[View date],"&gt;0"),SUMIFS(tblVerifyOrders[Overhead var.],tblVerifyOrders[View date],"&gt;0"))</f>
        <v>225</v>
      </c>
      <c r="D60" s="49">
        <f>IF((SUMIFS(tblVerifyOrders[Standard cost],tblVerifyOrders[View date],"&gt;0"))=0,"",($C$60)/(SUMIFS(tblVerifyOrders[Standard cost],tblVerifyOrders[View date],"&gt;0")))</f>
        <v>0.017578125</v>
      </c>
      <c r="E60" s="50" t="str">
        <f>IF($C$60&gt;0,"Unfavourable",IF($C$60&lt;0,"Favourable","-"))</f>
        <v>Unfavourable</v>
      </c>
      <c r="F60" s="50"/>
    </row>
    <row r="61" spans="2:30">
      <c r="B61" s="63" t="s">
        <v>209</v>
      </c>
      <c r="C61" s="47">
        <f>CHOOSE(3,SUMIFS(tblVerifyOrders[Material price var.],tblVerifyOrders[View date],"&gt;0"),SUMIFS(tblVerifyOrders[Material usage var.],tblVerifyOrders[View date],"&gt;0"),SUMIFS(tblVerifyOrders[Labour rate var.],tblVerifyOrders[View date],"&gt;0"),SUMIFS(tblVerifyOrders[Labour efficiency var.],tblVerifyOrders[View date],"&gt;0"),SUMIFS(tblVerifyOrders[Overhead var.],tblVerifyOrders[View date],"&gt;0"))</f>
        <v>146</v>
      </c>
      <c r="D61" s="49">
        <f>IF((SUMIFS(tblVerifyOrders[Standard cost],tblVerifyOrders[View date],"&gt;0"))=0,"",($C$61)/(SUMIFS(tblVerifyOrders[Standard cost],tblVerifyOrders[View date],"&gt;0")))</f>
        <v>0.01140625</v>
      </c>
      <c r="E61" s="50" t="str">
        <f>IF($C$61&gt;0,"Unfavourable",IF($C$61&lt;0,"Favourable","-"))</f>
        <v>Unfavourable</v>
      </c>
      <c r="F61" s="50"/>
    </row>
    <row r="62" spans="2:30">
      <c r="B62" s="63" t="s">
        <v>210</v>
      </c>
      <c r="C62" s="47">
        <f>CHOOSE(4,SUMIFS(tblVerifyOrders[Material price var.],tblVerifyOrders[View date],"&gt;0"),SUMIFS(tblVerifyOrders[Material usage var.],tblVerifyOrders[View date],"&gt;0"),SUMIFS(tblVerifyOrders[Labour rate var.],tblVerifyOrders[View date],"&gt;0"),SUMIFS(tblVerifyOrders[Labour efficiency var.],tblVerifyOrders[View date],"&gt;0"),SUMIFS(tblVerifyOrders[Overhead var.],tblVerifyOrders[View date],"&gt;0"))</f>
        <v>220</v>
      </c>
      <c r="D62" s="49">
        <f>IF((SUMIFS(tblVerifyOrders[Standard cost],tblVerifyOrders[View date],"&gt;0"))=0,"",($C$62)/(SUMIFS(tblVerifyOrders[Standard cost],tblVerifyOrders[View date],"&gt;0")))</f>
        <v>0.0171875</v>
      </c>
      <c r="E62" s="50" t="str">
        <f>IF($C$62&gt;0,"Unfavourable",IF($C$62&lt;0,"Favourable","-"))</f>
        <v>Unfavourable</v>
      </c>
      <c r="F62" s="50"/>
    </row>
    <row r="63" spans="2:30">
      <c r="B63" s="63" t="s">
        <v>211</v>
      </c>
      <c r="C63" s="47">
        <f>CHOOSE(5,SUMIFS(tblVerifyOrders[Material price var.],tblVerifyOrders[View date],"&gt;0"),SUMIFS(tblVerifyOrders[Material usage var.],tblVerifyOrders[View date],"&gt;0"),SUMIFS(tblVerifyOrders[Labour rate var.],tblVerifyOrders[View date],"&gt;0"),SUMIFS(tblVerifyOrders[Labour efficiency var.],tblVerifyOrders[View date],"&gt;0"),SUMIFS(tblVerifyOrders[Overhead var.],tblVerifyOrders[View date],"&gt;0"))</f>
        <v>150</v>
      </c>
      <c r="D63" s="49">
        <f>IF((SUMIFS(tblVerifyOrders[Standard cost],tblVerifyOrders[View date],"&gt;0"))=0,"",($C$63)/(SUMIFS(tblVerifyOrders[Standard cost],tblVerifyOrders[View date],"&gt;0")))</f>
        <v>0.01171875</v>
      </c>
      <c r="E63" s="50" t="str">
        <f>IF($C$63&gt;0,"Unfavourable",IF($C$63&lt;0,"Favourable","-"))</f>
        <v>Unfavourable</v>
      </c>
      <c r="F63" s="50"/>
    </row>
  </sheetData>
  <sheetProtection sheet="1" formatColumns="0" formatRows="0"/>
  <mergeCells count="52">
    <mergeCell ref="A1:AD1"/>
    <mergeCell ref="B2:AC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E44:F44"/>
    <mergeCell ref="B45:D45"/>
    <mergeCell ref="B46:D46"/>
    <mergeCell ref="B48:L48"/>
    <mergeCell ref="B56:L56"/>
    <mergeCell ref="E57:F57"/>
    <mergeCell ref="E58:F58"/>
    <mergeCell ref="E59:F59"/>
    <mergeCell ref="E60:F60"/>
    <mergeCell ref="E61:F61"/>
    <mergeCell ref="E62:F62"/>
    <mergeCell ref="E63:F63"/>
  </mergeCells>
  <conditionalFormatting sqref="AB51:AB54">
    <cfRule type="expression" dxfId="3" priority="41">
      <formula>$AB51="OK"</formula>
    </cfRule>
    <cfRule type="expression" dxfId="1" priority="42">
      <formula>AND($AB51&lt;&gt;"",$AB51&lt;&gt;"OK")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D2" r:id="rId1" tooltip="Free manufacturing calculators and templates"/>
  </hyperlinks>
  <printOptions horizontalCentered="1"/>
  <pageMargins left="0.4" right="0.4" top="0.7" bottom="0.65" header="0.3" footer="0.3"/>
  <pageSetup fitToHeight="0" orientation="landscape"/>
  <headerFooter>
    <oddHeader>&amp;L&amp;8MFG Calcs - Standard Cost Variance&amp;R&amp;8&amp;A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Start Here</vt:lpstr>
      <vt:lpstr>Setup</vt:lpstr>
      <vt:lpstr>Orders</vt:lpstr>
      <vt:lpstr>Dashboard</vt:lpstr>
      <vt:lpstr>Method</vt:lpstr>
      <vt:lpstr>Verify</vt:lpstr>
      <vt:lpstr>AmtLimit</vt:lpstr>
      <vt:lpstr>CoName</vt:lpstr>
      <vt:lpstr>Currency</vt:lpstr>
      <vt:lpstr>DashFrom</vt:lpstr>
      <vt:lpstr>DashProduct</vt:lpstr>
      <vt:lpstr>DashTo</vt:lpstr>
      <vt:lpstr>KpiNet</vt:lpstr>
      <vt:lpstr>KpiOut</vt:lpstr>
      <vt:lpstr>KpiPct</vt:lpstr>
      <vt:lpstr>KpiTop</vt:lpstr>
      <vt:lpstr>PctLimit</vt:lpstr>
      <vt:lpstr>Dashboard!Print_Area</vt:lpstr>
      <vt:lpstr>Method!Print_Area</vt:lpstr>
      <vt:lpstr>Orders!Print_Area</vt:lpstr>
      <vt:lpstr>Setup!Print_Area</vt:lpstr>
      <vt:lpstr>'Start Here'!Print_Area</vt:lpstr>
      <vt:lpstr>Verify!Print_Area</vt:lpstr>
      <vt:lpstr>Method!Print_Titles</vt:lpstr>
      <vt:lpstr>Orders!Print_Titles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 Cost Variance - free Excel template from MFG Calcs</dc:title>
  <dc:subject>Compare every closed production order with its standard cost and split the difference into material price and usage, labour rate and efficiency, and overhead variances.</dc:subject>
  <dc:creator>MFG Calcs</dc:creator>
  <cp:keywords>standard cost variance, material price variance, material usage variance, labour rate variance, labour efficiency variance, overhead variance, month-end close, cost accounting</cp:keywords>
  <dc:description>https://www.mfgcalcs.com/templates/standard-cost-variance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standard-cost-variance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https://www.mfgcalcs.com/templates/standard-cost-variance</vt:lpwstr>
  </property>
  <property fmtid="{D5CDD505-2E9C-101B-9397-08002B2CF9AE}" pid="7" name="Template sheet roles">
    <vt:lpwstr>Start Here=start;Setup=setup;Orders=work;Dashboard=dashboard;Method=method;Verify=verify</vt:lpwstr>
  </property>
</Properties>
</file>