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Receiving Log" sheetId="3" r:id="rId3"/>
    <sheet name="Dashboard" sheetId="4" r:id="rId4"/>
    <sheet name="Method" sheetId="5" r:id="rId5"/>
    <sheet name="Verify" sheetId="6" r:id="rId6"/>
  </sheets>
  <definedNames>
    <definedName name="DashFrom">Dashboard!$G$4</definedName>
    <definedName name="DashSupplier">Dashboard!$C$4</definedName>
    <definedName name="DashTo">Dashboard!$K$4</definedName>
    <definedName name="DispositionList">tblDispositions[Disposition]</definedName>
    <definedName name="FFrom">IF(DashFrom="",0,DashFrom)</definedName>
    <definedName name="FTo">IF(DashTo="",2958465,DashTo)</definedName>
    <definedName name="KpiAccepted">Dashboard!$G$8</definedName>
    <definedName name="KpiLots">Dashboard!$D$30</definedName>
    <definedName name="KpiOver">Dashboard!$J$8</definedName>
    <definedName name="KpiPPM">Dashboard!$B$8</definedName>
    <definedName name="KpiRate">Dashboard!$G$30</definedName>
    <definedName name="KpiReceived">Dashboard!$B$30</definedName>
    <definedName name="KpiRejected">Dashboard!$D$8</definedName>
    <definedName name="KpiTop">Dashboard!$J$30</definedName>
    <definedName name="PlantName">Setup!$C$6</definedName>
    <definedName name="_xlnm.Print_Area" localSheetId="3">Dashboard!$A$1:$L$104</definedName>
    <definedName name="_xlnm.Print_Area" localSheetId="4">Method!$A$1:$D$55</definedName>
    <definedName name="_xlnm.Print_Area" localSheetId="2">'Receiving Log'!$A$1:$R$120</definedName>
    <definedName name="_xlnm.Print_Area" localSheetId="1">Setup!$A$1:$E$41</definedName>
    <definedName name="_xlnm.Print_Area" localSheetId="0">'Start Here'!$A$1:$F$56</definedName>
    <definedName name="_xlnm.Print_Area" localSheetId="5">Verify!$A$1:$R$54</definedName>
    <definedName name="_xlnm.Print_Titles" localSheetId="4">Method!$1:$2</definedName>
    <definedName name="_xlnm.Print_Titles" localSheetId="2">'Receiving Log'!$1:$6</definedName>
    <definedName name="ReasonList">tblReasons[Reason]</definedName>
    <definedName name="SelfCheck">Verify!$D$4</definedName>
    <definedName name="SelfCheckSummary">Verify!$F$4</definedName>
    <definedName name="Suppliers">tblSuppliers[Supplier]</definedName>
    <definedName name="TargetPPM">Setup!$C$7</definedName>
  </definedNames>
  <calcPr calcId="124519" fullCalcOnLoad="1"/>
</workbook>
</file>

<file path=xl/sharedStrings.xml><?xml version="1.0" encoding="utf-8"?>
<sst xmlns="http://schemas.openxmlformats.org/spreadsheetml/2006/main" count="1255" uniqueCount="429">
  <si>
    <t>Supplier Quality PPM</t>
  </si>
  <si>
    <t>Read this first: what the workbook does and how to use it.</t>
  </si>
  <si>
    <t>mfgcalcs.com</t>
  </si>
  <si>
    <t>Log incoming lots with parts received and rejected, and score every supplier's PPM against its agreed limit by month, with reject reasons.</t>
  </si>
  <si>
    <t>For: Supplier quality engineers, receiving inspection leads, purchasing and buyers who run supplier reviews and corrective action requests.</t>
  </si>
  <si>
    <t>Version 1.0.0  ·  updated 15 October 2026</t>
  </si>
  <si>
    <t>Quick start</t>
  </si>
  <si>
    <t>1.</t>
  </si>
  <si>
    <t>On Setup, type your plant name and plant-wide incoming PPM target, then replace the example suppliers (each with the PPM limit from its quality agreement) and reject reasons.</t>
  </si>
  <si>
    <t>2.</t>
  </si>
  <si>
    <t>On Receiving Log, add one row per lot: date, receipt ID, supplier, part number, parts received and rejected.</t>
  </si>
  <si>
    <t>3.</t>
  </si>
  <si>
    <t>For a lot with rejects, pick the main reject reason and the disposition, and note the SCAR or RMA number.</t>
  </si>
  <si>
    <t>4.</t>
  </si>
  <si>
    <t>Read the Check column: anything other than OK names the problem in words.</t>
  </si>
  <si>
    <t>5.</t>
  </si>
  <si>
    <t>Open the Dashboard. Pick a supplier or a date range at the top for a supplier review.</t>
  </si>
  <si>
    <t>What is in this workbook</t>
  </si>
  <si>
    <t>Start Here</t>
  </si>
  <si>
    <t>Setup</t>
  </si>
  <si>
    <t>Your plant, the plant-wide PPM target, suppliers with their agreed limits, reject reasons and dispositions.</t>
  </si>
  <si>
    <t>Receiving Log</t>
  </si>
  <si>
    <t>One row per received lot: parts received and rejected, the reason, disposition and SCAR or RMA reference.</t>
  </si>
  <si>
    <t>Dashboard</t>
  </si>
  <si>
    <t>Incoming PPM and the supplier scorecard against each agreed limit, for the supplier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</si>
  <si>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</si>
  <si>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</si>
  <si>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</si>
  <si>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</si>
  <si>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</si>
  <si>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</si>
  <si>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</si>
  <si>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</si>
  <si>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</si>
  <si>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</si>
  <si>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</si>
  <si>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</si>
  <si>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</si>
  <si>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</si>
  <si>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</si>
  <si>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</si>
  <si>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</si>
  <si>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</si>
  <si>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</si>
  <si>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</si>
  <si>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Supplier Quality PPM Calculator on mfgcalcs.com</t>
  </si>
  <si>
    <t>Latest version</t>
  </si>
  <si>
    <t>mfgcalcs.com/templates/supplier-quality-ppm</t>
  </si>
  <si>
    <t>More free templates</t>
  </si>
  <si>
    <t>mfgcalcs.com/templates</t>
  </si>
  <si>
    <t>Version</t>
  </si>
  <si>
    <t>1.0.0 (updated 15 October 2026)</t>
  </si>
  <si>
    <t>About the example data</t>
  </si>
  <si>
    <t>Every number already in this workbook is example data for Halden Pump Works, a fictional business invented for this template, so the dashboard and charts show something meaningful on day one. It covers six suppliers over 25 weeks of receipts (6 April to 25 September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</si>
  <si>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</si>
  <si>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</si>
  <si>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</si>
  <si>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</si>
  <si>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</si>
  <si>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</si>
  <si>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</si>
  <si>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</si>
  <si>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Supplier</t>
  </si>
  <si>
    <t>Commodity</t>
  </si>
  <si>
    <t>PPM limit</t>
  </si>
  <si>
    <t>Reason</t>
  </si>
  <si>
    <t>Description</t>
  </si>
  <si>
    <t>Disposition</t>
  </si>
  <si>
    <t>Meaning</t>
  </si>
  <si>
    <t>Plant and target</t>
  </si>
  <si>
    <t>Plant or company name</t>
  </si>
  <si>
    <t>Halden Pump Works (example)</t>
  </si>
  <si>
    <t>Plant PPM target (at most)</t>
  </si>
  <si>
    <t>PPM</t>
  </si>
  <si>
    <t>Targets and limits are yours (or your quality agreements'); nothing in this workbook assumes an industry benchmark. 'Near target' means up to 5% above a limit (1,500 to 1,575 PPM against a 1,500 PPM limit).</t>
  </si>
  <si>
    <t>Lists that feed the dropdowns</t>
  </si>
  <si>
    <t>Edit, add or remove rows; the Receiving Log dropdowns read these lists. Keep names unique, and rename with care: log rows that use an old name stop matching (their Check column says so). The PPM limit is the one agreed with the supplier (quality agreement, purchase terms or scorecard).</t>
  </si>
  <si>
    <t>Suppliers</t>
  </si>
  <si>
    <t>Brightwater Foundry</t>
  </si>
  <si>
    <t>Grey iron pump housings</t>
  </si>
  <si>
    <t>Kessler Precision</t>
  </si>
  <si>
    <t>Machined pump shafts</t>
  </si>
  <si>
    <t>Northgate Fasteners</t>
  </si>
  <si>
    <t>Bolts and studs</t>
  </si>
  <si>
    <t>Sealtek Elastomers</t>
  </si>
  <si>
    <t>O-rings and mechanical seals</t>
  </si>
  <si>
    <t>Ardent Motors</t>
  </si>
  <si>
    <t>7.5 kW electric motors</t>
  </si>
  <si>
    <t>Velo Controls</t>
  </si>
  <si>
    <t>Controller PCB assemblies</t>
  </si>
  <si>
    <t>Reject reasons</t>
  </si>
  <si>
    <t>Dimensional</t>
  </si>
  <si>
    <t>A dimension or position out of drawing tolerance</t>
  </si>
  <si>
    <t>Material defect</t>
  </si>
  <si>
    <t>Porosity, inclusion, crack, wrong material or hardness</t>
  </si>
  <si>
    <t>Surface or cosmetic</t>
  </si>
  <si>
    <t>Scratch, dent, flash, corrosion, finish not to spec</t>
  </si>
  <si>
    <t>Wrong or mixed part</t>
  </si>
  <si>
    <t>Wrong part number, or other parts mixed into the lot</t>
  </si>
  <si>
    <t>Functional failure</t>
  </si>
  <si>
    <t>Fails a functional, electrical or leak test</t>
  </si>
  <si>
    <t>Damaged in transit</t>
  </si>
  <si>
    <t>Damage from packing or shipping</t>
  </si>
  <si>
    <t>Documents or certs</t>
  </si>
  <si>
    <t>Certificate, label or report missing or wrong</t>
  </si>
  <si>
    <t>Other</t>
  </si>
  <si>
    <t>Anything else; say what in the Notes</t>
  </si>
  <si>
    <t>Dispositions</t>
  </si>
  <si>
    <t>Return to supplier</t>
  </si>
  <si>
    <t>Rejected parts go back under an RMA</t>
  </si>
  <si>
    <t>Sort at supplier cost</t>
  </si>
  <si>
    <t>Lot sorted by you or a third party; cost charged back</t>
  </si>
  <si>
    <t>Rework in house</t>
  </si>
  <si>
    <t>Your plant reworks the parts; the cost is charged back</t>
  </si>
  <si>
    <t>Use as is (deviation)</t>
  </si>
  <si>
    <t>Accepted under written deviation; still counts as rejected</t>
  </si>
  <si>
    <t>Scrap</t>
  </si>
  <si>
    <t>Scrapped at your plant; the cost is charged back</t>
  </si>
  <si>
    <t>Date</t>
  </si>
  <si>
    <t>Receipt ID</t>
  </si>
  <si>
    <t>Part number</t>
  </si>
  <si>
    <t>Received</t>
  </si>
  <si>
    <t>Rejected</t>
  </si>
  <si>
    <t>Reject reason</t>
  </si>
  <si>
    <t>SCAR or RMA no.</t>
  </si>
  <si>
    <t>Reject rate</t>
  </si>
  <si>
    <t>Excess over limit</t>
  </si>
  <si>
    <t>PPM vs limit</t>
  </si>
  <si>
    <t>View date</t>
  </si>
  <si>
    <t>Check</t>
  </si>
  <si>
    <t>Notes</t>
  </si>
  <si>
    <t>Example data for Halden Pump Works (fictional). Replace it with your own: select the example rows, right-click, Delete &gt; Table Rows. Yellow = you type; blue = calculated; Check names any problem.</t>
  </si>
  <si>
    <t>parts</t>
  </si>
  <si>
    <t>GR-NGF-0406</t>
  </si>
  <si>
    <t>M12x40 bolt</t>
  </si>
  <si>
    <t>RMA-26-001</t>
  </si>
  <si>
    <t/>
  </si>
  <si>
    <t>GR-BWF-0407</t>
  </si>
  <si>
    <t>PH-200</t>
  </si>
  <si>
    <t>GR-KSP-0408</t>
  </si>
  <si>
    <t>SH-25</t>
  </si>
  <si>
    <t>GR-VLC-0408</t>
  </si>
  <si>
    <t>VC-3</t>
  </si>
  <si>
    <t>GR-STE-0409</t>
  </si>
  <si>
    <t>OR-58</t>
  </si>
  <si>
    <t>GR-ARD-0410</t>
  </si>
  <si>
    <t>MTR-7.5</t>
  </si>
  <si>
    <t>GR-BWF-0414</t>
  </si>
  <si>
    <t>PH-350</t>
  </si>
  <si>
    <t>GR-KSP-0415</t>
  </si>
  <si>
    <t>SH-32</t>
  </si>
  <si>
    <t>GR-ARD-0417</t>
  </si>
  <si>
    <t>GR-NGF-0420</t>
  </si>
  <si>
    <t>M10 stud</t>
  </si>
  <si>
    <t>RMA-26-002</t>
  </si>
  <si>
    <t>GR-BWF-0421</t>
  </si>
  <si>
    <t>GR-KSP-0422</t>
  </si>
  <si>
    <t>GR-VLC-0422</t>
  </si>
  <si>
    <t>GR-STE-0423</t>
  </si>
  <si>
    <t>MS-25</t>
  </si>
  <si>
    <t>RMA-26-003</t>
  </si>
  <si>
    <t>GR-ARD-0424</t>
  </si>
  <si>
    <t>RMA-26-004</t>
  </si>
  <si>
    <t>GR-BWF-0428</t>
  </si>
  <si>
    <t>GR-KSP-0429</t>
  </si>
  <si>
    <t>GR-ARD-0501</t>
  </si>
  <si>
    <t>GR-NGF-0504</t>
  </si>
  <si>
    <t>GR-BWF-0505</t>
  </si>
  <si>
    <t>RMA-26-005</t>
  </si>
  <si>
    <t>GR-KSP-0506</t>
  </si>
  <si>
    <t>GR-VLC-0506</t>
  </si>
  <si>
    <t>GR-STE-0507</t>
  </si>
  <si>
    <t>GR-ARD-0508</t>
  </si>
  <si>
    <t>GR-BWF-0512</t>
  </si>
  <si>
    <t>RMA-26-006</t>
  </si>
  <si>
    <t>GR-KSP-0513</t>
  </si>
  <si>
    <t>GR-ARD-0515</t>
  </si>
  <si>
    <t>GR-NGF-0518</t>
  </si>
  <si>
    <t>GR-BWF-0519</t>
  </si>
  <si>
    <t>GR-KSP-0520</t>
  </si>
  <si>
    <t>GR-VLC-0520</t>
  </si>
  <si>
    <t>GR-STE-0521</t>
  </si>
  <si>
    <t>GR-ARD-0522</t>
  </si>
  <si>
    <t>GR-BWF-0526</t>
  </si>
  <si>
    <t>GR-KSP-0527</t>
  </si>
  <si>
    <t>GR-ARD-0529</t>
  </si>
  <si>
    <t>GR-NGF-0601</t>
  </si>
  <si>
    <t>GR-BWF-0602</t>
  </si>
  <si>
    <t>RMA-26-007</t>
  </si>
  <si>
    <t>GR-KSP-0603</t>
  </si>
  <si>
    <t>GR-VLC-0603</t>
  </si>
  <si>
    <t>GR-STE-0604</t>
  </si>
  <si>
    <t>RMA-26-008</t>
  </si>
  <si>
    <t>GR-ARD-0605</t>
  </si>
  <si>
    <t>GR-BWF-0609</t>
  </si>
  <si>
    <t>RMA-26-009</t>
  </si>
  <si>
    <t>GR-KSP-0610</t>
  </si>
  <si>
    <t>GR-ARD-0612</t>
  </si>
  <si>
    <t>RMA-26-010</t>
  </si>
  <si>
    <t>GR-NGF-0615</t>
  </si>
  <si>
    <t>RMA-26-011</t>
  </si>
  <si>
    <t>GR-BWF-0616</t>
  </si>
  <si>
    <t>RMA-26-012</t>
  </si>
  <si>
    <t>GR-KSP-0617</t>
  </si>
  <si>
    <t>GR-VLC-0617</t>
  </si>
  <si>
    <t>GR-STE-0618</t>
  </si>
  <si>
    <t>RMA-26-013</t>
  </si>
  <si>
    <t>GR-ARD-0619</t>
  </si>
  <si>
    <t>GR-BWF-0623</t>
  </si>
  <si>
    <t>SCAR-26-014 / RMA-26-014</t>
  </si>
  <si>
    <t>SCAR-26-014 issued: porosity in the bore boss</t>
  </si>
  <si>
    <t>GR-KSP-0624</t>
  </si>
  <si>
    <t>GR-ARD-0626</t>
  </si>
  <si>
    <t>GR-NGF-0629</t>
  </si>
  <si>
    <t>RMA-26-015</t>
  </si>
  <si>
    <t>GR-BWF-0630</t>
  </si>
  <si>
    <t>SCAR-26-014 / RMA-26-016</t>
  </si>
  <si>
    <t>GR-KSP-0701</t>
  </si>
  <si>
    <t>GR-VLC-0701</t>
  </si>
  <si>
    <t>GR-STE-0702</t>
  </si>
  <si>
    <t>RMA-26-017</t>
  </si>
  <si>
    <t>GR-ARD-0703</t>
  </si>
  <si>
    <t>GR-BWF-0707</t>
  </si>
  <si>
    <t>SCAR-26-014 / RMA-26-018</t>
  </si>
  <si>
    <t>GR-KSP-0708</t>
  </si>
  <si>
    <t>GR-ARD-0710</t>
  </si>
  <si>
    <t>GR-NGF-0713</t>
  </si>
  <si>
    <t>GR-BWF-0714</t>
  </si>
  <si>
    <t>SCAR-26-014 / RMA-26-019</t>
  </si>
  <si>
    <t>GR-KSP-0715</t>
  </si>
  <si>
    <t>GR-VLC-0715</t>
  </si>
  <si>
    <t>GR-STE-0716</t>
  </si>
  <si>
    <t>RMA-26-020</t>
  </si>
  <si>
    <t>GR-ARD-0717</t>
  </si>
  <si>
    <t>GR-BWF-0721</t>
  </si>
  <si>
    <t>First lot after the foundry's gating change; SCAR-26-014 closed after 3 clean lots</t>
  </si>
  <si>
    <t>GR-KSP-0722</t>
  </si>
  <si>
    <t>GR-ARD-0724</t>
  </si>
  <si>
    <t>GR-NGF-0727</t>
  </si>
  <si>
    <t>RMA-26-021</t>
  </si>
  <si>
    <t>GR-BWF-0728</t>
  </si>
  <si>
    <t>GR-KSP-0729</t>
  </si>
  <si>
    <t>GR-VLC-0729</t>
  </si>
  <si>
    <t>GR-STE-0730</t>
  </si>
  <si>
    <t>GR-ARD-0731</t>
  </si>
  <si>
    <t>GR-BWF-0804</t>
  </si>
  <si>
    <t>GR-KSP-0805</t>
  </si>
  <si>
    <t>GR-ARD-0807</t>
  </si>
  <si>
    <t>GR-NGF-0810</t>
  </si>
  <si>
    <t>RMA-26-022</t>
  </si>
  <si>
    <t>M10 studs mixed into the lot; 100% sorted, sort cost charged back</t>
  </si>
  <si>
    <t>GR-BWF-0811</t>
  </si>
  <si>
    <t>GR-KSP-0812</t>
  </si>
  <si>
    <t>GR-VLC-0812</t>
  </si>
  <si>
    <t>GR-STE-0813</t>
  </si>
  <si>
    <t>GR-ARD-0814</t>
  </si>
  <si>
    <t>GR-BWF-0818</t>
  </si>
  <si>
    <t>GR-KSP-0819</t>
  </si>
  <si>
    <t>GR-ARD-0821</t>
  </si>
  <si>
    <t>GR-NGF-0824</t>
  </si>
  <si>
    <t>RMA-26-023</t>
  </si>
  <si>
    <t>GR-BWF-0825</t>
  </si>
  <si>
    <t>GR-KSP-0826</t>
  </si>
  <si>
    <t>GR-VLC-0826</t>
  </si>
  <si>
    <t>GR-STE-0827</t>
  </si>
  <si>
    <t>GR-ARD-0828</t>
  </si>
  <si>
    <t>GR-BWF-0901</t>
  </si>
  <si>
    <t>GR-KSP-0902</t>
  </si>
  <si>
    <t>GR-ARD-0904</t>
  </si>
  <si>
    <t>GR-NGF-0907</t>
  </si>
  <si>
    <t>GR-BWF-0908</t>
  </si>
  <si>
    <t>GR-KSP-0909</t>
  </si>
  <si>
    <t>GR-VLC-0909</t>
  </si>
  <si>
    <t>GR-STE-0910</t>
  </si>
  <si>
    <t>GR-ARD-0911</t>
  </si>
  <si>
    <t>GR-BWF-0915</t>
  </si>
  <si>
    <t>GR-KSP-0916</t>
  </si>
  <si>
    <t>GR-ARD-0918</t>
  </si>
  <si>
    <t>GR-NGF-0921</t>
  </si>
  <si>
    <t>RMA-26-024</t>
  </si>
  <si>
    <t>GR-BWF-0922</t>
  </si>
  <si>
    <t>RMA-26-025</t>
  </si>
  <si>
    <t>GR-KSP-0923</t>
  </si>
  <si>
    <t>GR-VLC-0923</t>
  </si>
  <si>
    <t>RMA-26-026</t>
  </si>
  <si>
    <t>GR-STE-0924</t>
  </si>
  <si>
    <t>RMA-26-027</t>
  </si>
  <si>
    <t>GR-ARD-0925</t>
  </si>
  <si>
    <t>From</t>
  </si>
  <si>
    <t>To</t>
  </si>
  <si>
    <t>INCOMING PPM, ALL SUPPLIERS IN VIEW</t>
  </si>
  <si>
    <t>PARTS REJECTED</t>
  </si>
  <si>
    <t>LOTS ACCEPTED WITH NO REJECTS</t>
  </si>
  <si>
    <t>SUPPLIERS ABOVE THEIR LIMIT</t>
  </si>
  <si>
    <t>Nonconforming parts in the lots in view</t>
  </si>
  <si>
    <t>Clean lots / lots received</t>
  </si>
  <si>
    <t>PARTS RECEIVED</t>
  </si>
  <si>
    <t>LOTS RECEIVED</t>
  </si>
  <si>
    <t>REJECT RATE</t>
  </si>
  <si>
    <t>TOP REJECT REASON</t>
  </si>
  <si>
    <t>Receiving Log rows in view</t>
  </si>
  <si>
    <t>One row per lot</t>
  </si>
  <si>
    <t>Rejected / received (PPM / 10,000)</t>
  </si>
  <si>
    <t>Ranked by rejected parts</t>
  </si>
  <si>
    <t>Supplier scorecard (dates in view)</t>
  </si>
  <si>
    <t>Agreed limit</t>
  </si>
  <si>
    <t>Rejects allowed</t>
  </si>
  <si>
    <t>PPM, last 3 months</t>
  </si>
  <si>
    <t>Lots accepted</t>
  </si>
  <si>
    <t>Status</t>
  </si>
  <si>
    <t>% of limit</t>
  </si>
  <si>
    <t>parts at limit</t>
  </si>
  <si>
    <t>% no rejects</t>
  </si>
  <si>
    <t>Monthly summary, all suppliers in view (last 6 months)</t>
  </si>
  <si>
    <t>Month</t>
  </si>
  <si>
    <t>Lots</t>
  </si>
  <si>
    <t>Incoming PPM</t>
  </si>
  <si>
    <t>PPM target</t>
  </si>
  <si>
    <t>Monthly change</t>
  </si>
  <si>
    <t>lots</t>
  </si>
  <si>
    <t>%</t>
  </si>
  <si>
    <t>PPM by supplier and month (rejected / received x 1,000,000)</t>
  </si>
  <si>
    <t>Rejected parts by supplier and month</t>
  </si>
  <si>
    <t>Total</t>
  </si>
  <si>
    <t>Rejected parts by reason (Pareto)</t>
  </si>
  <si>
    <t>Rank</t>
  </si>
  <si>
    <t>Rejected parts</t>
  </si>
  <si>
    <t>Share</t>
  </si>
  <si>
    <t>Cumulative</t>
  </si>
  <si>
    <t>Helper: Reject reason (list order)</t>
  </si>
  <si>
    <t>Helper: value (-1 = unused slot)</t>
  </si>
  <si>
    <t>Helper: rank, ties by list order</t>
  </si>
  <si>
    <t>The Dashboard shows the 6 suppliers and 8 reject reasons of the Setup lists. If you add more, extend the scorecard, matrix and Pareto blocks (see Method) or they will not appear here.</t>
  </si>
  <si>
    <t>What this workbook calculates</t>
  </si>
  <si>
    <t>Supplier PPM counts rejected (nonconforming) parts per million parts received. Each supplier is graded against the limit agreed with it; all suppliers together against the plant target. Every period and supplier figure is formed from summed parts, never by averaging lot PPMs, so a big clean lot properly offsets a small bad one.</t>
  </si>
  <si>
    <t>Calculations</t>
  </si>
  <si>
    <t>Quantity</t>
  </si>
  <si>
    <t>How it is calculated</t>
  </si>
  <si>
    <t>Units</t>
  </si>
  <si>
    <t>Reject rate and PPM (one lot)</t>
  </si>
  <si>
    <t>Rejected parts / parts received, as a percentage; PPM = the same ratio x 1,000,000.</t>
  </si>
  <si>
    <t>%, PPM</t>
  </si>
  <si>
    <t>The supplier's agreed limit, looked up from the Suppliers list on Setup.</t>
  </si>
  <si>
    <t>PPM - agreed limit; negative means under the limit.</t>
  </si>
  <si>
    <t>Status (lot, month, supplier)</t>
  </si>
  <si>
    <t>On target at or below the limit or target; Near target up to 5% above; Above target beyond.</t>
  </si>
  <si>
    <t>-</t>
  </si>
  <si>
    <t>Incoming PPM (period)</t>
  </si>
  <si>
    <t>Sum of rejected / sum of received x 1,000,000 over the lots in view. Reject rate = the same ratio as a percentage.</t>
  </si>
  <si>
    <t>PPM, %</t>
  </si>
  <si>
    <t>Supplier PPM / agreed limit; 100% is exactly at the limit.</t>
  </si>
  <si>
    <t>INT(parts received x agreed limit / 1,000,000): the most rejects the limit allows for that volume.</t>
  </si>
  <si>
    <t>Supplier PPM from the first day of the month two months before the latest receipt in view.</t>
  </si>
  <si>
    <t>Lots with 0 rejected parts / lots received.</t>
  </si>
  <si>
    <t>% of lots</t>
  </si>
  <si>
    <t>Pareto and matrices</t>
  </si>
  <si>
    <t>Rejected parts by main reason (ranked; ties keep list order; hidden helper columns AO:AQ), and PPM and rejected parts per supplier and month.</t>
  </si>
  <si>
    <t>parts, PPM</t>
  </si>
  <si>
    <t>Assumptions</t>
  </si>
  <si>
    <t>Received is the whole lot. If you inspect a sample and accept the rest, Rejected still counts every nonconforming part found, including any found later in production that you trace back to the lot.</t>
  </si>
  <si>
    <t>A lot with rejects of several kinds is logged under its main reason, so the Pareto shows main reasons, not every defect.</t>
  </si>
  <si>
    <t>Parts used under a deviation still count as rejected: they did not conform when received.</t>
  </si>
  <si>
    <t>Limitations</t>
  </si>
  <si>
    <t>PPM from small volumes moves a lot: one reject in 1,000 parts is 1,000 PPM. Read suppliers with few parts over several months.</t>
  </si>
  <si>
    <t>Sampling plans for receiving inspection (ISO 2859-1, ANSI/ASQ Z1.4) are not reproduced here; use the published standard.</t>
  </si>
  <si>
    <t>The Dashboard has fixed blocks for 6 suppliers, 8 reject reasons and 6 months; longer lists need the blocks extended (a warning appears on the Dashboard).</t>
  </si>
  <si>
    <t>Agreement with the live calculator</t>
  </si>
  <si>
    <t>The live Supplier Quality PPM calculator takes nonconforming parts, parts received and the agreed PPM limit and gives PPM, the observed rate in %, the excess over the limit and the rejects allowed at the limit (rounded down). This workbook uses the same formulas per lot and per supplier over any period, and adds the scorecard, trend and reasons. The reference implementation is checked against the calculator's engine for its default example (60 of 150,000 at a 500 PPM limit: 400 PPM, -100 PPM excess, 75 rejects allowed) on every build.</t>
  </si>
  <si>
    <t>Open the Supplier Quality PPM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</si>
  <si>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</si>
  <si>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</si>
  <si>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ASQ Quality Glossary: nonconformity and parts per million, by definition.</t>
  </si>
  <si>
    <t>AIAG and VDA supplier quality requirements (customer-specific) set PPM limits in quality agreements; this workbook takes the limit you agreed, not a published figure.</t>
  </si>
  <si>
    <t>MFG Calcs Supplier Quality PPM calculator (supplier-quality-ppm).</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</si>
  <si>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</si>
  <si>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</si>
  <si>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</si>
  <si>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</si>
  <si>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</si>
  <si>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</si>
  <si>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</si>
  <si>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</si>
  <si>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</si>
  <si>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</si>
  <si>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</si>
  <si>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</si>
  <si>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</si>
  <si>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</si>
  <si>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</si>
  <si>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Lot 1 (calculator example): PPM (calculator: 400)</t>
  </si>
  <si>
    <t>Lot 1: excess over limit (calculator: -100)</t>
  </si>
  <si>
    <t>Lot 1: status against a 500 PPM limit</t>
  </si>
  <si>
    <t>On target</t>
  </si>
  <si>
    <t>exact</t>
  </si>
  <si>
    <t>Lot 2: PPM, one reject in 500 parts</t>
  </si>
  <si>
    <t>Lot 2: status, exactly at the 2,000 PPM limit</t>
  </si>
  <si>
    <t>Lot 3: zero rejects gives 0 PPM</t>
  </si>
  <si>
    <t>Lot 4: 3,000 PPM is above a 2,000 PPM limit</t>
  </si>
  <si>
    <t>Above target</t>
  </si>
  <si>
    <t>Lot 4: Check reports the missing reject reason</t>
  </si>
  <si>
    <t>Reject reason missing</t>
  </si>
  <si>
    <t>Lot 1: Check is OK</t>
  </si>
  <si>
    <t>OK</t>
  </si>
  <si>
    <t>All lots: incoming PPM (Dashboard formula)</t>
  </si>
  <si>
    <t>All lots: reject rate (Dashboard formula)</t>
  </si>
  <si>
    <t>All lots: lots accepted (Dashboard formula)</t>
  </si>
  <si>
    <t>Supplier A: PPM over both lots (scorecard formula)</t>
  </si>
  <si>
    <t>Supplier A: rejects allowed at the limit (calculator rule)</t>
  </si>
  <si>
    <t>Supplier A: PPM, last 3 months (Feb to Apr: lot 3 only)</t>
  </si>
  <si>
    <t>Supplier B: lots accepted (scorecard formula)</t>
  </si>
  <si>
    <t>Fixed test inputs</t>
  </si>
  <si>
    <t>White cells are fixed test inputs; blue cells are the workbook's formulas evaluated on them.</t>
  </si>
  <si>
    <t>Parameters</t>
  </si>
  <si>
    <t>Filter: from (0 = no limit)</t>
  </si>
  <si>
    <t>Filter: to (2958465 = no limit)</t>
  </si>
  <si>
    <t>Filter: supplier (blank = all)</t>
  </si>
  <si>
    <t>Plant PPM target</t>
  </si>
  <si>
    <t>Test suppliers</t>
  </si>
  <si>
    <t>Supplier A</t>
  </si>
  <si>
    <t>Test</t>
  </si>
  <si>
    <t>Supplier B</t>
  </si>
  <si>
    <t>Test reject reasons</t>
  </si>
  <si>
    <t>Test table: Receipts</t>
  </si>
  <si>
    <t>T-1</t>
  </si>
  <si>
    <t>P1</t>
  </si>
  <si>
    <t>T-2</t>
  </si>
  <si>
    <t>P2</t>
  </si>
  <si>
    <t>T-3</t>
  </si>
  <si>
    <t>T-4</t>
  </si>
</sst>
</file>

<file path=xl/styles.xml><?xml version="1.0" encoding="utf-8"?>
<styleSheet xmlns="http://schemas.openxmlformats.org/spreadsheetml/2006/main">
  <numFmts count="11">
    <numFmt numFmtId="164" formatCode="#,##0"/>
    <numFmt numFmtId="165" formatCode="d mmm yyyy"/>
    <numFmt numFmtId="166" formatCode="0.00%"/>
    <numFmt numFmtId="167" formatCode="+#,##0;-#,##0;0"/>
    <numFmt numFmtId="168" formatCode="0.0%"/>
    <numFmt numFmtId="169" formatCode="&quot;Target &quot;#,##0"/>
    <numFmt numFmtId="170" formatCode="&quot;Limit &quot;#,##0"/>
    <numFmt numFmtId="171" formatCode="0%"/>
    <numFmt numFmtId="172" formatCode="mmm yyyy"/>
    <numFmt numFmtId="173" formatCode="#,##0.00"/>
    <numFmt numFmtId="174" formatCode="0.0E+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
      <b/>
      <sz val="16"/>
      <color rgb="FF14386C"/>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3">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0" fontId="20" fillId="7" borderId="2" xfId="0" applyFont="1" applyFill="1" applyBorder="1" applyAlignment="1">
      <alignment vertical="center" wrapText="1"/>
    </xf>
    <xf numFmtId="165"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0" fontId="21" fillId="4" borderId="3" xfId="0" applyFont="1" applyFill="1" applyBorder="1" applyAlignment="1">
      <alignment vertical="center"/>
    </xf>
    <xf numFmtId="165"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6" fontId="4" fillId="9" borderId="7" xfId="0" applyNumberFormat="1" applyFont="1" applyFill="1" applyBorder="1" applyAlignment="1">
      <alignment horizontal="left" vertical="center"/>
    </xf>
    <xf numFmtId="0" fontId="24" fillId="9" borderId="7" xfId="0" applyFont="1" applyFill="1" applyBorder="1" applyAlignment="1">
      <alignment horizontal="left" vertical="center"/>
    </xf>
    <xf numFmtId="0" fontId="19" fillId="2" borderId="5" xfId="0" applyFont="1" applyFill="1" applyBorder="1" applyAlignment="1">
      <alignment horizontal="left" vertical="center" wrapText="1"/>
    </xf>
    <xf numFmtId="0" fontId="9" fillId="0" borderId="9" xfId="0" applyFont="1" applyBorder="1" applyAlignment="1">
      <alignment vertical="center"/>
    </xf>
    <xf numFmtId="164"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2" fontId="9" fillId="0" borderId="9" xfId="0" applyNumberFormat="1" applyFont="1" applyBorder="1" applyAlignment="1">
      <alignment vertical="center"/>
    </xf>
    <xf numFmtId="168" fontId="10" fillId="4" borderId="3" xfId="0" applyNumberFormat="1" applyFont="1" applyFill="1" applyBorder="1" applyAlignment="1">
      <alignment vertical="center"/>
    </xf>
    <xf numFmtId="172" fontId="19" fillId="2" borderId="5" xfId="0" applyNumberFormat="1" applyFont="1" applyFill="1" applyBorder="1" applyAlignment="1">
      <alignment horizontal="center" vertical="center" wrapText="1"/>
    </xf>
    <xf numFmtId="164" fontId="10" fillId="4" borderId="3" xfId="0" applyNumberFormat="1" applyFont="1" applyFill="1" applyBorder="1" applyAlignment="1">
      <alignment horizontal="center" vertical="center"/>
    </xf>
    <xf numFmtId="164" fontId="9" fillId="4" borderId="3" xfId="0" applyNumberFormat="1" applyFont="1" applyFill="1" applyBorder="1" applyAlignment="1">
      <alignment vertical="center"/>
    </xf>
    <xf numFmtId="0" fontId="9" fillId="4" borderId="10" xfId="0" applyFont="1" applyFill="1" applyBorder="1" applyAlignment="1">
      <alignment vertical="center"/>
    </xf>
    <xf numFmtId="164" fontId="9" fillId="4" borderId="10" xfId="0" applyNumberFormat="1" applyFont="1" applyFill="1" applyBorder="1" applyAlignment="1">
      <alignment vertical="center"/>
    </xf>
    <xf numFmtId="164" fontId="9" fillId="0" borderId="9" xfId="0" applyNumberFormat="1" applyFont="1" applyBorder="1" applyAlignment="1">
      <alignment horizontal="center" vertical="center"/>
    </xf>
    <xf numFmtId="0" fontId="10" fillId="4" borderId="3" xfId="0" applyFont="1" applyFill="1" applyBorder="1" applyAlignment="1">
      <alignment vertical="center"/>
    </xf>
    <xf numFmtId="164" fontId="10" fillId="0" borderId="0" xfId="0" applyNumberFormat="1" applyFont="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4" fontId="10" fillId="4" borderId="3" xfId="0" applyNumberFormat="1" applyFont="1" applyFill="1" applyBorder="1" applyAlignment="1">
      <alignment vertical="center"/>
    </xf>
    <xf numFmtId="174" fontId="10" fillId="0" borderId="9" xfId="0" applyNumberFormat="1" applyFont="1" applyBorder="1" applyAlignment="1">
      <alignment vertical="center"/>
    </xf>
    <xf numFmtId="167" fontId="10" fillId="0" borderId="9" xfId="0" applyNumberFormat="1" applyFont="1" applyBorder="1" applyAlignment="1">
      <alignment vertical="center"/>
    </xf>
    <xf numFmtId="166" fontId="10" fillId="0" borderId="9" xfId="0" applyNumberFormat="1" applyFont="1" applyBorder="1" applyAlignment="1">
      <alignment vertical="center"/>
    </xf>
    <xf numFmtId="168"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Incoming PPM by month</a:t>
            </a:r>
          </a:p>
        </c:rich>
      </c:tx>
      <c:layout/>
    </c:title>
    <c:plotArea>
      <c:layout/>
      <c:barChart>
        <c:barDir val="col"/>
        <c:grouping val="clustered"/>
        <c:ser>
          <c:idx val="0"/>
          <c:order val="0"/>
          <c:tx>
            <c:v>Incoming PPM</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numRef>
              <c:f>Dashboard!$B$64:$B$69</c:f>
              <c:numCache>
                <c:formatCode>General</c:formatCode>
                <c:ptCount val="6"/>
                <c:pt idx="0">
                  <c:v>46113</c:v>
                </c:pt>
                <c:pt idx="1">
                  <c:v>46143</c:v>
                </c:pt>
                <c:pt idx="2">
                  <c:v>46174</c:v>
                </c:pt>
                <c:pt idx="3">
                  <c:v>46204</c:v>
                </c:pt>
                <c:pt idx="4">
                  <c:v>46235</c:v>
                </c:pt>
                <c:pt idx="5">
                  <c:v>46266</c:v>
                </c:pt>
              </c:numCache>
            </c:numRef>
          </c:cat>
          <c:val>
            <c:numRef>
              <c:f>Dashboard!$H$64:$H$69</c:f>
              <c:numCache>
                <c:formatCode>General</c:formatCode>
                <c:ptCount val="6"/>
                <c:pt idx="0">
                  <c:v>123.411082315192</c:v>
                </c:pt>
                <c:pt idx="1">
                  <c:v>43.3576135969476</c:v>
                </c:pt>
                <c:pt idx="2">
                  <c:v>422.773393461105</c:v>
                </c:pt>
                <c:pt idx="3">
                  <c:v>255.213650284381</c:v>
                </c:pt>
                <c:pt idx="4">
                  <c:v>797.883509007685</c:v>
                </c:pt>
                <c:pt idx="5">
                  <c:v>159.184972938555</c:v>
                </c:pt>
              </c:numCache>
            </c:numRef>
          </c:val>
        </c:ser>
        <c:gapWidth val="60"/>
        <c:overlap val="-10"/>
        <c:axId val="50010001"/>
        <c:axId val="50010002"/>
      </c:barChart>
      <c:lineChart>
        <c:grouping val="standard"/>
        <c:ser>
          <c:idx val="1"/>
          <c:order val="1"/>
          <c:tx>
            <c:v>Plant target</c:v>
          </c:tx>
          <c:spPr>
            <a:ln w="19050">
              <a:solidFill>
                <a:srgbClr val="4A5361"/>
              </a:solidFill>
              <a:prstDash val="dash"/>
            </a:ln>
          </c:spPr>
          <c:marker>
            <c:symbol val="none"/>
          </c:marker>
          <c:cat>
            <c:numRef>
              <c:f>Dashboard!$B$64:$B$69</c:f>
              <c:numCache>
                <c:formatCode>General</c:formatCode>
                <c:ptCount val="6"/>
                <c:pt idx="0">
                  <c:v>46113</c:v>
                </c:pt>
                <c:pt idx="1">
                  <c:v>46143</c:v>
                </c:pt>
                <c:pt idx="2">
                  <c:v>46174</c:v>
                </c:pt>
                <c:pt idx="3">
                  <c:v>46204</c:v>
                </c:pt>
                <c:pt idx="4">
                  <c:v>46235</c:v>
                </c:pt>
                <c:pt idx="5">
                  <c:v>46266</c:v>
                </c:pt>
              </c:numCache>
            </c:numRef>
          </c:cat>
          <c:val>
            <c:numRef>
              <c:f>Dashboard!$I$64:$I$69</c:f>
              <c:numCache>
                <c:formatCode>General</c:formatCode>
                <c:ptCount val="6"/>
                <c:pt idx="0">
                  <c:v>500</c:v>
                </c:pt>
                <c:pt idx="1">
                  <c:v>500</c:v>
                </c:pt>
                <c:pt idx="2">
                  <c:v>500</c:v>
                </c:pt>
                <c:pt idx="3">
                  <c:v>500</c:v>
                </c:pt>
                <c:pt idx="4">
                  <c:v>500</c:v>
                </c:pt>
                <c:pt idx="5">
                  <c:v>500</c:v>
                </c:pt>
              </c:numCache>
            </c:numRef>
          </c:val>
        </c:ser>
        <c:marker val="1"/>
        <c:axId val="50010001"/>
        <c:axId val="50010002"/>
      </c:lineChart>
      <c:catAx>
        <c:axId val="50010001"/>
        <c:scaling>
          <c:orientation val="minMax"/>
        </c:scaling>
        <c:axPos val="b"/>
        <c:numFmt formatCode="mmm yy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Supplier PPM as % of its agreed limit (100% = at the limit)</a:t>
            </a:r>
          </a:p>
        </c:rich>
      </c:tx>
      <c:layout/>
    </c:title>
    <c:plotArea>
      <c:layout/>
      <c:barChart>
        <c:barDir val="col"/>
        <c:grouping val="clustered"/>
        <c:ser>
          <c:idx val="0"/>
          <c:order val="0"/>
          <c:tx>
            <c:v>PPM as % of the agreed limit</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Dashboard!$B$54:$B$59</c:f>
              <c:strCache>
                <c:ptCount val="6"/>
                <c:pt idx="0">
                  <c:v>Brightwater Foundry</c:v>
                </c:pt>
                <c:pt idx="1">
                  <c:v>Kessler Precision</c:v>
                </c:pt>
                <c:pt idx="2">
                  <c:v>Northgate Fasteners</c:v>
                </c:pt>
                <c:pt idx="3">
                  <c:v>Sealtek Elastomers</c:v>
                </c:pt>
                <c:pt idx="4">
                  <c:v>Ardent Motors</c:v>
                </c:pt>
                <c:pt idx="5">
                  <c:v>Velo Controls</c:v>
                </c:pt>
              </c:strCache>
            </c:strRef>
          </c:cat>
          <c:val>
            <c:numRef>
              <c:f>Dashboard!$G$54:$G$59</c:f>
              <c:numCache>
                <c:formatCode>General</c:formatCode>
                <c:ptCount val="6"/>
                <c:pt idx="0">
                  <c:v>4.11797440178075</c:v>
                </c:pt>
                <c:pt idx="1">
                  <c:v>0</c:v>
                </c:pt>
                <c:pt idx="2">
                  <c:v>1.98347107438017</c:v>
                </c:pt>
                <c:pt idx="3">
                  <c:v>0.842105263157895</c:v>
                </c:pt>
                <c:pt idx="4">
                  <c:v>0.524109014675052</c:v>
                </c:pt>
                <c:pt idx="5">
                  <c:v>0.462962962962963</c:v>
                </c:pt>
              </c:numCache>
            </c:numRef>
          </c:val>
        </c:ser>
        <c:gapWidth val="6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majorUnit val="1"/>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Rejected parts by reason</a:t>
            </a:r>
          </a:p>
        </c:rich>
      </c:tx>
      <c:layout/>
    </c:title>
    <c:plotArea>
      <c:layout/>
      <c:barChart>
        <c:barDir val="col"/>
        <c:grouping val="clustered"/>
        <c:ser>
          <c:idx val="0"/>
          <c:order val="0"/>
          <c:tx>
            <c:v>Rejected parts</c:v>
          </c:tx>
          <c:spPr>
            <a:solidFill>
              <a:srgbClr val="3B64D8"/>
            </a:solidFill>
            <a:ln w="9525">
              <a:solidFill>
                <a:srgbClr val="FFFFFF"/>
              </a:solidFill>
            </a:ln>
          </c:spPr>
          <c:cat>
            <c:strRef>
              <c:f>Dashboard!$C$93:$C$100</c:f>
              <c:strCache>
                <c:ptCount val="8"/>
                <c:pt idx="0">
                  <c:v>Material defect</c:v>
                </c:pt>
                <c:pt idx="1">
                  <c:v>Wrong or mixed part</c:v>
                </c:pt>
                <c:pt idx="2">
                  <c:v>Dimensional</c:v>
                </c:pt>
                <c:pt idx="3">
                  <c:v>Surface or cosmetic</c:v>
                </c:pt>
                <c:pt idx="4">
                  <c:v>Damaged in transit</c:v>
                </c:pt>
                <c:pt idx="5">
                  <c:v>Functional failure</c:v>
                </c:pt>
                <c:pt idx="6">
                  <c:v>Documents or certs</c:v>
                </c:pt>
                <c:pt idx="7">
                  <c:v>Other</c:v>
                </c:pt>
              </c:strCache>
            </c:strRef>
          </c:cat>
          <c:val>
            <c:numRef>
              <c:f>Dashboard!$E$93:$E$100</c:f>
              <c:numCache>
                <c:formatCode>General</c:formatCode>
                <c:ptCount val="8"/>
                <c:pt idx="0">
                  <c:v>36</c:v>
                </c:pt>
                <c:pt idx="1">
                  <c:v>36</c:v>
                </c:pt>
                <c:pt idx="2">
                  <c:v>17</c:v>
                </c:pt>
                <c:pt idx="3">
                  <c:v>10</c:v>
                </c:pt>
                <c:pt idx="4">
                  <c:v>2</c:v>
                </c:pt>
                <c:pt idx="5">
                  <c:v>1</c:v>
                </c:pt>
                <c:pt idx="6">
                  <c:v>0</c:v>
                </c:pt>
                <c:pt idx="7">
                  <c:v>0</c:v>
                </c:pt>
              </c:numCache>
            </c:numRef>
          </c:val>
        </c:ser>
        <c:gapWidth val="40"/>
        <c:axId val="50030001"/>
        <c:axId val="5003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Dashboard!$C$93:$C$100</c:f>
              <c:strCache>
                <c:ptCount val="8"/>
                <c:pt idx="0">
                  <c:v>Material defect</c:v>
                </c:pt>
                <c:pt idx="1">
                  <c:v>Wrong or mixed part</c:v>
                </c:pt>
                <c:pt idx="2">
                  <c:v>Dimensional</c:v>
                </c:pt>
                <c:pt idx="3">
                  <c:v>Surface or cosmetic</c:v>
                </c:pt>
                <c:pt idx="4">
                  <c:v>Damaged in transit</c:v>
                </c:pt>
                <c:pt idx="5">
                  <c:v>Functional failure</c:v>
                </c:pt>
                <c:pt idx="6">
                  <c:v>Documents or certs</c:v>
                </c:pt>
                <c:pt idx="7">
                  <c:v>Other</c:v>
                </c:pt>
              </c:strCache>
            </c:strRef>
          </c:cat>
          <c:val>
            <c:numRef>
              <c:f>Dashboard!$G$93:$G$100</c:f>
              <c:numCache>
                <c:formatCode>General</c:formatCode>
                <c:ptCount val="8"/>
                <c:pt idx="0">
                  <c:v>0.352941176470588</c:v>
                </c:pt>
                <c:pt idx="1">
                  <c:v>0.705882352941177</c:v>
                </c:pt>
                <c:pt idx="2">
                  <c:v>0.872549019607843</c:v>
                </c:pt>
                <c:pt idx="3">
                  <c:v>0.970588235294118</c:v>
                </c:pt>
                <c:pt idx="4">
                  <c:v>0.990196078431373</c:v>
                </c:pt>
                <c:pt idx="5">
                  <c:v>1</c:v>
                </c:pt>
                <c:pt idx="6">
                  <c:v>1</c:v>
                </c:pt>
                <c:pt idx="7">
                  <c:v>1</c:v>
                </c:pt>
              </c:numCache>
            </c:numRef>
          </c:val>
        </c:ser>
        <c:marker val="1"/>
        <c:axId val="60030001"/>
        <c:axId val="60030002"/>
      </c:line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valAx>
        <c:axId val="6003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30001"/>
        <c:crosses val="max"/>
        <c:crossBetween val="between"/>
        <c:majorUnit val="0.2"/>
      </c:valAx>
      <c:catAx>
        <c:axId val="60030001"/>
        <c:scaling>
          <c:orientation val="minMax"/>
        </c:scaling>
        <c:delete val="1"/>
        <c:axPos val="b"/>
        <c:tickLblPos val="none"/>
        <c:crossAx val="6003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Rejected parts by month and supplier</a:t>
            </a:r>
          </a:p>
        </c:rich>
      </c:tx>
      <c:layout/>
    </c:title>
    <c:plotArea>
      <c:layout/>
      <c:barChart>
        <c:barDir val="col"/>
        <c:grouping val="stacked"/>
        <c:ser>
          <c:idx val="0"/>
          <c:order val="0"/>
          <c:tx>
            <c:strRef>
              <c:f>Dashboard!$B$82</c:f>
              <c:strCache>
                <c:ptCount val="1"/>
                <c:pt idx="0">
                  <c:v>Brightwater Foundry</c:v>
                </c:pt>
              </c:strCache>
            </c:strRef>
          </c:tx>
          <c:spPr>
            <a:solidFill>
              <a:srgbClr val="3B64D8"/>
            </a:solidFill>
            <a:ln w="9525">
              <a:solidFill>
                <a:srgbClr val="FFFFFF"/>
              </a:solidFill>
            </a:ln>
          </c:spPr>
          <c:cat>
            <c:numRef>
              <c:f>Dashboard!$B$64:$B$69</c:f>
              <c:numCache>
                <c:formatCode>General</c:formatCode>
                <c:ptCount val="6"/>
                <c:pt idx="0">
                  <c:v>46113</c:v>
                </c:pt>
                <c:pt idx="1">
                  <c:v>46143</c:v>
                </c:pt>
                <c:pt idx="2">
                  <c:v>46174</c:v>
                </c:pt>
                <c:pt idx="3">
                  <c:v>46204</c:v>
                </c:pt>
                <c:pt idx="4">
                  <c:v>46235</c:v>
                </c:pt>
                <c:pt idx="5">
                  <c:v>46266</c:v>
                </c:pt>
              </c:numCache>
            </c:numRef>
          </c:cat>
          <c:val>
            <c:numRef>
              <c:f>Dashboard!$C$82:$H$82</c:f>
              <c:numCache>
                <c:formatCode>General</c:formatCode>
                <c:ptCount val="6"/>
                <c:pt idx="0">
                  <c:v>0</c:v>
                </c:pt>
                <c:pt idx="1">
                  <c:v>2</c:v>
                </c:pt>
                <c:pt idx="2">
                  <c:v>26</c:v>
                </c:pt>
                <c:pt idx="3">
                  <c:v>8</c:v>
                </c:pt>
                <c:pt idx="4">
                  <c:v>0</c:v>
                </c:pt>
                <c:pt idx="5">
                  <c:v>1</c:v>
                </c:pt>
              </c:numCache>
            </c:numRef>
          </c:val>
        </c:ser>
        <c:ser>
          <c:idx val="1"/>
          <c:order val="1"/>
          <c:tx>
            <c:strRef>
              <c:f>Dashboard!$B$83</c:f>
              <c:strCache>
                <c:ptCount val="1"/>
                <c:pt idx="0">
                  <c:v>Kessler Precision</c:v>
                </c:pt>
              </c:strCache>
            </c:strRef>
          </c:tx>
          <c:spPr>
            <a:solidFill>
              <a:srgbClr val="E8702A"/>
            </a:solidFill>
            <a:ln w="9525">
              <a:solidFill>
                <a:srgbClr val="FFFFFF"/>
              </a:solidFill>
            </a:ln>
          </c:spPr>
          <c:cat>
            <c:numRef>
              <c:f>Dashboard!$B$64:$B$69</c:f>
              <c:numCache>
                <c:formatCode>General</c:formatCode>
                <c:ptCount val="6"/>
                <c:pt idx="0">
                  <c:v>46113</c:v>
                </c:pt>
                <c:pt idx="1">
                  <c:v>46143</c:v>
                </c:pt>
                <c:pt idx="2">
                  <c:v>46174</c:v>
                </c:pt>
                <c:pt idx="3">
                  <c:v>46204</c:v>
                </c:pt>
                <c:pt idx="4">
                  <c:v>46235</c:v>
                </c:pt>
                <c:pt idx="5">
                  <c:v>46266</c:v>
                </c:pt>
              </c:numCache>
            </c:numRef>
          </c:cat>
          <c:val>
            <c:numRef>
              <c:f>Dashboard!$C$83:$H$83</c:f>
              <c:numCache>
                <c:formatCode>General</c:formatCode>
                <c:ptCount val="6"/>
                <c:pt idx="0">
                  <c:v>0</c:v>
                </c:pt>
                <c:pt idx="1">
                  <c:v>0</c:v>
                </c:pt>
                <c:pt idx="2">
                  <c:v>0</c:v>
                </c:pt>
                <c:pt idx="3">
                  <c:v>0</c:v>
                </c:pt>
                <c:pt idx="4">
                  <c:v>0</c:v>
                </c:pt>
                <c:pt idx="5">
                  <c:v>0</c:v>
                </c:pt>
              </c:numCache>
            </c:numRef>
          </c:val>
        </c:ser>
        <c:ser>
          <c:idx val="2"/>
          <c:order val="2"/>
          <c:tx>
            <c:strRef>
              <c:f>Dashboard!$B$84</c:f>
              <c:strCache>
                <c:ptCount val="1"/>
                <c:pt idx="0">
                  <c:v>Northgate Fasteners</c:v>
                </c:pt>
              </c:strCache>
            </c:strRef>
          </c:tx>
          <c:spPr>
            <a:solidFill>
              <a:srgbClr val="1BA37A"/>
            </a:solidFill>
            <a:ln w="9525">
              <a:solidFill>
                <a:srgbClr val="FFFFFF"/>
              </a:solidFill>
            </a:ln>
          </c:spPr>
          <c:cat>
            <c:numRef>
              <c:f>Dashboard!$B$64:$B$69</c:f>
              <c:numCache>
                <c:formatCode>General</c:formatCode>
                <c:ptCount val="6"/>
                <c:pt idx="0">
                  <c:v>46113</c:v>
                </c:pt>
                <c:pt idx="1">
                  <c:v>46143</c:v>
                </c:pt>
                <c:pt idx="2">
                  <c:v>46174</c:v>
                </c:pt>
                <c:pt idx="3">
                  <c:v>46204</c:v>
                </c:pt>
                <c:pt idx="4">
                  <c:v>46235</c:v>
                </c:pt>
                <c:pt idx="5">
                  <c:v>46266</c:v>
                </c:pt>
              </c:numCache>
            </c:numRef>
          </c:cat>
          <c:val>
            <c:numRef>
              <c:f>Dashboard!$C$84:$H$84</c:f>
              <c:numCache>
                <c:formatCode>General</c:formatCode>
                <c:ptCount val="6"/>
                <c:pt idx="0">
                  <c:v>3</c:v>
                </c:pt>
                <c:pt idx="1">
                  <c:v>0</c:v>
                </c:pt>
                <c:pt idx="2">
                  <c:v>2</c:v>
                </c:pt>
                <c:pt idx="3">
                  <c:v>1</c:v>
                </c:pt>
                <c:pt idx="4">
                  <c:v>38</c:v>
                </c:pt>
                <c:pt idx="5">
                  <c:v>4</c:v>
                </c:pt>
              </c:numCache>
            </c:numRef>
          </c:val>
        </c:ser>
        <c:ser>
          <c:idx val="3"/>
          <c:order val="3"/>
          <c:tx>
            <c:strRef>
              <c:f>Dashboard!$B$85</c:f>
              <c:strCache>
                <c:ptCount val="1"/>
                <c:pt idx="0">
                  <c:v>Sealtek Elastomers</c:v>
                </c:pt>
              </c:strCache>
            </c:strRef>
          </c:tx>
          <c:spPr>
            <a:solidFill>
              <a:srgbClr val="E0A100"/>
            </a:solidFill>
            <a:ln w="9525">
              <a:solidFill>
                <a:srgbClr val="FFFFFF"/>
              </a:solidFill>
            </a:ln>
          </c:spPr>
          <c:cat>
            <c:numRef>
              <c:f>Dashboard!$B$64:$B$69</c:f>
              <c:numCache>
                <c:formatCode>General</c:formatCode>
                <c:ptCount val="6"/>
                <c:pt idx="0">
                  <c:v>46113</c:v>
                </c:pt>
                <c:pt idx="1">
                  <c:v>46143</c:v>
                </c:pt>
                <c:pt idx="2">
                  <c:v>46174</c:v>
                </c:pt>
                <c:pt idx="3">
                  <c:v>46204</c:v>
                </c:pt>
                <c:pt idx="4">
                  <c:v>46235</c:v>
                </c:pt>
                <c:pt idx="5">
                  <c:v>46266</c:v>
                </c:pt>
              </c:numCache>
            </c:numRef>
          </c:cat>
          <c:val>
            <c:numRef>
              <c:f>Dashboard!$C$85:$H$85</c:f>
              <c:numCache>
                <c:formatCode>General</c:formatCode>
                <c:ptCount val="6"/>
                <c:pt idx="0">
                  <c:v>2</c:v>
                </c:pt>
                <c:pt idx="1">
                  <c:v>0</c:v>
                </c:pt>
                <c:pt idx="2">
                  <c:v>4</c:v>
                </c:pt>
                <c:pt idx="3">
                  <c:v>5</c:v>
                </c:pt>
                <c:pt idx="4">
                  <c:v>0</c:v>
                </c:pt>
                <c:pt idx="5">
                  <c:v>3</c:v>
                </c:pt>
              </c:numCache>
            </c:numRef>
          </c:val>
        </c:ser>
        <c:ser>
          <c:idx val="4"/>
          <c:order val="4"/>
          <c:tx>
            <c:strRef>
              <c:f>Dashboard!$B$86</c:f>
              <c:strCache>
                <c:ptCount val="1"/>
                <c:pt idx="0">
                  <c:v>Ardent Motors</c:v>
                </c:pt>
              </c:strCache>
            </c:strRef>
          </c:tx>
          <c:spPr>
            <a:solidFill>
              <a:srgbClr val="D0558A"/>
            </a:solidFill>
            <a:ln w="9525">
              <a:solidFill>
                <a:srgbClr val="FFFFFF"/>
              </a:solidFill>
            </a:ln>
          </c:spPr>
          <c:cat>
            <c:numRef>
              <c:f>Dashboard!$B$64:$B$69</c:f>
              <c:numCache>
                <c:formatCode>General</c:formatCode>
                <c:ptCount val="6"/>
                <c:pt idx="0">
                  <c:v>46113</c:v>
                </c:pt>
                <c:pt idx="1">
                  <c:v>46143</c:v>
                </c:pt>
                <c:pt idx="2">
                  <c:v>46174</c:v>
                </c:pt>
                <c:pt idx="3">
                  <c:v>46204</c:v>
                </c:pt>
                <c:pt idx="4">
                  <c:v>46235</c:v>
                </c:pt>
                <c:pt idx="5">
                  <c:v>46266</c:v>
                </c:pt>
              </c:numCache>
            </c:numRef>
          </c:cat>
          <c:val>
            <c:numRef>
              <c:f>Dashboard!$C$86:$H$86</c:f>
              <c:numCache>
                <c:formatCode>General</c:formatCode>
                <c:ptCount val="6"/>
                <c:pt idx="0">
                  <c:v>1</c:v>
                </c:pt>
                <c:pt idx="1">
                  <c:v>0</c:v>
                </c:pt>
                <c:pt idx="2">
                  <c:v>1</c:v>
                </c:pt>
                <c:pt idx="3">
                  <c:v>0</c:v>
                </c:pt>
                <c:pt idx="4">
                  <c:v>0</c:v>
                </c:pt>
                <c:pt idx="5">
                  <c:v>0</c:v>
                </c:pt>
              </c:numCache>
            </c:numRef>
          </c:val>
        </c:ser>
        <c:ser>
          <c:idx val="5"/>
          <c:order val="5"/>
          <c:tx>
            <c:strRef>
              <c:f>Dashboard!$B$87</c:f>
              <c:strCache>
                <c:ptCount val="1"/>
                <c:pt idx="0">
                  <c:v>Velo Controls</c:v>
                </c:pt>
              </c:strCache>
            </c:strRef>
          </c:tx>
          <c:spPr>
            <a:solidFill>
              <a:srgbClr val="6250D6"/>
            </a:solidFill>
            <a:ln w="9525">
              <a:solidFill>
                <a:srgbClr val="FFFFFF"/>
              </a:solidFill>
            </a:ln>
          </c:spPr>
          <c:cat>
            <c:numRef>
              <c:f>Dashboard!$B$64:$B$69</c:f>
              <c:numCache>
                <c:formatCode>General</c:formatCode>
                <c:ptCount val="6"/>
                <c:pt idx="0">
                  <c:v>46113</c:v>
                </c:pt>
                <c:pt idx="1">
                  <c:v>46143</c:v>
                </c:pt>
                <c:pt idx="2">
                  <c:v>46174</c:v>
                </c:pt>
                <c:pt idx="3">
                  <c:v>46204</c:v>
                </c:pt>
                <c:pt idx="4">
                  <c:v>46235</c:v>
                </c:pt>
                <c:pt idx="5">
                  <c:v>46266</c:v>
                </c:pt>
              </c:numCache>
            </c:numRef>
          </c:cat>
          <c:val>
            <c:numRef>
              <c:f>Dashboard!$C$87:$H$87</c:f>
              <c:numCache>
                <c:formatCode>General</c:formatCode>
                <c:ptCount val="6"/>
                <c:pt idx="0">
                  <c:v>0</c:v>
                </c:pt>
                <c:pt idx="1">
                  <c:v>0</c:v>
                </c:pt>
                <c:pt idx="2">
                  <c:v>0</c:v>
                </c:pt>
                <c:pt idx="3">
                  <c:v>0</c:v>
                </c:pt>
                <c:pt idx="4">
                  <c:v>0</c:v>
                </c:pt>
                <c:pt idx="5">
                  <c:v>1</c:v>
                </c:pt>
              </c:numCache>
            </c:numRef>
          </c:val>
        </c:ser>
        <c:gapWidth val="60"/>
        <c:overlap val="100"/>
        <c:axId val="50040001"/>
        <c:axId val="50040002"/>
      </c:barChart>
      <c:catAx>
        <c:axId val="50040001"/>
        <c:scaling>
          <c:orientation val="minMax"/>
        </c:scaling>
        <c:axPos val="b"/>
        <c:numFmt formatCode="mmm yy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incoming PPM for all suppliers in view by month, with the plant PPM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Column chart of each supplier's PPM over the dates in view as a percentage of its own agreed PPM limit; gridlines every 100%, so a column above the first gridline is over the limi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Pareto chart of rejected parts by main reject reason,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Stacked column chart of rejected parts per month, one colour per supplier, showing which supplier drives the rejects each month."/>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Suppliers" displayName="tblSuppliers" ref="B16:D22" totalsRowShown="0">
  <autoFilter ref="B16:D22"/>
  <tableColumns count="3">
    <tableColumn id="1" name="Supplier"/>
    <tableColumn id="2" name="Commodity"/>
    <tableColumn id="3" name="PPM limit"/>
  </tableColumns>
  <tableStyleInfo name="TableStyleLight1" showFirstColumn="0" showLastColumn="0" showRowStripes="0" showColumnStripes="0"/>
</table>
</file>

<file path=xl/tables/table2.xml><?xml version="1.0" encoding="utf-8"?>
<table xmlns="http://schemas.openxmlformats.org/spreadsheetml/2006/main" id="2" name="tblReasons" displayName="tblReasons" ref="B25:C33" totalsRowShown="0">
  <autoFilter ref="B25:C33"/>
  <tableColumns count="2">
    <tableColumn id="1" name="Reason"/>
    <tableColumn id="2" name="Description"/>
  </tableColumns>
  <tableStyleInfo name="TableStyleLight1" showFirstColumn="0" showLastColumn="0" showRowStripes="0" showColumnStripes="0"/>
</table>
</file>

<file path=xl/tables/table3.xml><?xml version="1.0" encoding="utf-8"?>
<table xmlns="http://schemas.openxmlformats.org/spreadsheetml/2006/main" id="3" name="tblDispositions" displayName="tblDispositions" ref="B36:C41" totalsRowShown="0">
  <autoFilter ref="B36:C41"/>
  <tableColumns count="2">
    <tableColumn id="1" name="Disposition"/>
    <tableColumn id="2" name="Meaning"/>
  </tableColumns>
  <tableStyleInfo name="TableStyleLight1" showFirstColumn="0" showLastColumn="0" showRowStripes="0" showColumnStripes="0"/>
</table>
</file>

<file path=xl/tables/table4.xml><?xml version="1.0" encoding="utf-8"?>
<table xmlns="http://schemas.openxmlformats.org/spreadsheetml/2006/main" id="4" name="tblReceipts" displayName="tblReceipts" ref="B6:R120" totalsRowShown="0">
  <autoFilter ref="B6:R120"/>
  <tableColumns count="17">
    <tableColumn id="1" name="Date"/>
    <tableColumn id="2" name="Receipt ID"/>
    <tableColumn id="3" name="Supplier"/>
    <tableColumn id="4" name="Part number"/>
    <tableColumn id="5" name="Received"/>
    <tableColumn id="6" name="Rejected"/>
    <tableColumn id="7" name="Reject reason"/>
    <tableColumn id="8" name="Disposition"/>
    <tableColumn id="9" name="SCAR or RMA no."/>
    <tableColumn id="10" name="Reject rate">
      <calculatedColumnFormula>IF(tblReceipts[[#This Row],[Date]]="","",IF(tblReceipts[[#This Row],[Received]]&gt;0,tblReceipts[[#This Row],[Rejected]]/tblReceipts[[#This Row],[Received]],""))</calculatedColumnFormula>
    </tableColumn>
    <tableColumn id="11" name="PPM">
      <calculatedColumnFormula>IF(tblReceipts[[#This Row],[Date]]="","",IF(tblReceipts[[#This Row],[Received]]&gt;0,tblReceipts[[#This Row],[Rejected]]/tblReceipts[[#This Row],[Received]]*1000000,""))</calculatedColumnFormula>
    </tableColumn>
    <tableColumn id="12" name="PPM limit">
      <calculatedColumnFormula>IF(tblReceipts[[#This Row],[Date]]="","",IFERROR(INDEX(tblSuppliers[PPM limit],MATCH(tblReceipts[[#This Row],[Supplier]],tblSuppliers[Supplier],0)),""))</calculatedColumnFormula>
    </tableColumn>
    <tableColumn id="13" name="Excess over limit">
      <calculatedColumnFormula>IF(tblReceipts[[#This Row],[Date]]="","",IF(AND(ISNUMBER(tblReceipts[[#This Row],[PPM]]),ISNUMBER(tblReceipts[[#This Row],[PPM limit]])),tblReceipts[[#This Row],[PPM]]-tblReceipts[[#This Row],[PPM limit]],""))</calculatedColumnFormula>
    </tableColumn>
    <tableColumn id="14" name="PPM vs limit">
      <calculatedColumnFormula>IF(NOT(ISNUMBER(tblReceipts[[#This Row],[PPM]])),"",IF(tblReceipts[[#This Row],[PPM]]&lt;=tblReceipts[[#This Row],[PPM limit]],"On target",IF(tblReceipts[[#This Row],[PPM]]&lt;=tblReceipts[[#This Row],[PPM limit]]*(1+0.05),"Near target","Above target")))</calculatedColumnFormula>
    </tableColumn>
    <tableColumn id="15" name="View date">
      <calculatedColumnFormula>IF(tblReceipts[[#This Row],[Date]]="","",IF(AND(tblReceipts[[#This Row],[Date]]&gt;=FFrom,tblReceipts[[#This Row],[Date]]&lt;=FTo,OR(DashSupplier="",tblReceipts[[#This Row],[Supplier]]=DashSupplier)),tblReceipts[[#This Row],[Date]],""))</calculatedColumnFormula>
    </tableColumn>
    <tableColumn id="16" name="Check">
      <calculatedColumnFormula>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calculatedColumnFormula>
    </tableColumn>
    <tableColumn id="17" name="Notes"/>
  </tableColumns>
  <tableStyleInfo name="TableStyleLight1" showFirstColumn="0" showLastColumn="0" showRowStripes="0" showColumnStripes="0"/>
</table>
</file>

<file path=xl/tables/table5.xml><?xml version="1.0" encoding="utf-8"?>
<table xmlns="http://schemas.openxmlformats.org/spreadsheetml/2006/main" id="5" name="tblVerifySuppliers" displayName="tblVerifySuppliers" ref="B39:D41" totalsRowShown="0">
  <tableColumns count="3">
    <tableColumn id="1" name="Supplier"/>
    <tableColumn id="2" name="Commodity"/>
    <tableColumn id="3" name="PPM limit"/>
  </tableColumns>
  <tableStyleInfo name="TableStyleLight1" showFirstColumn="0" showLastColumn="0" showRowStripes="0" showColumnStripes="0"/>
</table>
</file>

<file path=xl/tables/table6.xml><?xml version="1.0" encoding="utf-8"?>
<table xmlns="http://schemas.openxmlformats.org/spreadsheetml/2006/main" id="6" name="tblVerifyReasons" displayName="tblVerifyReasons" ref="B44:C46" totalsRowShown="0">
  <tableColumns count="2">
    <tableColumn id="1" name="Reason"/>
    <tableColumn id="2" name="Description"/>
  </tableColumns>
  <tableStyleInfo name="TableStyleLight1" showFirstColumn="0" showLastColumn="0" showRowStripes="0" showColumnStripes="0"/>
</table>
</file>

<file path=xl/tables/table7.xml><?xml version="1.0" encoding="utf-8"?>
<table xmlns="http://schemas.openxmlformats.org/spreadsheetml/2006/main" id="7" name="tblVerifyReceipts" displayName="tblVerifyReceipts" ref="B50:R54" totalsRowShown="0">
  <tableColumns count="17">
    <tableColumn id="1" name="Date"/>
    <tableColumn id="2" name="Receipt ID"/>
    <tableColumn id="3" name="Supplier"/>
    <tableColumn id="4" name="Part number"/>
    <tableColumn id="5" name="Received"/>
    <tableColumn id="6" name="Rejected"/>
    <tableColumn id="7" name="Reject reason"/>
    <tableColumn id="8" name="Disposition"/>
    <tableColumn id="9" name="SCAR or RMA no."/>
    <tableColumn id="10" name="Reject rate">
      <calculatedColumnFormula>IF(tblVerifyReceipts[[#This Row],[Date]]="","",IF(tblVerifyReceipts[[#This Row],[Received]]&gt;0,tblVerifyReceipts[[#This Row],[Rejected]]/tblVerifyReceipts[[#This Row],[Received]],""))</calculatedColumnFormula>
    </tableColumn>
    <tableColumn id="11" name="PPM">
      <calculatedColumnFormula>IF(tblVerifyReceipts[[#This Row],[Date]]="","",IF(tblVerifyReceipts[[#This Row],[Received]]&gt;0,tblVerifyReceipts[[#This Row],[Rejected]]/tblVerifyReceipts[[#This Row],[Received]]*1000000,""))</calculatedColumnFormula>
    </tableColumn>
    <tableColumn id="12" name="PPM limit"/>
    <tableColumn id="13" name="Excess over limit">
      <calculatedColumnFormula>IF(tblVerifyReceipts[[#This Row],[Date]]="","",IF(AND(ISNUMBER(tblVerifyReceipts[[#This Row],[PPM]]),ISNUMBER(tblVerifyReceipts[[#This Row],[PPM limit]])),tblVerifyReceipts[[#This Row],[PPM]]-tblVerifyReceipts[[#This Row],[PPM limit]],""))</calculatedColumnFormula>
    </tableColumn>
    <tableColumn id="14" name="PPM vs limit">
      <calculatedColumnFormula>IF(NOT(ISNUMBER(tblVerifyReceipts[[#This Row],[PPM]])),"",IF(tblVerifyReceipts[[#This Row],[PPM]]&lt;=tblVerifyReceipts[[#This Row],[PPM limit]],"On target",IF(tblVerifyReceipts[[#This Row],[PPM]]&lt;=tblVerifyReceipts[[#This Row],[PPM limit]]*(1+0.05),"Near target","Above target")))</calculatedColumnFormula>
    </tableColumn>
    <tableColumn id="15" name="View date">
      <calculatedColumnFormula>IF(tblVerifyReceipts[[#This Row],[Date]]="","",IF(AND(tblVerifyReceipts[[#This Row],[Date]]&gt;=$E$32,tblVerifyReceipts[[#This Row],[Date]]&lt;=$E$33,OR($E$34="",tblVerifyReceipts[[#This Row],[Supplier]]=$E$34)),tblVerifyReceipts[[#This Row],[Date]],""))</calculatedColumnFormula>
    </tableColumn>
    <tableColumn id="16" name="Check">
      <calculatedColumnFormula>IF(tblVerifyReceipts[[#This Row],[Date]]="","",IF(tblVerifyReceipts[[#This Row],[Receipt ID]]="","Missing receipt id",IF(tblVerifyReceipts[[#This Row],[Supplier]]="","Missing supplier",IF(tblVerifyReceipts[[#This Row],[Received]]="","Missing received",IF(tblVerifyReceipts[[#This Row],[Rejected]]="","Missing rejected",IF(tblVerifyReceipts[[#This Row],[PPM limit]]="","Supplier not on Setup list",IF(tblVerifyReceipts[[#This Row],[Rejected]]&gt;tblVerifyReceipts[[#This Row],[Received]],"Rejected &gt; received",IF(AND(tblVerifyReceipts[[#This Row],[Rejected]]&gt;0,tblVerifyReceipts[[#This Row],[Reject reason]]=""),"Reject reason missing",IF(AND(tblVerifyReceipts[[#This Row],[Rejected]]&gt;0,tblVerifyReceipts[[#This Row],[Disposition]]=""),"Disposition missing",IF(AND(tblVerifyReceipts[[#This Row],[Reject reason]]&lt;&gt;"",COUNTIF(tblVerifyReasons[Reason],tblVerifyReceipts[[#This Row],[Reject reason]])=0),"Reason not on Setup list",IF(COUNTIF(tblVerifyReceipts[Receipt ID],tblVerifyReceipts[[#This Row],[Receipt ID]])&gt;1,"Duplicate receipt ID","OK")))))))))))</calculatedColumnFormula>
    </tableColumn>
    <tableColumn id="1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quality-ppm" TargetMode="External"/><Relationship Id="rId2" Type="http://schemas.openxmlformats.org/officeDocument/2006/relationships/hyperlink" Target="https://www.mfgcalcs.com/calculators/supply-chain-procurement-inventory/supplier-quality-ppm?utm_source=mfgcalcs-template&amp;utm_medium=xlsx&amp;utm_campaign=supplier-quality-ppm" TargetMode="External"/><Relationship Id="rId3" Type="http://schemas.openxmlformats.org/officeDocument/2006/relationships/hyperlink" Target="https://www.mfgcalcs.com/templates/supplier-quality-ppm?utm_source=mfgcalcs-template&amp;utm_medium=xlsx&amp;utm_campaign=supplier-quality-ppm" TargetMode="External"/><Relationship Id="rId4" Type="http://schemas.openxmlformats.org/officeDocument/2006/relationships/hyperlink" Target="https://www.mfgcalcs.com/templates?utm_source=mfgcalcs-template&amp;utm_medium=xlsx&amp;utm_campaign=supplier-quality-ppm"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quality-ppm"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quality-ppm"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quality-ppm"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quality-ppm" TargetMode="External"/><Relationship Id="rId2" Type="http://schemas.openxmlformats.org/officeDocument/2006/relationships/hyperlink" Target="https://www.mfgcalcs.com/calculators/supply-chain-procurement-inventory/supplier-quality-ppm?utm_source=mfgcalcs-template&amp;utm_medium=xlsx&amp;utm_campaign=supplier-quality-ppm"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quality-ppm"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6"/>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16 of 16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5" spans="2:6" ht="16.2" customHeight="1">
      <c r="B55" s="17" t="s">
        <v>60</v>
      </c>
      <c r="C55" s="17"/>
      <c r="D55" s="17"/>
      <c r="E55" s="17"/>
      <c r="F55" s="17"/>
    </row>
    <row r="56" spans="2:6" ht="26.76" customHeight="1">
      <c r="B56" s="21" t="s">
        <v>61</v>
      </c>
      <c r="C56" s="21"/>
      <c r="D56" s="21"/>
      <c r="E56" s="21"/>
      <c r="F56" s="21"/>
    </row>
  </sheetData>
  <sheetProtection sheet="1" formatColumns="0" formatRows="0"/>
  <mergeCells count="40">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B55:F55"/>
    <mergeCell ref="B56:F56"/>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Receiving Log'!A1" tooltip="Go to Receiving Log" display="Receiving Log"/>
    <hyperlink ref="C23" location="Dashboard!A1" tooltip="Go to Dashboard" display="Dashboard"/>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Supplier Quality PPM&amp;R&amp;8&amp;A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41"/>
  <sheetViews>
    <sheetView showGridLines="0" workbookViewId="0"/>
  </sheetViews>
  <sheetFormatPr defaultRowHeight="15"/>
  <cols>
    <col min="1" max="1" width="2.7109375" customWidth="1"/>
    <col min="2" max="2" width="28.7109375" customWidth="1"/>
    <col min="3" max="3" width="44.7109375" customWidth="1"/>
    <col min="4" max="4" width="14.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69</v>
      </c>
      <c r="C4" s="8"/>
      <c r="D4" s="8"/>
    </row>
    <row r="5" spans="1:5" ht="5" customHeight="1"/>
    <row r="6" spans="1:5">
      <c r="B6" s="27" t="s">
        <v>70</v>
      </c>
      <c r="C6" s="28" t="s">
        <v>71</v>
      </c>
      <c r="D6" s="28"/>
    </row>
    <row r="7" spans="1:5">
      <c r="B7" s="27" t="s">
        <v>72</v>
      </c>
      <c r="C7" s="29">
        <v>500</v>
      </c>
      <c r="D7" s="7" t="s">
        <v>73</v>
      </c>
    </row>
    <row r="9" spans="1:5" ht="35.4" customHeight="1">
      <c r="B9" s="25" t="s">
        <v>74</v>
      </c>
      <c r="C9" s="25"/>
      <c r="D9" s="25"/>
    </row>
    <row r="11" spans="1:5" ht="21" customHeight="1">
      <c r="B11" s="8" t="s">
        <v>75</v>
      </c>
      <c r="C11" s="8"/>
      <c r="D11" s="8"/>
    </row>
    <row r="12" spans="1:5" ht="5" customHeight="1"/>
    <row r="13" spans="1:5" ht="38.64" customHeight="1">
      <c r="B13" s="21" t="s">
        <v>76</v>
      </c>
      <c r="C13" s="21"/>
      <c r="D13" s="21"/>
    </row>
    <row r="14" spans="1:5">
      <c r="B14" s="30" t="s">
        <v>77</v>
      </c>
      <c r="C14" s="30"/>
      <c r="D14" s="30"/>
    </row>
    <row r="15" spans="1:5" ht="14" customHeight="1">
      <c r="B15" s="31"/>
      <c r="C15" s="31"/>
      <c r="D15" s="31" t="s">
        <v>73</v>
      </c>
    </row>
    <row r="16" spans="1:5" ht="20" customHeight="1">
      <c r="B16" s="32" t="s">
        <v>62</v>
      </c>
      <c r="C16" s="32" t="s">
        <v>63</v>
      </c>
      <c r="D16" s="32" t="s">
        <v>64</v>
      </c>
    </row>
    <row r="17" spans="2:4">
      <c r="B17" s="28" t="s">
        <v>78</v>
      </c>
      <c r="C17" s="28" t="s">
        <v>79</v>
      </c>
      <c r="D17" s="29">
        <v>1500</v>
      </c>
    </row>
    <row r="18" spans="2:4">
      <c r="B18" s="28" t="s">
        <v>80</v>
      </c>
      <c r="C18" s="28" t="s">
        <v>81</v>
      </c>
      <c r="D18" s="29">
        <v>500</v>
      </c>
    </row>
    <row r="19" spans="2:4">
      <c r="B19" s="28" t="s">
        <v>82</v>
      </c>
      <c r="C19" s="28" t="s">
        <v>83</v>
      </c>
      <c r="D19" s="29">
        <v>100</v>
      </c>
    </row>
    <row r="20" spans="2:4">
      <c r="B20" s="28" t="s">
        <v>84</v>
      </c>
      <c r="C20" s="28" t="s">
        <v>85</v>
      </c>
      <c r="D20" s="29">
        <v>250</v>
      </c>
    </row>
    <row r="21" spans="2:4">
      <c r="B21" s="28" t="s">
        <v>86</v>
      </c>
      <c r="C21" s="28" t="s">
        <v>87</v>
      </c>
      <c r="D21" s="29">
        <v>3000</v>
      </c>
    </row>
    <row r="22" spans="2:4">
      <c r="B22" s="28" t="s">
        <v>88</v>
      </c>
      <c r="C22" s="28" t="s">
        <v>89</v>
      </c>
      <c r="D22" s="29">
        <v>300</v>
      </c>
    </row>
    <row r="24" spans="2:4">
      <c r="B24" s="30" t="s">
        <v>90</v>
      </c>
      <c r="C24" s="30"/>
    </row>
    <row r="25" spans="2:4" ht="20" customHeight="1">
      <c r="B25" s="32" t="s">
        <v>65</v>
      </c>
      <c r="C25" s="32" t="s">
        <v>66</v>
      </c>
    </row>
    <row r="26" spans="2:4">
      <c r="B26" s="28" t="s">
        <v>91</v>
      </c>
      <c r="C26" s="33" t="s">
        <v>92</v>
      </c>
    </row>
    <row r="27" spans="2:4">
      <c r="B27" s="28" t="s">
        <v>93</v>
      </c>
      <c r="C27" s="33" t="s">
        <v>94</v>
      </c>
    </row>
    <row r="28" spans="2:4">
      <c r="B28" s="28" t="s">
        <v>95</v>
      </c>
      <c r="C28" s="33" t="s">
        <v>96</v>
      </c>
    </row>
    <row r="29" spans="2:4">
      <c r="B29" s="28" t="s">
        <v>97</v>
      </c>
      <c r="C29" s="33" t="s">
        <v>98</v>
      </c>
    </row>
    <row r="30" spans="2:4">
      <c r="B30" s="28" t="s">
        <v>99</v>
      </c>
      <c r="C30" s="33" t="s">
        <v>100</v>
      </c>
    </row>
    <row r="31" spans="2:4">
      <c r="B31" s="28" t="s">
        <v>101</v>
      </c>
      <c r="C31" s="33" t="s">
        <v>102</v>
      </c>
    </row>
    <row r="32" spans="2:4">
      <c r="B32" s="28" t="s">
        <v>103</v>
      </c>
      <c r="C32" s="33" t="s">
        <v>104</v>
      </c>
    </row>
    <row r="33" spans="2:3">
      <c r="B33" s="28" t="s">
        <v>105</v>
      </c>
      <c r="C33" s="33" t="s">
        <v>106</v>
      </c>
    </row>
    <row r="35" spans="2:3">
      <c r="B35" s="30" t="s">
        <v>107</v>
      </c>
      <c r="C35" s="30"/>
    </row>
    <row r="36" spans="2:3" ht="20" customHeight="1">
      <c r="B36" s="32" t="s">
        <v>67</v>
      </c>
      <c r="C36" s="32" t="s">
        <v>68</v>
      </c>
    </row>
    <row r="37" spans="2:3">
      <c r="B37" s="28" t="s">
        <v>108</v>
      </c>
      <c r="C37" s="33" t="s">
        <v>109</v>
      </c>
    </row>
    <row r="38" spans="2:3">
      <c r="B38" s="28" t="s">
        <v>110</v>
      </c>
      <c r="C38" s="33" t="s">
        <v>111</v>
      </c>
    </row>
    <row r="39" spans="2:3">
      <c r="B39" s="28" t="s">
        <v>112</v>
      </c>
      <c r="C39" s="33" t="s">
        <v>113</v>
      </c>
    </row>
    <row r="40" spans="2:3">
      <c r="B40" s="28" t="s">
        <v>114</v>
      </c>
      <c r="C40" s="33" t="s">
        <v>115</v>
      </c>
    </row>
    <row r="41" spans="2:3">
      <c r="B41" s="28" t="s">
        <v>116</v>
      </c>
      <c r="C41" s="33" t="s">
        <v>117</v>
      </c>
    </row>
  </sheetData>
  <mergeCells count="11">
    <mergeCell ref="A1:E1"/>
    <mergeCell ref="B2:C2"/>
    <mergeCell ref="D2:E2"/>
    <mergeCell ref="B4:D4"/>
    <mergeCell ref="C6:D6"/>
    <mergeCell ref="B9:D9"/>
    <mergeCell ref="B11:D11"/>
    <mergeCell ref="B13:D13"/>
    <mergeCell ref="B14:D14"/>
    <mergeCell ref="B24:C24"/>
    <mergeCell ref="B35:C35"/>
  </mergeCells>
  <dataValidations count="9">
    <dataValidation type="textLength" allowBlank="1" showInputMessage="1" showErrorMessage="1" errorTitle="Check this entry" error="Text up to 80 characters." promptTitle="Plant or company name" prompt="Shown on the Dashboard header. Text up to 80 characters." sqref="C6">
      <formula1>0</formula1>
      <formula2>80</formula2>
    </dataValidation>
    <dataValidation type="whole" allowBlank="1" showInputMessage="1" showErrorMessage="1" errorTitle="Check this entry" error="Enter a whole number from 0 to 1,000,000." promptTitle="Plant PPM target (at most)" prompt="Your own goal for all suppliers together: rejected parts per million received. Each supplier's own limit is on the list below. Enter a whole number from 0 to 1,000,000." sqref="C7">
      <formula1>0</formula1>
      <formula2>1000000</formula2>
    </dataValidation>
    <dataValidation type="textLength" allowBlank="1" showInputMessage="1" showErrorMessage="1" errorTitle="Check this entry" error="Text up to 40 characters." promptTitle="Supplier" prompt="Text up to 40 characters." sqref="B17:B122">
      <formula1>0</formula1>
      <formula2>40</formula2>
    </dataValidation>
    <dataValidation type="textLength" allowBlank="1" showInputMessage="1" showErrorMessage="1" errorTitle="Check this entry" error="Text up to 60 characters." promptTitle="Commodity" prompt="Text up to 60 characters." sqref="C17:C122">
      <formula1>0</formula1>
      <formula2>60</formula2>
    </dataValidation>
    <dataValidation type="whole" allowBlank="1" showInputMessage="1" showErrorMessage="1" errorTitle="Check this entry" error="Enter a whole number from 0 to 1,000,000." promptTitle="PPM limit" prompt="The agreed limit: rejected parts per million received. Use 0 for a zero-defect agreement. Enter a whole number from 0 to 1,000,000." sqref="D17:D122">
      <formula1>0</formula1>
      <formula2>1000000</formula2>
    </dataValidation>
    <dataValidation type="textLength" allowBlank="1" showInputMessage="1" showErrorMessage="1" errorTitle="Check this entry" error="Text up to 30 characters." promptTitle="Reason" prompt="Text up to 30 characters." sqref="B26:B133">
      <formula1>0</formula1>
      <formula2>30</formula2>
    </dataValidation>
    <dataValidation type="textLength" allowBlank="1" showInputMessage="1" showErrorMessage="1" errorTitle="Check this entry" error="Text up to 120 characters." promptTitle="Description" prompt="Text up to 120 characters." sqref="C26:C133">
      <formula1>0</formula1>
      <formula2>120</formula2>
    </dataValidation>
    <dataValidation type="textLength" allowBlank="1" showInputMessage="1" showErrorMessage="1" errorTitle="Check this entry" error="Text up to 30 characters." promptTitle="Disposition" prompt="Text up to 30 characters." sqref="B37:B141">
      <formula1>0</formula1>
      <formula2>30</formula2>
    </dataValidation>
    <dataValidation type="textLength" allowBlank="1" showInputMessage="1" showErrorMessage="1" errorTitle="Check this entry" error="Text up to 120 characters." promptTitle="Meaning" prompt="Text up to 120 characters." sqref="C37:C141">
      <formula1>0</formula1>
      <formula2>120</formula2>
    </dataValidation>
  </dataValidations>
  <hyperlinks>
    <hyperlink ref="D2" r:id="rId1" tooltip="Free manufacturing calculators and templates"/>
  </hyperlinks>
  <pageMargins left="0.4" right="0.4" top="0.7" bottom="0.65" header="0.3" footer="0.3"/>
  <pageSetup fitToHeight="0" orientation="portrait"/>
  <headerFooter>
    <oddHeader>&amp;L&amp;8MFG Calcs - Supplier Quality PPM&amp;R&amp;8&amp;A</oddHeader>
    <oddFooter>&amp;L&amp;8mfgcalcs.com - free manufacturing templates&amp;R&amp;8Page &amp;P of &amp;N</oddFooter>
  </headerFooter>
  <rowBreaks count="1" manualBreakCount="1">
    <brk id="34"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R120"/>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2.28515625" customWidth="1"/>
    <col min="3" max="3" width="13.7109375" customWidth="1"/>
    <col min="4" max="4" width="19.7109375" customWidth="1"/>
    <col min="5" max="5" width="12.7109375" customWidth="1"/>
    <col min="6" max="7" width="10.28515625" customWidth="1"/>
    <col min="8" max="8" width="17.7109375" customWidth="1"/>
    <col min="9" max="9" width="18.7109375" customWidth="1"/>
    <col min="10" max="10" width="22.7109375" customWidth="1"/>
    <col min="11" max="11" width="9.28515625" customWidth="1"/>
    <col min="12" max="13" width="9.7109375" customWidth="1"/>
    <col min="14" max="14" width="10.7109375" customWidth="1"/>
    <col min="15" max="15" width="12.7109375" customWidth="1"/>
    <col min="16" max="16" width="12.28515625" customWidth="1"/>
    <col min="17" max="17" width="24.7109375" customWidth="1"/>
    <col min="18" max="18" width="34.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22</v>
      </c>
      <c r="C2" s="2"/>
      <c r="D2" s="2"/>
      <c r="E2" s="2"/>
      <c r="F2" s="2"/>
      <c r="G2" s="2"/>
      <c r="H2" s="2"/>
      <c r="I2" s="2"/>
      <c r="J2" s="2"/>
      <c r="K2" s="2"/>
      <c r="L2" s="2"/>
      <c r="M2" s="2"/>
      <c r="N2" s="2"/>
      <c r="O2" s="2"/>
      <c r="P2" s="2"/>
      <c r="Q2" s="2"/>
      <c r="R2" s="3" t="s">
        <v>2</v>
      </c>
    </row>
    <row r="3" spans="1:18" ht="6" customHeight="1"/>
    <row r="4" spans="1:18" ht="18" customHeight="1">
      <c r="B4" s="34" t="s">
        <v>131</v>
      </c>
      <c r="C4" s="34"/>
      <c r="D4" s="34"/>
      <c r="E4" s="34"/>
      <c r="F4" s="34"/>
      <c r="G4" s="34"/>
      <c r="H4" s="34"/>
      <c r="I4" s="34"/>
      <c r="J4" s="34"/>
      <c r="K4" s="34"/>
      <c r="L4" s="34"/>
      <c r="M4" s="34"/>
      <c r="N4" s="34"/>
      <c r="O4" s="34"/>
      <c r="P4" s="34"/>
      <c r="Q4" s="34"/>
      <c r="R4" s="34"/>
    </row>
    <row r="5" spans="1:18" ht="14" customHeight="1">
      <c r="B5" s="31"/>
      <c r="C5" s="31"/>
      <c r="D5" s="31"/>
      <c r="E5" s="31"/>
      <c r="F5" s="31" t="s">
        <v>132</v>
      </c>
      <c r="G5" s="31" t="s">
        <v>132</v>
      </c>
      <c r="H5" s="31"/>
      <c r="I5" s="31"/>
      <c r="J5" s="31"/>
      <c r="K5" s="31"/>
      <c r="L5" s="31" t="s">
        <v>73</v>
      </c>
      <c r="M5" s="31" t="s">
        <v>73</v>
      </c>
      <c r="N5" s="31" t="s">
        <v>73</v>
      </c>
      <c r="O5" s="31"/>
      <c r="P5" s="31"/>
      <c r="Q5" s="31"/>
      <c r="R5" s="31"/>
    </row>
    <row r="6" spans="1:18" ht="32" customHeight="1">
      <c r="B6" s="32" t="s">
        <v>118</v>
      </c>
      <c r="C6" s="32" t="s">
        <v>119</v>
      </c>
      <c r="D6" s="32" t="s">
        <v>62</v>
      </c>
      <c r="E6" s="32" t="s">
        <v>120</v>
      </c>
      <c r="F6" s="32" t="s">
        <v>121</v>
      </c>
      <c r="G6" s="32" t="s">
        <v>122</v>
      </c>
      <c r="H6" s="32" t="s">
        <v>123</v>
      </c>
      <c r="I6" s="32" t="s">
        <v>67</v>
      </c>
      <c r="J6" s="32" t="s">
        <v>124</v>
      </c>
      <c r="K6" s="32" t="s">
        <v>125</v>
      </c>
      <c r="L6" s="32" t="s">
        <v>73</v>
      </c>
      <c r="M6" s="32" t="s">
        <v>64</v>
      </c>
      <c r="N6" s="32" t="s">
        <v>126</v>
      </c>
      <c r="O6" s="32" t="s">
        <v>127</v>
      </c>
      <c r="P6" s="32" t="s">
        <v>128</v>
      </c>
      <c r="Q6" s="32" t="s">
        <v>129</v>
      </c>
      <c r="R6" s="32" t="s">
        <v>130</v>
      </c>
    </row>
    <row r="7" spans="1:18">
      <c r="B7" s="35">
        <v>46118</v>
      </c>
      <c r="C7" s="28" t="s">
        <v>133</v>
      </c>
      <c r="D7" s="28" t="s">
        <v>82</v>
      </c>
      <c r="E7" s="28" t="s">
        <v>134</v>
      </c>
      <c r="F7" s="29">
        <v>10000</v>
      </c>
      <c r="G7" s="29">
        <v>2</v>
      </c>
      <c r="H7" s="28" t="s">
        <v>95</v>
      </c>
      <c r="I7" s="28" t="s">
        <v>110</v>
      </c>
      <c r="J7" s="28" t="s">
        <v>135</v>
      </c>
      <c r="K7" s="36">
        <f>IF(tblReceipts[[#This Row],[Date]]="","",IF(tblReceipts[[#This Row],[Received]]&gt;0,tblReceipts[[#This Row],[Rejected]]/tblReceipts[[#This Row],[Received]],""))</f>
        <v>0.0002</v>
      </c>
      <c r="L7" s="37">
        <f>IF(tblReceipts[[#This Row],[Date]]="","",IF(tblReceipts[[#This Row],[Received]]&gt;0,tblReceipts[[#This Row],[Rejected]]/tblReceipts[[#This Row],[Received]]*1000000,""))</f>
        <v>200</v>
      </c>
      <c r="M7" s="37">
        <f>IF(tblReceipts[[#This Row],[Date]]="","",IFERROR(INDEX(tblSuppliers[PPM limit],MATCH(tblReceipts[[#This Row],[Supplier]],tblSuppliers[Supplier],0)),""))</f>
        <v>100</v>
      </c>
      <c r="N7" s="38">
        <f>IF(tblReceipts[[#This Row],[Date]]="","",IF(AND(ISNUMBER(tblReceipts[[#This Row],[PPM]]),ISNUMBER(tblReceipts[[#This Row],[PPM limit]])),tblReceipts[[#This Row],[PPM]]-tblReceipts[[#This Row],[PPM limit]],""))</f>
        <v>100</v>
      </c>
      <c r="O7" s="39" t="str">
        <f>IF(NOT(ISNUMBER(tblReceipts[[#This Row],[PPM]])),"",IF(tblReceipts[[#This Row],[PPM]]&lt;=tblReceipts[[#This Row],[PPM limit]],"On target",IF(tblReceipts[[#This Row],[PPM]]&lt;=tblReceipts[[#This Row],[PPM limit]]*(1+0.05),"Near target","Above target")))</f>
        <v>Above target</v>
      </c>
      <c r="P7" s="40">
        <f>IF(tblReceipts[[#This Row],[Date]]="","",IF(AND(tblReceipts[[#This Row],[Date]]&gt;=FFrom,tblReceipts[[#This Row],[Date]]&lt;=FTo,OR(DashSupplier="",tblReceipts[[#This Row],[Supplier]]=DashSupplier)),tblReceipts[[#This Row],[Date]],""))</f>
        <v>46118</v>
      </c>
      <c r="Q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 s="33" t="s">
        <v>136</v>
      </c>
    </row>
    <row r="8" spans="1:18">
      <c r="B8" s="35">
        <v>46119</v>
      </c>
      <c r="C8" s="28" t="s">
        <v>137</v>
      </c>
      <c r="D8" s="28" t="s">
        <v>78</v>
      </c>
      <c r="E8" s="28" t="s">
        <v>138</v>
      </c>
      <c r="F8" s="29">
        <v>260</v>
      </c>
      <c r="G8" s="29">
        <v>0</v>
      </c>
      <c r="H8" s="28" t="s">
        <v>136</v>
      </c>
      <c r="I8" s="28" t="s">
        <v>136</v>
      </c>
      <c r="J8" s="28" t="s">
        <v>136</v>
      </c>
      <c r="K8" s="36">
        <f>IF(tblReceipts[[#This Row],[Date]]="","",IF(tblReceipts[[#This Row],[Received]]&gt;0,tblReceipts[[#This Row],[Rejected]]/tblReceipts[[#This Row],[Received]],""))</f>
        <v>0</v>
      </c>
      <c r="L8" s="37">
        <f>IF(tblReceipts[[#This Row],[Date]]="","",IF(tblReceipts[[#This Row],[Received]]&gt;0,tblReceipts[[#This Row],[Rejected]]/tblReceipts[[#This Row],[Received]]*1000000,""))</f>
        <v>0</v>
      </c>
      <c r="M8" s="37">
        <f>IF(tblReceipts[[#This Row],[Date]]="","",IFERROR(INDEX(tblSuppliers[PPM limit],MATCH(tblReceipts[[#This Row],[Supplier]],tblSuppliers[Supplier],0)),""))</f>
        <v>1500</v>
      </c>
      <c r="N8" s="38">
        <f>IF(tblReceipts[[#This Row],[Date]]="","",IF(AND(ISNUMBER(tblReceipts[[#This Row],[PPM]]),ISNUMBER(tblReceipts[[#This Row],[PPM limit]])),tblReceipts[[#This Row],[PPM]]-tblReceipts[[#This Row],[PPM limit]],""))</f>
        <v>-1500</v>
      </c>
      <c r="O8" s="39" t="str">
        <f>IF(NOT(ISNUMBER(tblReceipts[[#This Row],[PPM]])),"",IF(tblReceipts[[#This Row],[PPM]]&lt;=tblReceipts[[#This Row],[PPM limit]],"On target",IF(tblReceipts[[#This Row],[PPM]]&lt;=tblReceipts[[#This Row],[PPM limit]]*(1+0.05),"Near target","Above target")))</f>
        <v>On target</v>
      </c>
      <c r="P8" s="40">
        <f>IF(tblReceipts[[#This Row],[Date]]="","",IF(AND(tblReceipts[[#This Row],[Date]]&gt;=FFrom,tblReceipts[[#This Row],[Date]]&lt;=FTo,OR(DashSupplier="",tblReceipts[[#This Row],[Supplier]]=DashSupplier)),tblReceipts[[#This Row],[Date]],""))</f>
        <v>46119</v>
      </c>
      <c r="Q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 s="33" t="s">
        <v>136</v>
      </c>
    </row>
    <row r="9" spans="1:18">
      <c r="B9" s="35">
        <v>46120</v>
      </c>
      <c r="C9" s="28" t="s">
        <v>139</v>
      </c>
      <c r="D9" s="28" t="s">
        <v>80</v>
      </c>
      <c r="E9" s="28" t="s">
        <v>140</v>
      </c>
      <c r="F9" s="29">
        <v>380</v>
      </c>
      <c r="G9" s="29">
        <v>0</v>
      </c>
      <c r="H9" s="28" t="s">
        <v>136</v>
      </c>
      <c r="I9" s="28" t="s">
        <v>136</v>
      </c>
      <c r="J9" s="28" t="s">
        <v>136</v>
      </c>
      <c r="K9" s="36">
        <f>IF(tblReceipts[[#This Row],[Date]]="","",IF(tblReceipts[[#This Row],[Received]]&gt;0,tblReceipts[[#This Row],[Rejected]]/tblReceipts[[#This Row],[Received]],""))</f>
        <v>0</v>
      </c>
      <c r="L9" s="37">
        <f>IF(tblReceipts[[#This Row],[Date]]="","",IF(tblReceipts[[#This Row],[Received]]&gt;0,tblReceipts[[#This Row],[Rejected]]/tblReceipts[[#This Row],[Received]]*1000000,""))</f>
        <v>0</v>
      </c>
      <c r="M9" s="37">
        <f>IF(tblReceipts[[#This Row],[Date]]="","",IFERROR(INDEX(tblSuppliers[PPM limit],MATCH(tblReceipts[[#This Row],[Supplier]],tblSuppliers[Supplier],0)),""))</f>
        <v>500</v>
      </c>
      <c r="N9" s="38">
        <f>IF(tblReceipts[[#This Row],[Date]]="","",IF(AND(ISNUMBER(tblReceipts[[#This Row],[PPM]]),ISNUMBER(tblReceipts[[#This Row],[PPM limit]])),tblReceipts[[#This Row],[PPM]]-tblReceipts[[#This Row],[PPM limit]],""))</f>
        <v>-500</v>
      </c>
      <c r="O9" s="39" t="str">
        <f>IF(NOT(ISNUMBER(tblReceipts[[#This Row],[PPM]])),"",IF(tblReceipts[[#This Row],[PPM]]&lt;=tblReceipts[[#This Row],[PPM limit]],"On target",IF(tblReceipts[[#This Row],[PPM]]&lt;=tblReceipts[[#This Row],[PPM limit]]*(1+0.05),"Near target","Above target")))</f>
        <v>On target</v>
      </c>
      <c r="P9" s="40">
        <f>IF(tblReceipts[[#This Row],[Date]]="","",IF(AND(tblReceipts[[#This Row],[Date]]&gt;=FFrom,tblReceipts[[#This Row],[Date]]&lt;=FTo,OR(DashSupplier="",tblReceipts[[#This Row],[Supplier]]=DashSupplier)),tblReceipts[[#This Row],[Date]],""))</f>
        <v>46120</v>
      </c>
      <c r="Q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 s="33" t="s">
        <v>136</v>
      </c>
    </row>
    <row r="10" spans="1:18">
      <c r="B10" s="35">
        <v>46120</v>
      </c>
      <c r="C10" s="28" t="s">
        <v>141</v>
      </c>
      <c r="D10" s="28" t="s">
        <v>88</v>
      </c>
      <c r="E10" s="28" t="s">
        <v>142</v>
      </c>
      <c r="F10" s="29">
        <v>500</v>
      </c>
      <c r="G10" s="29">
        <v>0</v>
      </c>
      <c r="H10" s="28" t="s">
        <v>136</v>
      </c>
      <c r="I10" s="28" t="s">
        <v>136</v>
      </c>
      <c r="J10" s="28" t="s">
        <v>136</v>
      </c>
      <c r="K10" s="36">
        <f>IF(tblReceipts[[#This Row],[Date]]="","",IF(tblReceipts[[#This Row],[Received]]&gt;0,tblReceipts[[#This Row],[Rejected]]/tblReceipts[[#This Row],[Received]],""))</f>
        <v>0</v>
      </c>
      <c r="L10" s="37">
        <f>IF(tblReceipts[[#This Row],[Date]]="","",IF(tblReceipts[[#This Row],[Received]]&gt;0,tblReceipts[[#This Row],[Rejected]]/tblReceipts[[#This Row],[Received]]*1000000,""))</f>
        <v>0</v>
      </c>
      <c r="M10" s="37">
        <f>IF(tblReceipts[[#This Row],[Date]]="","",IFERROR(INDEX(tblSuppliers[PPM limit],MATCH(tblReceipts[[#This Row],[Supplier]],tblSuppliers[Supplier],0)),""))</f>
        <v>300</v>
      </c>
      <c r="N10" s="38">
        <f>IF(tblReceipts[[#This Row],[Date]]="","",IF(AND(ISNUMBER(tblReceipts[[#This Row],[PPM]]),ISNUMBER(tblReceipts[[#This Row],[PPM limit]])),tblReceipts[[#This Row],[PPM]]-tblReceipts[[#This Row],[PPM limit]],""))</f>
        <v>-300</v>
      </c>
      <c r="O10" s="39" t="str">
        <f>IF(NOT(ISNUMBER(tblReceipts[[#This Row],[PPM]])),"",IF(tblReceipts[[#This Row],[PPM]]&lt;=tblReceipts[[#This Row],[PPM limit]],"On target",IF(tblReceipts[[#This Row],[PPM]]&lt;=tblReceipts[[#This Row],[PPM limit]]*(1+0.05),"Near target","Above target")))</f>
        <v>On target</v>
      </c>
      <c r="P10" s="40">
        <f>IF(tblReceipts[[#This Row],[Date]]="","",IF(AND(tblReceipts[[#This Row],[Date]]&gt;=FFrom,tblReceipts[[#This Row],[Date]]&lt;=FTo,OR(DashSupplier="",tblReceipts[[#This Row],[Supplier]]=DashSupplier)),tblReceipts[[#This Row],[Date]],""))</f>
        <v>46120</v>
      </c>
      <c r="Q1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 s="33" t="s">
        <v>136</v>
      </c>
    </row>
    <row r="11" spans="1:18">
      <c r="B11" s="35">
        <v>46121</v>
      </c>
      <c r="C11" s="28" t="s">
        <v>143</v>
      </c>
      <c r="D11" s="28" t="s">
        <v>84</v>
      </c>
      <c r="E11" s="28" t="s">
        <v>144</v>
      </c>
      <c r="F11" s="29">
        <v>7000</v>
      </c>
      <c r="G11" s="29">
        <v>0</v>
      </c>
      <c r="H11" s="28" t="s">
        <v>136</v>
      </c>
      <c r="I11" s="28" t="s">
        <v>136</v>
      </c>
      <c r="J11" s="28" t="s">
        <v>136</v>
      </c>
      <c r="K11" s="36">
        <f>IF(tblReceipts[[#This Row],[Date]]="","",IF(tblReceipts[[#This Row],[Received]]&gt;0,tblReceipts[[#This Row],[Rejected]]/tblReceipts[[#This Row],[Received]],""))</f>
        <v>0</v>
      </c>
      <c r="L11" s="37">
        <f>IF(tblReceipts[[#This Row],[Date]]="","",IF(tblReceipts[[#This Row],[Received]]&gt;0,tblReceipts[[#This Row],[Rejected]]/tblReceipts[[#This Row],[Received]]*1000000,""))</f>
        <v>0</v>
      </c>
      <c r="M11" s="37">
        <f>IF(tblReceipts[[#This Row],[Date]]="","",IFERROR(INDEX(tblSuppliers[PPM limit],MATCH(tblReceipts[[#This Row],[Supplier]],tblSuppliers[Supplier],0)),""))</f>
        <v>250</v>
      </c>
      <c r="N11" s="38">
        <f>IF(tblReceipts[[#This Row],[Date]]="","",IF(AND(ISNUMBER(tblReceipts[[#This Row],[PPM]]),ISNUMBER(tblReceipts[[#This Row],[PPM limit]])),tblReceipts[[#This Row],[PPM]]-tblReceipts[[#This Row],[PPM limit]],""))</f>
        <v>-250</v>
      </c>
      <c r="O11" s="39" t="str">
        <f>IF(NOT(ISNUMBER(tblReceipts[[#This Row],[PPM]])),"",IF(tblReceipts[[#This Row],[PPM]]&lt;=tblReceipts[[#This Row],[PPM limit]],"On target",IF(tblReceipts[[#This Row],[PPM]]&lt;=tblReceipts[[#This Row],[PPM limit]]*(1+0.05),"Near target","Above target")))</f>
        <v>On target</v>
      </c>
      <c r="P11" s="40">
        <f>IF(tblReceipts[[#This Row],[Date]]="","",IF(AND(tblReceipts[[#This Row],[Date]]&gt;=FFrom,tblReceipts[[#This Row],[Date]]&lt;=FTo,OR(DashSupplier="",tblReceipts[[#This Row],[Supplier]]=DashSupplier)),tblReceipts[[#This Row],[Date]],""))</f>
        <v>46121</v>
      </c>
      <c r="Q1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 s="33" t="s">
        <v>136</v>
      </c>
    </row>
    <row r="12" spans="1:18">
      <c r="B12" s="35">
        <v>46122</v>
      </c>
      <c r="C12" s="28" t="s">
        <v>145</v>
      </c>
      <c r="D12" s="28" t="s">
        <v>86</v>
      </c>
      <c r="E12" s="28" t="s">
        <v>146</v>
      </c>
      <c r="F12" s="29">
        <v>36</v>
      </c>
      <c r="G12" s="29">
        <v>0</v>
      </c>
      <c r="H12" s="28" t="s">
        <v>136</v>
      </c>
      <c r="I12" s="28" t="s">
        <v>136</v>
      </c>
      <c r="J12" s="28" t="s">
        <v>136</v>
      </c>
      <c r="K12" s="36">
        <f>IF(tblReceipts[[#This Row],[Date]]="","",IF(tblReceipts[[#This Row],[Received]]&gt;0,tblReceipts[[#This Row],[Rejected]]/tblReceipts[[#This Row],[Received]],""))</f>
        <v>0</v>
      </c>
      <c r="L12" s="37">
        <f>IF(tblReceipts[[#This Row],[Date]]="","",IF(tblReceipts[[#This Row],[Received]]&gt;0,tblReceipts[[#This Row],[Rejected]]/tblReceipts[[#This Row],[Received]]*1000000,""))</f>
        <v>0</v>
      </c>
      <c r="M12" s="37">
        <f>IF(tblReceipts[[#This Row],[Date]]="","",IFERROR(INDEX(tblSuppliers[PPM limit],MATCH(tblReceipts[[#This Row],[Supplier]],tblSuppliers[Supplier],0)),""))</f>
        <v>3000</v>
      </c>
      <c r="N12" s="38">
        <f>IF(tblReceipts[[#This Row],[Date]]="","",IF(AND(ISNUMBER(tblReceipts[[#This Row],[PPM]]),ISNUMBER(tblReceipts[[#This Row],[PPM limit]])),tblReceipts[[#This Row],[PPM]]-tblReceipts[[#This Row],[PPM limit]],""))</f>
        <v>-3000</v>
      </c>
      <c r="O12" s="39" t="str">
        <f>IF(NOT(ISNUMBER(tblReceipts[[#This Row],[PPM]])),"",IF(tblReceipts[[#This Row],[PPM]]&lt;=tblReceipts[[#This Row],[PPM limit]],"On target",IF(tblReceipts[[#This Row],[PPM]]&lt;=tblReceipts[[#This Row],[PPM limit]]*(1+0.05),"Near target","Above target")))</f>
        <v>On target</v>
      </c>
      <c r="P12" s="40">
        <f>IF(tblReceipts[[#This Row],[Date]]="","",IF(AND(tblReceipts[[#This Row],[Date]]&gt;=FFrom,tblReceipts[[#This Row],[Date]]&lt;=FTo,OR(DashSupplier="",tblReceipts[[#This Row],[Supplier]]=DashSupplier)),tblReceipts[[#This Row],[Date]],""))</f>
        <v>46122</v>
      </c>
      <c r="Q1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2" s="33" t="s">
        <v>136</v>
      </c>
    </row>
    <row r="13" spans="1:18">
      <c r="B13" s="35">
        <v>46126</v>
      </c>
      <c r="C13" s="28" t="s">
        <v>147</v>
      </c>
      <c r="D13" s="28" t="s">
        <v>78</v>
      </c>
      <c r="E13" s="28" t="s">
        <v>148</v>
      </c>
      <c r="F13" s="29">
        <v>220</v>
      </c>
      <c r="G13" s="29">
        <v>0</v>
      </c>
      <c r="H13" s="28" t="s">
        <v>136</v>
      </c>
      <c r="I13" s="28" t="s">
        <v>136</v>
      </c>
      <c r="J13" s="28" t="s">
        <v>136</v>
      </c>
      <c r="K13" s="36">
        <f>IF(tblReceipts[[#This Row],[Date]]="","",IF(tblReceipts[[#This Row],[Received]]&gt;0,tblReceipts[[#This Row],[Rejected]]/tblReceipts[[#This Row],[Received]],""))</f>
        <v>0</v>
      </c>
      <c r="L13" s="37">
        <f>IF(tblReceipts[[#This Row],[Date]]="","",IF(tblReceipts[[#This Row],[Received]]&gt;0,tblReceipts[[#This Row],[Rejected]]/tblReceipts[[#This Row],[Received]]*1000000,""))</f>
        <v>0</v>
      </c>
      <c r="M13" s="37">
        <f>IF(tblReceipts[[#This Row],[Date]]="","",IFERROR(INDEX(tblSuppliers[PPM limit],MATCH(tblReceipts[[#This Row],[Supplier]],tblSuppliers[Supplier],0)),""))</f>
        <v>1500</v>
      </c>
      <c r="N13" s="38">
        <f>IF(tblReceipts[[#This Row],[Date]]="","",IF(AND(ISNUMBER(tblReceipts[[#This Row],[PPM]]),ISNUMBER(tblReceipts[[#This Row],[PPM limit]])),tblReceipts[[#This Row],[PPM]]-tblReceipts[[#This Row],[PPM limit]],""))</f>
        <v>-1500</v>
      </c>
      <c r="O13" s="39" t="str">
        <f>IF(NOT(ISNUMBER(tblReceipts[[#This Row],[PPM]])),"",IF(tblReceipts[[#This Row],[PPM]]&lt;=tblReceipts[[#This Row],[PPM limit]],"On target",IF(tblReceipts[[#This Row],[PPM]]&lt;=tblReceipts[[#This Row],[PPM limit]]*(1+0.05),"Near target","Above target")))</f>
        <v>On target</v>
      </c>
      <c r="P13" s="40">
        <f>IF(tblReceipts[[#This Row],[Date]]="","",IF(AND(tblReceipts[[#This Row],[Date]]&gt;=FFrom,tblReceipts[[#This Row],[Date]]&lt;=FTo,OR(DashSupplier="",tblReceipts[[#This Row],[Supplier]]=DashSupplier)),tblReceipts[[#This Row],[Date]],""))</f>
        <v>46126</v>
      </c>
      <c r="Q1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3" s="33" t="s">
        <v>136</v>
      </c>
    </row>
    <row r="14" spans="1:18">
      <c r="B14" s="35">
        <v>46127</v>
      </c>
      <c r="C14" s="28" t="s">
        <v>149</v>
      </c>
      <c r="D14" s="28" t="s">
        <v>80</v>
      </c>
      <c r="E14" s="28" t="s">
        <v>150</v>
      </c>
      <c r="F14" s="29">
        <v>400</v>
      </c>
      <c r="G14" s="29">
        <v>0</v>
      </c>
      <c r="H14" s="28" t="s">
        <v>136</v>
      </c>
      <c r="I14" s="28" t="s">
        <v>136</v>
      </c>
      <c r="J14" s="28" t="s">
        <v>136</v>
      </c>
      <c r="K14" s="36">
        <f>IF(tblReceipts[[#This Row],[Date]]="","",IF(tblReceipts[[#This Row],[Received]]&gt;0,tblReceipts[[#This Row],[Rejected]]/tblReceipts[[#This Row],[Received]],""))</f>
        <v>0</v>
      </c>
      <c r="L14" s="37">
        <f>IF(tblReceipts[[#This Row],[Date]]="","",IF(tblReceipts[[#This Row],[Received]]&gt;0,tblReceipts[[#This Row],[Rejected]]/tblReceipts[[#This Row],[Received]]*1000000,""))</f>
        <v>0</v>
      </c>
      <c r="M14" s="37">
        <f>IF(tblReceipts[[#This Row],[Date]]="","",IFERROR(INDEX(tblSuppliers[PPM limit],MATCH(tblReceipts[[#This Row],[Supplier]],tblSuppliers[Supplier],0)),""))</f>
        <v>500</v>
      </c>
      <c r="N14" s="38">
        <f>IF(tblReceipts[[#This Row],[Date]]="","",IF(AND(ISNUMBER(tblReceipts[[#This Row],[PPM]]),ISNUMBER(tblReceipts[[#This Row],[PPM limit]])),tblReceipts[[#This Row],[PPM]]-tblReceipts[[#This Row],[PPM limit]],""))</f>
        <v>-500</v>
      </c>
      <c r="O14" s="39" t="str">
        <f>IF(NOT(ISNUMBER(tblReceipts[[#This Row],[PPM]])),"",IF(tblReceipts[[#This Row],[PPM]]&lt;=tblReceipts[[#This Row],[PPM limit]],"On target",IF(tblReceipts[[#This Row],[PPM]]&lt;=tblReceipts[[#This Row],[PPM limit]]*(1+0.05),"Near target","Above target")))</f>
        <v>On target</v>
      </c>
      <c r="P14" s="40">
        <f>IF(tblReceipts[[#This Row],[Date]]="","",IF(AND(tblReceipts[[#This Row],[Date]]&gt;=FFrom,tblReceipts[[#This Row],[Date]]&lt;=FTo,OR(DashSupplier="",tblReceipts[[#This Row],[Supplier]]=DashSupplier)),tblReceipts[[#This Row],[Date]],""))</f>
        <v>46127</v>
      </c>
      <c r="Q1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4" s="33" t="s">
        <v>136</v>
      </c>
    </row>
    <row r="15" spans="1:18">
      <c r="B15" s="35">
        <v>46129</v>
      </c>
      <c r="C15" s="28" t="s">
        <v>151</v>
      </c>
      <c r="D15" s="28" t="s">
        <v>86</v>
      </c>
      <c r="E15" s="28" t="s">
        <v>146</v>
      </c>
      <c r="F15" s="29">
        <v>66</v>
      </c>
      <c r="G15" s="29">
        <v>0</v>
      </c>
      <c r="H15" s="28" t="s">
        <v>136</v>
      </c>
      <c r="I15" s="28" t="s">
        <v>136</v>
      </c>
      <c r="J15" s="28" t="s">
        <v>136</v>
      </c>
      <c r="K15" s="36">
        <f>IF(tblReceipts[[#This Row],[Date]]="","",IF(tblReceipts[[#This Row],[Received]]&gt;0,tblReceipts[[#This Row],[Rejected]]/tblReceipts[[#This Row],[Received]],""))</f>
        <v>0</v>
      </c>
      <c r="L15" s="37">
        <f>IF(tblReceipts[[#This Row],[Date]]="","",IF(tblReceipts[[#This Row],[Received]]&gt;0,tblReceipts[[#This Row],[Rejected]]/tblReceipts[[#This Row],[Received]]*1000000,""))</f>
        <v>0</v>
      </c>
      <c r="M15" s="37">
        <f>IF(tblReceipts[[#This Row],[Date]]="","",IFERROR(INDEX(tblSuppliers[PPM limit],MATCH(tblReceipts[[#This Row],[Supplier]],tblSuppliers[Supplier],0)),""))</f>
        <v>3000</v>
      </c>
      <c r="N15" s="38">
        <f>IF(tblReceipts[[#This Row],[Date]]="","",IF(AND(ISNUMBER(tblReceipts[[#This Row],[PPM]]),ISNUMBER(tblReceipts[[#This Row],[PPM limit]])),tblReceipts[[#This Row],[PPM]]-tblReceipts[[#This Row],[PPM limit]],""))</f>
        <v>-3000</v>
      </c>
      <c r="O15" s="39" t="str">
        <f>IF(NOT(ISNUMBER(tblReceipts[[#This Row],[PPM]])),"",IF(tblReceipts[[#This Row],[PPM]]&lt;=tblReceipts[[#This Row],[PPM limit]],"On target",IF(tblReceipts[[#This Row],[PPM]]&lt;=tblReceipts[[#This Row],[PPM limit]]*(1+0.05),"Near target","Above target")))</f>
        <v>On target</v>
      </c>
      <c r="P15" s="40">
        <f>IF(tblReceipts[[#This Row],[Date]]="","",IF(AND(tblReceipts[[#This Row],[Date]]&gt;=FFrom,tblReceipts[[#This Row],[Date]]&lt;=FTo,OR(DashSupplier="",tblReceipts[[#This Row],[Supplier]]=DashSupplier)),tblReceipts[[#This Row],[Date]],""))</f>
        <v>46129</v>
      </c>
      <c r="Q1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5" s="33" t="s">
        <v>136</v>
      </c>
    </row>
    <row r="16" spans="1:18">
      <c r="B16" s="35">
        <v>46132</v>
      </c>
      <c r="C16" s="28" t="s">
        <v>152</v>
      </c>
      <c r="D16" s="28" t="s">
        <v>82</v>
      </c>
      <c r="E16" s="28" t="s">
        <v>153</v>
      </c>
      <c r="F16" s="29">
        <v>24000</v>
      </c>
      <c r="G16" s="29">
        <v>1</v>
      </c>
      <c r="H16" s="28" t="s">
        <v>91</v>
      </c>
      <c r="I16" s="28" t="s">
        <v>110</v>
      </c>
      <c r="J16" s="28" t="s">
        <v>154</v>
      </c>
      <c r="K16" s="36">
        <f>IF(tblReceipts[[#This Row],[Date]]="","",IF(tblReceipts[[#This Row],[Received]]&gt;0,tblReceipts[[#This Row],[Rejected]]/tblReceipts[[#This Row],[Received]],""))</f>
        <v>4.16666666666667e-05</v>
      </c>
      <c r="L16" s="37">
        <f>IF(tblReceipts[[#This Row],[Date]]="","",IF(tblReceipts[[#This Row],[Received]]&gt;0,tblReceipts[[#This Row],[Rejected]]/tblReceipts[[#This Row],[Received]]*1000000,""))</f>
        <v>41.6666666666667</v>
      </c>
      <c r="M16" s="37">
        <f>IF(tblReceipts[[#This Row],[Date]]="","",IFERROR(INDEX(tblSuppliers[PPM limit],MATCH(tblReceipts[[#This Row],[Supplier]],tblSuppliers[Supplier],0)),""))</f>
        <v>100</v>
      </c>
      <c r="N16" s="38">
        <f>IF(tblReceipts[[#This Row],[Date]]="","",IF(AND(ISNUMBER(tblReceipts[[#This Row],[PPM]]),ISNUMBER(tblReceipts[[#This Row],[PPM limit]])),tblReceipts[[#This Row],[PPM]]-tblReceipts[[#This Row],[PPM limit]],""))</f>
        <v>-58.3333333333333</v>
      </c>
      <c r="O16" s="39" t="str">
        <f>IF(NOT(ISNUMBER(tblReceipts[[#This Row],[PPM]])),"",IF(tblReceipts[[#This Row],[PPM]]&lt;=tblReceipts[[#This Row],[PPM limit]],"On target",IF(tblReceipts[[#This Row],[PPM]]&lt;=tblReceipts[[#This Row],[PPM limit]]*(1+0.05),"Near target","Above target")))</f>
        <v>On target</v>
      </c>
      <c r="P16" s="40">
        <f>IF(tblReceipts[[#This Row],[Date]]="","",IF(AND(tblReceipts[[#This Row],[Date]]&gt;=FFrom,tblReceipts[[#This Row],[Date]]&lt;=FTo,OR(DashSupplier="",tblReceipts[[#This Row],[Supplier]]=DashSupplier)),tblReceipts[[#This Row],[Date]],""))</f>
        <v>46132</v>
      </c>
      <c r="Q1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6" s="33" t="s">
        <v>136</v>
      </c>
    </row>
    <row r="17" spans="2:18">
      <c r="B17" s="35">
        <v>46133</v>
      </c>
      <c r="C17" s="28" t="s">
        <v>155</v>
      </c>
      <c r="D17" s="28" t="s">
        <v>78</v>
      </c>
      <c r="E17" s="28" t="s">
        <v>138</v>
      </c>
      <c r="F17" s="29">
        <v>270</v>
      </c>
      <c r="G17" s="29">
        <v>0</v>
      </c>
      <c r="H17" s="28" t="s">
        <v>136</v>
      </c>
      <c r="I17" s="28" t="s">
        <v>136</v>
      </c>
      <c r="J17" s="28" t="s">
        <v>136</v>
      </c>
      <c r="K17" s="36">
        <f>IF(tblReceipts[[#This Row],[Date]]="","",IF(tblReceipts[[#This Row],[Received]]&gt;0,tblReceipts[[#This Row],[Rejected]]/tblReceipts[[#This Row],[Received]],""))</f>
        <v>0</v>
      </c>
      <c r="L17" s="37">
        <f>IF(tblReceipts[[#This Row],[Date]]="","",IF(tblReceipts[[#This Row],[Received]]&gt;0,tblReceipts[[#This Row],[Rejected]]/tblReceipts[[#This Row],[Received]]*1000000,""))</f>
        <v>0</v>
      </c>
      <c r="M17" s="37">
        <f>IF(tblReceipts[[#This Row],[Date]]="","",IFERROR(INDEX(tblSuppliers[PPM limit],MATCH(tblReceipts[[#This Row],[Supplier]],tblSuppliers[Supplier],0)),""))</f>
        <v>1500</v>
      </c>
      <c r="N17" s="38">
        <f>IF(tblReceipts[[#This Row],[Date]]="","",IF(AND(ISNUMBER(tblReceipts[[#This Row],[PPM]]),ISNUMBER(tblReceipts[[#This Row],[PPM limit]])),tblReceipts[[#This Row],[PPM]]-tblReceipts[[#This Row],[PPM limit]],""))</f>
        <v>-1500</v>
      </c>
      <c r="O17" s="39" t="str">
        <f>IF(NOT(ISNUMBER(tblReceipts[[#This Row],[PPM]])),"",IF(tblReceipts[[#This Row],[PPM]]&lt;=tblReceipts[[#This Row],[PPM limit]],"On target",IF(tblReceipts[[#This Row],[PPM]]&lt;=tblReceipts[[#This Row],[PPM limit]]*(1+0.05),"Near target","Above target")))</f>
        <v>On target</v>
      </c>
      <c r="P17" s="40">
        <f>IF(tblReceipts[[#This Row],[Date]]="","",IF(AND(tblReceipts[[#This Row],[Date]]&gt;=FFrom,tblReceipts[[#This Row],[Date]]&lt;=FTo,OR(DashSupplier="",tblReceipts[[#This Row],[Supplier]]=DashSupplier)),tblReceipts[[#This Row],[Date]],""))</f>
        <v>46133</v>
      </c>
      <c r="Q1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7" s="33" t="s">
        <v>136</v>
      </c>
    </row>
    <row r="18" spans="2:18">
      <c r="B18" s="35">
        <v>46134</v>
      </c>
      <c r="C18" s="28" t="s">
        <v>156</v>
      </c>
      <c r="D18" s="28" t="s">
        <v>80</v>
      </c>
      <c r="E18" s="28" t="s">
        <v>140</v>
      </c>
      <c r="F18" s="29">
        <v>380</v>
      </c>
      <c r="G18" s="29">
        <v>0</v>
      </c>
      <c r="H18" s="28" t="s">
        <v>136</v>
      </c>
      <c r="I18" s="28" t="s">
        <v>136</v>
      </c>
      <c r="J18" s="28" t="s">
        <v>136</v>
      </c>
      <c r="K18" s="36">
        <f>IF(tblReceipts[[#This Row],[Date]]="","",IF(tblReceipts[[#This Row],[Received]]&gt;0,tblReceipts[[#This Row],[Rejected]]/tblReceipts[[#This Row],[Received]],""))</f>
        <v>0</v>
      </c>
      <c r="L18" s="37">
        <f>IF(tblReceipts[[#This Row],[Date]]="","",IF(tblReceipts[[#This Row],[Received]]&gt;0,tblReceipts[[#This Row],[Rejected]]/tblReceipts[[#This Row],[Received]]*1000000,""))</f>
        <v>0</v>
      </c>
      <c r="M18" s="37">
        <f>IF(tblReceipts[[#This Row],[Date]]="","",IFERROR(INDEX(tblSuppliers[PPM limit],MATCH(tblReceipts[[#This Row],[Supplier]],tblSuppliers[Supplier],0)),""))</f>
        <v>500</v>
      </c>
      <c r="N18" s="38">
        <f>IF(tblReceipts[[#This Row],[Date]]="","",IF(AND(ISNUMBER(tblReceipts[[#This Row],[PPM]]),ISNUMBER(tblReceipts[[#This Row],[PPM limit]])),tblReceipts[[#This Row],[PPM]]-tblReceipts[[#This Row],[PPM limit]],""))</f>
        <v>-500</v>
      </c>
      <c r="O18" s="39" t="str">
        <f>IF(NOT(ISNUMBER(tblReceipts[[#This Row],[PPM]])),"",IF(tblReceipts[[#This Row],[PPM]]&lt;=tblReceipts[[#This Row],[PPM limit]],"On target",IF(tblReceipts[[#This Row],[PPM]]&lt;=tblReceipts[[#This Row],[PPM limit]]*(1+0.05),"Near target","Above target")))</f>
        <v>On target</v>
      </c>
      <c r="P18" s="40">
        <f>IF(tblReceipts[[#This Row],[Date]]="","",IF(AND(tblReceipts[[#This Row],[Date]]&gt;=FFrom,tblReceipts[[#This Row],[Date]]&lt;=FTo,OR(DashSupplier="",tblReceipts[[#This Row],[Supplier]]=DashSupplier)),tblReceipts[[#This Row],[Date]],""))</f>
        <v>46134</v>
      </c>
      <c r="Q1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8" s="33" t="s">
        <v>136</v>
      </c>
    </row>
    <row r="19" spans="2:18">
      <c r="B19" s="35">
        <v>46134</v>
      </c>
      <c r="C19" s="28" t="s">
        <v>157</v>
      </c>
      <c r="D19" s="28" t="s">
        <v>88</v>
      </c>
      <c r="E19" s="28" t="s">
        <v>142</v>
      </c>
      <c r="F19" s="29">
        <v>650</v>
      </c>
      <c r="G19" s="29">
        <v>0</v>
      </c>
      <c r="H19" s="28" t="s">
        <v>136</v>
      </c>
      <c r="I19" s="28" t="s">
        <v>136</v>
      </c>
      <c r="J19" s="28" t="s">
        <v>136</v>
      </c>
      <c r="K19" s="36">
        <f>IF(tblReceipts[[#This Row],[Date]]="","",IF(tblReceipts[[#This Row],[Received]]&gt;0,tblReceipts[[#This Row],[Rejected]]/tblReceipts[[#This Row],[Received]],""))</f>
        <v>0</v>
      </c>
      <c r="L19" s="37">
        <f>IF(tblReceipts[[#This Row],[Date]]="","",IF(tblReceipts[[#This Row],[Received]]&gt;0,tblReceipts[[#This Row],[Rejected]]/tblReceipts[[#This Row],[Received]]*1000000,""))</f>
        <v>0</v>
      </c>
      <c r="M19" s="37">
        <f>IF(tblReceipts[[#This Row],[Date]]="","",IFERROR(INDEX(tblSuppliers[PPM limit],MATCH(tblReceipts[[#This Row],[Supplier]],tblSuppliers[Supplier],0)),""))</f>
        <v>300</v>
      </c>
      <c r="N19" s="38">
        <f>IF(tblReceipts[[#This Row],[Date]]="","",IF(AND(ISNUMBER(tblReceipts[[#This Row],[PPM]]),ISNUMBER(tblReceipts[[#This Row],[PPM limit]])),tblReceipts[[#This Row],[PPM]]-tblReceipts[[#This Row],[PPM limit]],""))</f>
        <v>-300</v>
      </c>
      <c r="O19" s="39" t="str">
        <f>IF(NOT(ISNUMBER(tblReceipts[[#This Row],[PPM]])),"",IF(tblReceipts[[#This Row],[PPM]]&lt;=tblReceipts[[#This Row],[PPM limit]],"On target",IF(tblReceipts[[#This Row],[PPM]]&lt;=tblReceipts[[#This Row],[PPM limit]]*(1+0.05),"Near target","Above target")))</f>
        <v>On target</v>
      </c>
      <c r="P19" s="40">
        <f>IF(tblReceipts[[#This Row],[Date]]="","",IF(AND(tblReceipts[[#This Row],[Date]]&gt;=FFrom,tblReceipts[[#This Row],[Date]]&lt;=FTo,OR(DashSupplier="",tblReceipts[[#This Row],[Supplier]]=DashSupplier)),tblReceipts[[#This Row],[Date]],""))</f>
        <v>46134</v>
      </c>
      <c r="Q1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9" s="33" t="s">
        <v>136</v>
      </c>
    </row>
    <row r="20" spans="2:18">
      <c r="B20" s="35">
        <v>46135</v>
      </c>
      <c r="C20" s="28" t="s">
        <v>158</v>
      </c>
      <c r="D20" s="28" t="s">
        <v>84</v>
      </c>
      <c r="E20" s="28" t="s">
        <v>159</v>
      </c>
      <c r="F20" s="29">
        <v>4000</v>
      </c>
      <c r="G20" s="29">
        <v>2</v>
      </c>
      <c r="H20" s="28" t="s">
        <v>95</v>
      </c>
      <c r="I20" s="28" t="s">
        <v>108</v>
      </c>
      <c r="J20" s="28" t="s">
        <v>160</v>
      </c>
      <c r="K20" s="36">
        <f>IF(tblReceipts[[#This Row],[Date]]="","",IF(tblReceipts[[#This Row],[Received]]&gt;0,tblReceipts[[#This Row],[Rejected]]/tblReceipts[[#This Row],[Received]],""))</f>
        <v>0.0005</v>
      </c>
      <c r="L20" s="37">
        <f>IF(tblReceipts[[#This Row],[Date]]="","",IF(tblReceipts[[#This Row],[Received]]&gt;0,tblReceipts[[#This Row],[Rejected]]/tblReceipts[[#This Row],[Received]]*1000000,""))</f>
        <v>500</v>
      </c>
      <c r="M20" s="37">
        <f>IF(tblReceipts[[#This Row],[Date]]="","",IFERROR(INDEX(tblSuppliers[PPM limit],MATCH(tblReceipts[[#This Row],[Supplier]],tblSuppliers[Supplier],0)),""))</f>
        <v>250</v>
      </c>
      <c r="N20" s="38">
        <f>IF(tblReceipts[[#This Row],[Date]]="","",IF(AND(ISNUMBER(tblReceipts[[#This Row],[PPM]]),ISNUMBER(tblReceipts[[#This Row],[PPM limit]])),tblReceipts[[#This Row],[PPM]]-tblReceipts[[#This Row],[PPM limit]],""))</f>
        <v>250</v>
      </c>
      <c r="O20" s="39" t="str">
        <f>IF(NOT(ISNUMBER(tblReceipts[[#This Row],[PPM]])),"",IF(tblReceipts[[#This Row],[PPM]]&lt;=tblReceipts[[#This Row],[PPM limit]],"On target",IF(tblReceipts[[#This Row],[PPM]]&lt;=tblReceipts[[#This Row],[PPM limit]]*(1+0.05),"Near target","Above target")))</f>
        <v>Above target</v>
      </c>
      <c r="P20" s="40">
        <f>IF(tblReceipts[[#This Row],[Date]]="","",IF(AND(tblReceipts[[#This Row],[Date]]&gt;=FFrom,tblReceipts[[#This Row],[Date]]&lt;=FTo,OR(DashSupplier="",tblReceipts[[#This Row],[Supplier]]=DashSupplier)),tblReceipts[[#This Row],[Date]],""))</f>
        <v>46135</v>
      </c>
      <c r="Q2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0" s="33" t="s">
        <v>136</v>
      </c>
    </row>
    <row r="21" spans="2:18">
      <c r="B21" s="35">
        <v>46136</v>
      </c>
      <c r="C21" s="28" t="s">
        <v>161</v>
      </c>
      <c r="D21" s="28" t="s">
        <v>86</v>
      </c>
      <c r="E21" s="28" t="s">
        <v>146</v>
      </c>
      <c r="F21" s="29">
        <v>36</v>
      </c>
      <c r="G21" s="29">
        <v>1</v>
      </c>
      <c r="H21" s="28" t="s">
        <v>101</v>
      </c>
      <c r="I21" s="28" t="s">
        <v>108</v>
      </c>
      <c r="J21" s="28" t="s">
        <v>162</v>
      </c>
      <c r="K21" s="36">
        <f>IF(tblReceipts[[#This Row],[Date]]="","",IF(tblReceipts[[#This Row],[Received]]&gt;0,tblReceipts[[#This Row],[Rejected]]/tblReceipts[[#This Row],[Received]],""))</f>
        <v>0.0277777777777778</v>
      </c>
      <c r="L21" s="37">
        <f>IF(tblReceipts[[#This Row],[Date]]="","",IF(tblReceipts[[#This Row],[Received]]&gt;0,tblReceipts[[#This Row],[Rejected]]/tblReceipts[[#This Row],[Received]]*1000000,""))</f>
        <v>27777.7777777778</v>
      </c>
      <c r="M21" s="37">
        <f>IF(tblReceipts[[#This Row],[Date]]="","",IFERROR(INDEX(tblSuppliers[PPM limit],MATCH(tblReceipts[[#This Row],[Supplier]],tblSuppliers[Supplier],0)),""))</f>
        <v>3000</v>
      </c>
      <c r="N21" s="38">
        <f>IF(tblReceipts[[#This Row],[Date]]="","",IF(AND(ISNUMBER(tblReceipts[[#This Row],[PPM]]),ISNUMBER(tblReceipts[[#This Row],[PPM limit]])),tblReceipts[[#This Row],[PPM]]-tblReceipts[[#This Row],[PPM limit]],""))</f>
        <v>24777.7777777778</v>
      </c>
      <c r="O21" s="39" t="str">
        <f>IF(NOT(ISNUMBER(tblReceipts[[#This Row],[PPM]])),"",IF(tblReceipts[[#This Row],[PPM]]&lt;=tblReceipts[[#This Row],[PPM limit]],"On target",IF(tblReceipts[[#This Row],[PPM]]&lt;=tblReceipts[[#This Row],[PPM limit]]*(1+0.05),"Near target","Above target")))</f>
        <v>Above target</v>
      </c>
      <c r="P21" s="40">
        <f>IF(tblReceipts[[#This Row],[Date]]="","",IF(AND(tblReceipts[[#This Row],[Date]]&gt;=FFrom,tblReceipts[[#This Row],[Date]]&lt;=FTo,OR(DashSupplier="",tblReceipts[[#This Row],[Supplier]]=DashSupplier)),tblReceipts[[#This Row],[Date]],""))</f>
        <v>46136</v>
      </c>
      <c r="Q2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1" s="33" t="s">
        <v>136</v>
      </c>
    </row>
    <row r="22" spans="2:18">
      <c r="B22" s="35">
        <v>46140</v>
      </c>
      <c r="C22" s="28" t="s">
        <v>163</v>
      </c>
      <c r="D22" s="28" t="s">
        <v>78</v>
      </c>
      <c r="E22" s="28" t="s">
        <v>148</v>
      </c>
      <c r="F22" s="29">
        <v>180</v>
      </c>
      <c r="G22" s="29">
        <v>0</v>
      </c>
      <c r="H22" s="28" t="s">
        <v>136</v>
      </c>
      <c r="I22" s="28" t="s">
        <v>136</v>
      </c>
      <c r="J22" s="28" t="s">
        <v>136</v>
      </c>
      <c r="K22" s="36">
        <f>IF(tblReceipts[[#This Row],[Date]]="","",IF(tblReceipts[[#This Row],[Received]]&gt;0,tblReceipts[[#This Row],[Rejected]]/tblReceipts[[#This Row],[Received]],""))</f>
        <v>0</v>
      </c>
      <c r="L22" s="37">
        <f>IF(tblReceipts[[#This Row],[Date]]="","",IF(tblReceipts[[#This Row],[Received]]&gt;0,tblReceipts[[#This Row],[Rejected]]/tblReceipts[[#This Row],[Received]]*1000000,""))</f>
        <v>0</v>
      </c>
      <c r="M22" s="37">
        <f>IF(tblReceipts[[#This Row],[Date]]="","",IFERROR(INDEX(tblSuppliers[PPM limit],MATCH(tblReceipts[[#This Row],[Supplier]],tblSuppliers[Supplier],0)),""))</f>
        <v>1500</v>
      </c>
      <c r="N22" s="38">
        <f>IF(tblReceipts[[#This Row],[Date]]="","",IF(AND(ISNUMBER(tblReceipts[[#This Row],[PPM]]),ISNUMBER(tblReceipts[[#This Row],[PPM limit]])),tblReceipts[[#This Row],[PPM]]-tblReceipts[[#This Row],[PPM limit]],""))</f>
        <v>-1500</v>
      </c>
      <c r="O22" s="39" t="str">
        <f>IF(NOT(ISNUMBER(tblReceipts[[#This Row],[PPM]])),"",IF(tblReceipts[[#This Row],[PPM]]&lt;=tblReceipts[[#This Row],[PPM limit]],"On target",IF(tblReceipts[[#This Row],[PPM]]&lt;=tblReceipts[[#This Row],[PPM limit]]*(1+0.05),"Near target","Above target")))</f>
        <v>On target</v>
      </c>
      <c r="P22" s="40">
        <f>IF(tblReceipts[[#This Row],[Date]]="","",IF(AND(tblReceipts[[#This Row],[Date]]&gt;=FFrom,tblReceipts[[#This Row],[Date]]&lt;=FTo,OR(DashSupplier="",tblReceipts[[#This Row],[Supplier]]=DashSupplier)),tblReceipts[[#This Row],[Date]],""))</f>
        <v>46140</v>
      </c>
      <c r="Q2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2" s="33" t="s">
        <v>136</v>
      </c>
    </row>
    <row r="23" spans="2:18">
      <c r="B23" s="35">
        <v>46141</v>
      </c>
      <c r="C23" s="28" t="s">
        <v>164</v>
      </c>
      <c r="D23" s="28" t="s">
        <v>80</v>
      </c>
      <c r="E23" s="28" t="s">
        <v>150</v>
      </c>
      <c r="F23" s="29">
        <v>240</v>
      </c>
      <c r="G23" s="29">
        <v>0</v>
      </c>
      <c r="H23" s="28" t="s">
        <v>136</v>
      </c>
      <c r="I23" s="28" t="s">
        <v>136</v>
      </c>
      <c r="J23" s="28" t="s">
        <v>136</v>
      </c>
      <c r="K23" s="36">
        <f>IF(tblReceipts[[#This Row],[Date]]="","",IF(tblReceipts[[#This Row],[Received]]&gt;0,tblReceipts[[#This Row],[Rejected]]/tblReceipts[[#This Row],[Received]],""))</f>
        <v>0</v>
      </c>
      <c r="L23" s="37">
        <f>IF(tblReceipts[[#This Row],[Date]]="","",IF(tblReceipts[[#This Row],[Received]]&gt;0,tblReceipts[[#This Row],[Rejected]]/tblReceipts[[#This Row],[Received]]*1000000,""))</f>
        <v>0</v>
      </c>
      <c r="M23" s="37">
        <f>IF(tblReceipts[[#This Row],[Date]]="","",IFERROR(INDEX(tblSuppliers[PPM limit],MATCH(tblReceipts[[#This Row],[Supplier]],tblSuppliers[Supplier],0)),""))</f>
        <v>500</v>
      </c>
      <c r="N23" s="38">
        <f>IF(tblReceipts[[#This Row],[Date]]="","",IF(AND(ISNUMBER(tblReceipts[[#This Row],[PPM]]),ISNUMBER(tblReceipts[[#This Row],[PPM limit]])),tblReceipts[[#This Row],[PPM]]-tblReceipts[[#This Row],[PPM limit]],""))</f>
        <v>-500</v>
      </c>
      <c r="O23" s="39" t="str">
        <f>IF(NOT(ISNUMBER(tblReceipts[[#This Row],[PPM]])),"",IF(tblReceipts[[#This Row],[PPM]]&lt;=tblReceipts[[#This Row],[PPM limit]],"On target",IF(tblReceipts[[#This Row],[PPM]]&lt;=tblReceipts[[#This Row],[PPM limit]]*(1+0.05),"Near target","Above target")))</f>
        <v>On target</v>
      </c>
      <c r="P23" s="40">
        <f>IF(tblReceipts[[#This Row],[Date]]="","",IF(AND(tblReceipts[[#This Row],[Date]]&gt;=FFrom,tblReceipts[[#This Row],[Date]]&lt;=FTo,OR(DashSupplier="",tblReceipts[[#This Row],[Supplier]]=DashSupplier)),tblReceipts[[#This Row],[Date]],""))</f>
        <v>46141</v>
      </c>
      <c r="Q2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3" s="33" t="s">
        <v>136</v>
      </c>
    </row>
    <row r="24" spans="2:18">
      <c r="B24" s="35">
        <v>46143</v>
      </c>
      <c r="C24" s="28" t="s">
        <v>165</v>
      </c>
      <c r="D24" s="28" t="s">
        <v>86</v>
      </c>
      <c r="E24" s="28" t="s">
        <v>146</v>
      </c>
      <c r="F24" s="29">
        <v>66</v>
      </c>
      <c r="G24" s="29">
        <v>0</v>
      </c>
      <c r="H24" s="28" t="s">
        <v>136</v>
      </c>
      <c r="I24" s="28" t="s">
        <v>136</v>
      </c>
      <c r="J24" s="28" t="s">
        <v>136</v>
      </c>
      <c r="K24" s="36">
        <f>IF(tblReceipts[[#This Row],[Date]]="","",IF(tblReceipts[[#This Row],[Received]]&gt;0,tblReceipts[[#This Row],[Rejected]]/tblReceipts[[#This Row],[Received]],""))</f>
        <v>0</v>
      </c>
      <c r="L24" s="37">
        <f>IF(tblReceipts[[#This Row],[Date]]="","",IF(tblReceipts[[#This Row],[Received]]&gt;0,tblReceipts[[#This Row],[Rejected]]/tblReceipts[[#This Row],[Received]]*1000000,""))</f>
        <v>0</v>
      </c>
      <c r="M24" s="37">
        <f>IF(tblReceipts[[#This Row],[Date]]="","",IFERROR(INDEX(tblSuppliers[PPM limit],MATCH(tblReceipts[[#This Row],[Supplier]],tblSuppliers[Supplier],0)),""))</f>
        <v>3000</v>
      </c>
      <c r="N24" s="38">
        <f>IF(tblReceipts[[#This Row],[Date]]="","",IF(AND(ISNUMBER(tblReceipts[[#This Row],[PPM]]),ISNUMBER(tblReceipts[[#This Row],[PPM limit]])),tblReceipts[[#This Row],[PPM]]-tblReceipts[[#This Row],[PPM limit]],""))</f>
        <v>-3000</v>
      </c>
      <c r="O24" s="39" t="str">
        <f>IF(NOT(ISNUMBER(tblReceipts[[#This Row],[PPM]])),"",IF(tblReceipts[[#This Row],[PPM]]&lt;=tblReceipts[[#This Row],[PPM limit]],"On target",IF(tblReceipts[[#This Row],[PPM]]&lt;=tblReceipts[[#This Row],[PPM limit]]*(1+0.05),"Near target","Above target")))</f>
        <v>On target</v>
      </c>
      <c r="P24" s="40">
        <f>IF(tblReceipts[[#This Row],[Date]]="","",IF(AND(tblReceipts[[#This Row],[Date]]&gt;=FFrom,tblReceipts[[#This Row],[Date]]&lt;=FTo,OR(DashSupplier="",tblReceipts[[#This Row],[Supplier]]=DashSupplier)),tblReceipts[[#This Row],[Date]],""))</f>
        <v>46143</v>
      </c>
      <c r="Q2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4" s="33" t="s">
        <v>136</v>
      </c>
    </row>
    <row r="25" spans="2:18">
      <c r="B25" s="35">
        <v>46146</v>
      </c>
      <c r="C25" s="28" t="s">
        <v>166</v>
      </c>
      <c r="D25" s="28" t="s">
        <v>82</v>
      </c>
      <c r="E25" s="28" t="s">
        <v>134</v>
      </c>
      <c r="F25" s="29">
        <v>23000</v>
      </c>
      <c r="G25" s="29">
        <v>0</v>
      </c>
      <c r="H25" s="28" t="s">
        <v>136</v>
      </c>
      <c r="I25" s="28" t="s">
        <v>136</v>
      </c>
      <c r="J25" s="28" t="s">
        <v>136</v>
      </c>
      <c r="K25" s="36">
        <f>IF(tblReceipts[[#This Row],[Date]]="","",IF(tblReceipts[[#This Row],[Received]]&gt;0,tblReceipts[[#This Row],[Rejected]]/tblReceipts[[#This Row],[Received]],""))</f>
        <v>0</v>
      </c>
      <c r="L25" s="37">
        <f>IF(tblReceipts[[#This Row],[Date]]="","",IF(tblReceipts[[#This Row],[Received]]&gt;0,tblReceipts[[#This Row],[Rejected]]/tblReceipts[[#This Row],[Received]]*1000000,""))</f>
        <v>0</v>
      </c>
      <c r="M25" s="37">
        <f>IF(tblReceipts[[#This Row],[Date]]="","",IFERROR(INDEX(tblSuppliers[PPM limit],MATCH(tblReceipts[[#This Row],[Supplier]],tblSuppliers[Supplier],0)),""))</f>
        <v>100</v>
      </c>
      <c r="N25" s="38">
        <f>IF(tblReceipts[[#This Row],[Date]]="","",IF(AND(ISNUMBER(tblReceipts[[#This Row],[PPM]]),ISNUMBER(tblReceipts[[#This Row],[PPM limit]])),tblReceipts[[#This Row],[PPM]]-tblReceipts[[#This Row],[PPM limit]],""))</f>
        <v>-100</v>
      </c>
      <c r="O25" s="39" t="str">
        <f>IF(NOT(ISNUMBER(tblReceipts[[#This Row],[PPM]])),"",IF(tblReceipts[[#This Row],[PPM]]&lt;=tblReceipts[[#This Row],[PPM limit]],"On target",IF(tblReceipts[[#This Row],[PPM]]&lt;=tblReceipts[[#This Row],[PPM limit]]*(1+0.05),"Near target","Above target")))</f>
        <v>On target</v>
      </c>
      <c r="P25" s="40">
        <f>IF(tblReceipts[[#This Row],[Date]]="","",IF(AND(tblReceipts[[#This Row],[Date]]&gt;=FFrom,tblReceipts[[#This Row],[Date]]&lt;=FTo,OR(DashSupplier="",tblReceipts[[#This Row],[Supplier]]=DashSupplier)),tblReceipts[[#This Row],[Date]],""))</f>
        <v>46146</v>
      </c>
      <c r="Q2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5" s="33" t="s">
        <v>136</v>
      </c>
    </row>
    <row r="26" spans="2:18">
      <c r="B26" s="35">
        <v>46147</v>
      </c>
      <c r="C26" s="28" t="s">
        <v>167</v>
      </c>
      <c r="D26" s="28" t="s">
        <v>78</v>
      </c>
      <c r="E26" s="28" t="s">
        <v>138</v>
      </c>
      <c r="F26" s="29">
        <v>230</v>
      </c>
      <c r="G26" s="29">
        <v>1</v>
      </c>
      <c r="H26" s="28" t="s">
        <v>93</v>
      </c>
      <c r="I26" s="28" t="s">
        <v>108</v>
      </c>
      <c r="J26" s="28" t="s">
        <v>168</v>
      </c>
      <c r="K26" s="36">
        <f>IF(tblReceipts[[#This Row],[Date]]="","",IF(tblReceipts[[#This Row],[Received]]&gt;0,tblReceipts[[#This Row],[Rejected]]/tblReceipts[[#This Row],[Received]],""))</f>
        <v>0.00434782608695652</v>
      </c>
      <c r="L26" s="37">
        <f>IF(tblReceipts[[#This Row],[Date]]="","",IF(tblReceipts[[#This Row],[Received]]&gt;0,tblReceipts[[#This Row],[Rejected]]/tblReceipts[[#This Row],[Received]]*1000000,""))</f>
        <v>4347.82608695652</v>
      </c>
      <c r="M26" s="37">
        <f>IF(tblReceipts[[#This Row],[Date]]="","",IFERROR(INDEX(tblSuppliers[PPM limit],MATCH(tblReceipts[[#This Row],[Supplier]],tblSuppliers[Supplier],0)),""))</f>
        <v>1500</v>
      </c>
      <c r="N26" s="38">
        <f>IF(tblReceipts[[#This Row],[Date]]="","",IF(AND(ISNUMBER(tblReceipts[[#This Row],[PPM]]),ISNUMBER(tblReceipts[[#This Row],[PPM limit]])),tblReceipts[[#This Row],[PPM]]-tblReceipts[[#This Row],[PPM limit]],""))</f>
        <v>2847.82608695652</v>
      </c>
      <c r="O26" s="39" t="str">
        <f>IF(NOT(ISNUMBER(tblReceipts[[#This Row],[PPM]])),"",IF(tblReceipts[[#This Row],[PPM]]&lt;=tblReceipts[[#This Row],[PPM limit]],"On target",IF(tblReceipts[[#This Row],[PPM]]&lt;=tblReceipts[[#This Row],[PPM limit]]*(1+0.05),"Near target","Above target")))</f>
        <v>Above target</v>
      </c>
      <c r="P26" s="40">
        <f>IF(tblReceipts[[#This Row],[Date]]="","",IF(AND(tblReceipts[[#This Row],[Date]]&gt;=FFrom,tblReceipts[[#This Row],[Date]]&lt;=FTo,OR(DashSupplier="",tblReceipts[[#This Row],[Supplier]]=DashSupplier)),tblReceipts[[#This Row],[Date]],""))</f>
        <v>46147</v>
      </c>
      <c r="Q2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6" s="33" t="s">
        <v>136</v>
      </c>
    </row>
    <row r="27" spans="2:18">
      <c r="B27" s="35">
        <v>46148</v>
      </c>
      <c r="C27" s="28" t="s">
        <v>169</v>
      </c>
      <c r="D27" s="28" t="s">
        <v>80</v>
      </c>
      <c r="E27" s="28" t="s">
        <v>140</v>
      </c>
      <c r="F27" s="29">
        <v>360</v>
      </c>
      <c r="G27" s="29">
        <v>0</v>
      </c>
      <c r="H27" s="28" t="s">
        <v>136</v>
      </c>
      <c r="I27" s="28" t="s">
        <v>136</v>
      </c>
      <c r="J27" s="28" t="s">
        <v>136</v>
      </c>
      <c r="K27" s="36">
        <f>IF(tblReceipts[[#This Row],[Date]]="","",IF(tblReceipts[[#This Row],[Received]]&gt;0,tblReceipts[[#This Row],[Rejected]]/tblReceipts[[#This Row],[Received]],""))</f>
        <v>0</v>
      </c>
      <c r="L27" s="37">
        <f>IF(tblReceipts[[#This Row],[Date]]="","",IF(tblReceipts[[#This Row],[Received]]&gt;0,tblReceipts[[#This Row],[Rejected]]/tblReceipts[[#This Row],[Received]]*1000000,""))</f>
        <v>0</v>
      </c>
      <c r="M27" s="37">
        <f>IF(tblReceipts[[#This Row],[Date]]="","",IFERROR(INDEX(tblSuppliers[PPM limit],MATCH(tblReceipts[[#This Row],[Supplier]],tblSuppliers[Supplier],0)),""))</f>
        <v>500</v>
      </c>
      <c r="N27" s="38">
        <f>IF(tblReceipts[[#This Row],[Date]]="","",IF(AND(ISNUMBER(tblReceipts[[#This Row],[PPM]]),ISNUMBER(tblReceipts[[#This Row],[PPM limit]])),tblReceipts[[#This Row],[PPM]]-tblReceipts[[#This Row],[PPM limit]],""))</f>
        <v>-500</v>
      </c>
      <c r="O27" s="39" t="str">
        <f>IF(NOT(ISNUMBER(tblReceipts[[#This Row],[PPM]])),"",IF(tblReceipts[[#This Row],[PPM]]&lt;=tblReceipts[[#This Row],[PPM limit]],"On target",IF(tblReceipts[[#This Row],[PPM]]&lt;=tblReceipts[[#This Row],[PPM limit]]*(1+0.05),"Near target","Above target")))</f>
        <v>On target</v>
      </c>
      <c r="P27" s="40">
        <f>IF(tblReceipts[[#This Row],[Date]]="","",IF(AND(tblReceipts[[#This Row],[Date]]&gt;=FFrom,tblReceipts[[#This Row],[Date]]&lt;=FTo,OR(DashSupplier="",tblReceipts[[#This Row],[Supplier]]=DashSupplier)),tblReceipts[[#This Row],[Date]],""))</f>
        <v>46148</v>
      </c>
      <c r="Q2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7" s="33" t="s">
        <v>136</v>
      </c>
    </row>
    <row r="28" spans="2:18">
      <c r="B28" s="35">
        <v>46148</v>
      </c>
      <c r="C28" s="28" t="s">
        <v>170</v>
      </c>
      <c r="D28" s="28" t="s">
        <v>88</v>
      </c>
      <c r="E28" s="28" t="s">
        <v>142</v>
      </c>
      <c r="F28" s="29">
        <v>400</v>
      </c>
      <c r="G28" s="29">
        <v>0</v>
      </c>
      <c r="H28" s="28" t="s">
        <v>136</v>
      </c>
      <c r="I28" s="28" t="s">
        <v>136</v>
      </c>
      <c r="J28" s="28" t="s">
        <v>136</v>
      </c>
      <c r="K28" s="36">
        <f>IF(tblReceipts[[#This Row],[Date]]="","",IF(tblReceipts[[#This Row],[Received]]&gt;0,tblReceipts[[#This Row],[Rejected]]/tblReceipts[[#This Row],[Received]],""))</f>
        <v>0</v>
      </c>
      <c r="L28" s="37">
        <f>IF(tblReceipts[[#This Row],[Date]]="","",IF(tblReceipts[[#This Row],[Received]]&gt;0,tblReceipts[[#This Row],[Rejected]]/tblReceipts[[#This Row],[Received]]*1000000,""))</f>
        <v>0</v>
      </c>
      <c r="M28" s="37">
        <f>IF(tblReceipts[[#This Row],[Date]]="","",IFERROR(INDEX(tblSuppliers[PPM limit],MATCH(tblReceipts[[#This Row],[Supplier]],tblSuppliers[Supplier],0)),""))</f>
        <v>300</v>
      </c>
      <c r="N28" s="38">
        <f>IF(tblReceipts[[#This Row],[Date]]="","",IF(AND(ISNUMBER(tblReceipts[[#This Row],[PPM]]),ISNUMBER(tblReceipts[[#This Row],[PPM limit]])),tblReceipts[[#This Row],[PPM]]-tblReceipts[[#This Row],[PPM limit]],""))</f>
        <v>-300</v>
      </c>
      <c r="O28" s="39" t="str">
        <f>IF(NOT(ISNUMBER(tblReceipts[[#This Row],[PPM]])),"",IF(tblReceipts[[#This Row],[PPM]]&lt;=tblReceipts[[#This Row],[PPM limit]],"On target",IF(tblReceipts[[#This Row],[PPM]]&lt;=tblReceipts[[#This Row],[PPM limit]]*(1+0.05),"Near target","Above target")))</f>
        <v>On target</v>
      </c>
      <c r="P28" s="40">
        <f>IF(tblReceipts[[#This Row],[Date]]="","",IF(AND(tblReceipts[[#This Row],[Date]]&gt;=FFrom,tblReceipts[[#This Row],[Date]]&lt;=FTo,OR(DashSupplier="",tblReceipts[[#This Row],[Supplier]]=DashSupplier)),tblReceipts[[#This Row],[Date]],""))</f>
        <v>46148</v>
      </c>
      <c r="Q2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8" s="33" t="s">
        <v>136</v>
      </c>
    </row>
    <row r="29" spans="2:18">
      <c r="B29" s="35">
        <v>46149</v>
      </c>
      <c r="C29" s="28" t="s">
        <v>171</v>
      </c>
      <c r="D29" s="28" t="s">
        <v>84</v>
      </c>
      <c r="E29" s="28" t="s">
        <v>144</v>
      </c>
      <c r="F29" s="29">
        <v>4000</v>
      </c>
      <c r="G29" s="29">
        <v>0</v>
      </c>
      <c r="H29" s="28" t="s">
        <v>136</v>
      </c>
      <c r="I29" s="28" t="s">
        <v>136</v>
      </c>
      <c r="J29" s="28" t="s">
        <v>136</v>
      </c>
      <c r="K29" s="36">
        <f>IF(tblReceipts[[#This Row],[Date]]="","",IF(tblReceipts[[#This Row],[Received]]&gt;0,tblReceipts[[#This Row],[Rejected]]/tblReceipts[[#This Row],[Received]],""))</f>
        <v>0</v>
      </c>
      <c r="L29" s="37">
        <f>IF(tblReceipts[[#This Row],[Date]]="","",IF(tblReceipts[[#This Row],[Received]]&gt;0,tblReceipts[[#This Row],[Rejected]]/tblReceipts[[#This Row],[Received]]*1000000,""))</f>
        <v>0</v>
      </c>
      <c r="M29" s="37">
        <f>IF(tblReceipts[[#This Row],[Date]]="","",IFERROR(INDEX(tblSuppliers[PPM limit],MATCH(tblReceipts[[#This Row],[Supplier]],tblSuppliers[Supplier],0)),""))</f>
        <v>250</v>
      </c>
      <c r="N29" s="38">
        <f>IF(tblReceipts[[#This Row],[Date]]="","",IF(AND(ISNUMBER(tblReceipts[[#This Row],[PPM]]),ISNUMBER(tblReceipts[[#This Row],[PPM limit]])),tblReceipts[[#This Row],[PPM]]-tblReceipts[[#This Row],[PPM limit]],""))</f>
        <v>-250</v>
      </c>
      <c r="O29" s="39" t="str">
        <f>IF(NOT(ISNUMBER(tblReceipts[[#This Row],[PPM]])),"",IF(tblReceipts[[#This Row],[PPM]]&lt;=tblReceipts[[#This Row],[PPM limit]],"On target",IF(tblReceipts[[#This Row],[PPM]]&lt;=tblReceipts[[#This Row],[PPM limit]]*(1+0.05),"Near target","Above target")))</f>
        <v>On target</v>
      </c>
      <c r="P29" s="40">
        <f>IF(tblReceipts[[#This Row],[Date]]="","",IF(AND(tblReceipts[[#This Row],[Date]]&gt;=FFrom,tblReceipts[[#This Row],[Date]]&lt;=FTo,OR(DashSupplier="",tblReceipts[[#This Row],[Supplier]]=DashSupplier)),tblReceipts[[#This Row],[Date]],""))</f>
        <v>46149</v>
      </c>
      <c r="Q2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29" s="33" t="s">
        <v>136</v>
      </c>
    </row>
    <row r="30" spans="2:18">
      <c r="B30" s="35">
        <v>46150</v>
      </c>
      <c r="C30" s="28" t="s">
        <v>172</v>
      </c>
      <c r="D30" s="28" t="s">
        <v>86</v>
      </c>
      <c r="E30" s="28" t="s">
        <v>146</v>
      </c>
      <c r="F30" s="29">
        <v>66</v>
      </c>
      <c r="G30" s="29">
        <v>0</v>
      </c>
      <c r="H30" s="28" t="s">
        <v>136</v>
      </c>
      <c r="I30" s="28" t="s">
        <v>136</v>
      </c>
      <c r="J30" s="28" t="s">
        <v>136</v>
      </c>
      <c r="K30" s="36">
        <f>IF(tblReceipts[[#This Row],[Date]]="","",IF(tblReceipts[[#This Row],[Received]]&gt;0,tblReceipts[[#This Row],[Rejected]]/tblReceipts[[#This Row],[Received]],""))</f>
        <v>0</v>
      </c>
      <c r="L30" s="37">
        <f>IF(tblReceipts[[#This Row],[Date]]="","",IF(tblReceipts[[#This Row],[Received]]&gt;0,tblReceipts[[#This Row],[Rejected]]/tblReceipts[[#This Row],[Received]]*1000000,""))</f>
        <v>0</v>
      </c>
      <c r="M30" s="37">
        <f>IF(tblReceipts[[#This Row],[Date]]="","",IFERROR(INDEX(tblSuppliers[PPM limit],MATCH(tblReceipts[[#This Row],[Supplier]],tblSuppliers[Supplier],0)),""))</f>
        <v>3000</v>
      </c>
      <c r="N30" s="38">
        <f>IF(tblReceipts[[#This Row],[Date]]="","",IF(AND(ISNUMBER(tblReceipts[[#This Row],[PPM]]),ISNUMBER(tblReceipts[[#This Row],[PPM limit]])),tblReceipts[[#This Row],[PPM]]-tblReceipts[[#This Row],[PPM limit]],""))</f>
        <v>-3000</v>
      </c>
      <c r="O30" s="39" t="str">
        <f>IF(NOT(ISNUMBER(tblReceipts[[#This Row],[PPM]])),"",IF(tblReceipts[[#This Row],[PPM]]&lt;=tblReceipts[[#This Row],[PPM limit]],"On target",IF(tblReceipts[[#This Row],[PPM]]&lt;=tblReceipts[[#This Row],[PPM limit]]*(1+0.05),"Near target","Above target")))</f>
        <v>On target</v>
      </c>
      <c r="P30" s="40">
        <f>IF(tblReceipts[[#This Row],[Date]]="","",IF(AND(tblReceipts[[#This Row],[Date]]&gt;=FFrom,tblReceipts[[#This Row],[Date]]&lt;=FTo,OR(DashSupplier="",tblReceipts[[#This Row],[Supplier]]=DashSupplier)),tblReceipts[[#This Row],[Date]],""))</f>
        <v>46150</v>
      </c>
      <c r="Q3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0" s="33" t="s">
        <v>136</v>
      </c>
    </row>
    <row r="31" spans="2:18">
      <c r="B31" s="35">
        <v>46154</v>
      </c>
      <c r="C31" s="28" t="s">
        <v>173</v>
      </c>
      <c r="D31" s="28" t="s">
        <v>78</v>
      </c>
      <c r="E31" s="28" t="s">
        <v>148</v>
      </c>
      <c r="F31" s="29">
        <v>240</v>
      </c>
      <c r="G31" s="29">
        <v>1</v>
      </c>
      <c r="H31" s="28" t="s">
        <v>93</v>
      </c>
      <c r="I31" s="28" t="s">
        <v>108</v>
      </c>
      <c r="J31" s="28" t="s">
        <v>174</v>
      </c>
      <c r="K31" s="36">
        <f>IF(tblReceipts[[#This Row],[Date]]="","",IF(tblReceipts[[#This Row],[Received]]&gt;0,tblReceipts[[#This Row],[Rejected]]/tblReceipts[[#This Row],[Received]],""))</f>
        <v>0.00416666666666667</v>
      </c>
      <c r="L31" s="37">
        <f>IF(tblReceipts[[#This Row],[Date]]="","",IF(tblReceipts[[#This Row],[Received]]&gt;0,tblReceipts[[#This Row],[Rejected]]/tblReceipts[[#This Row],[Received]]*1000000,""))</f>
        <v>4166.66666666667</v>
      </c>
      <c r="M31" s="37">
        <f>IF(tblReceipts[[#This Row],[Date]]="","",IFERROR(INDEX(tblSuppliers[PPM limit],MATCH(tblReceipts[[#This Row],[Supplier]],tblSuppliers[Supplier],0)),""))</f>
        <v>1500</v>
      </c>
      <c r="N31" s="38">
        <f>IF(tblReceipts[[#This Row],[Date]]="","",IF(AND(ISNUMBER(tblReceipts[[#This Row],[PPM]]),ISNUMBER(tblReceipts[[#This Row],[PPM limit]])),tblReceipts[[#This Row],[PPM]]-tblReceipts[[#This Row],[PPM limit]],""))</f>
        <v>2666.66666666667</v>
      </c>
      <c r="O31" s="39" t="str">
        <f>IF(NOT(ISNUMBER(tblReceipts[[#This Row],[PPM]])),"",IF(tblReceipts[[#This Row],[PPM]]&lt;=tblReceipts[[#This Row],[PPM limit]],"On target",IF(tblReceipts[[#This Row],[PPM]]&lt;=tblReceipts[[#This Row],[PPM limit]]*(1+0.05),"Near target","Above target")))</f>
        <v>Above target</v>
      </c>
      <c r="P31" s="40">
        <f>IF(tblReceipts[[#This Row],[Date]]="","",IF(AND(tblReceipts[[#This Row],[Date]]&gt;=FFrom,tblReceipts[[#This Row],[Date]]&lt;=FTo,OR(DashSupplier="",tblReceipts[[#This Row],[Supplier]]=DashSupplier)),tblReceipts[[#This Row],[Date]],""))</f>
        <v>46154</v>
      </c>
      <c r="Q3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1" s="33" t="s">
        <v>136</v>
      </c>
    </row>
    <row r="32" spans="2:18">
      <c r="B32" s="35">
        <v>46155</v>
      </c>
      <c r="C32" s="28" t="s">
        <v>175</v>
      </c>
      <c r="D32" s="28" t="s">
        <v>80</v>
      </c>
      <c r="E32" s="28" t="s">
        <v>150</v>
      </c>
      <c r="F32" s="29">
        <v>280</v>
      </c>
      <c r="G32" s="29">
        <v>0</v>
      </c>
      <c r="H32" s="28" t="s">
        <v>136</v>
      </c>
      <c r="I32" s="28" t="s">
        <v>136</v>
      </c>
      <c r="J32" s="28" t="s">
        <v>136</v>
      </c>
      <c r="K32" s="36">
        <f>IF(tblReceipts[[#This Row],[Date]]="","",IF(tblReceipts[[#This Row],[Received]]&gt;0,tblReceipts[[#This Row],[Rejected]]/tblReceipts[[#This Row],[Received]],""))</f>
        <v>0</v>
      </c>
      <c r="L32" s="37">
        <f>IF(tblReceipts[[#This Row],[Date]]="","",IF(tblReceipts[[#This Row],[Received]]&gt;0,tblReceipts[[#This Row],[Rejected]]/tblReceipts[[#This Row],[Received]]*1000000,""))</f>
        <v>0</v>
      </c>
      <c r="M32" s="37">
        <f>IF(tblReceipts[[#This Row],[Date]]="","",IFERROR(INDEX(tblSuppliers[PPM limit],MATCH(tblReceipts[[#This Row],[Supplier]],tblSuppliers[Supplier],0)),""))</f>
        <v>500</v>
      </c>
      <c r="N32" s="38">
        <f>IF(tblReceipts[[#This Row],[Date]]="","",IF(AND(ISNUMBER(tblReceipts[[#This Row],[PPM]]),ISNUMBER(tblReceipts[[#This Row],[PPM limit]])),tblReceipts[[#This Row],[PPM]]-tblReceipts[[#This Row],[PPM limit]],""))</f>
        <v>-500</v>
      </c>
      <c r="O32" s="39" t="str">
        <f>IF(NOT(ISNUMBER(tblReceipts[[#This Row],[PPM]])),"",IF(tblReceipts[[#This Row],[PPM]]&lt;=tblReceipts[[#This Row],[PPM limit]],"On target",IF(tblReceipts[[#This Row],[PPM]]&lt;=tblReceipts[[#This Row],[PPM limit]]*(1+0.05),"Near target","Above target")))</f>
        <v>On target</v>
      </c>
      <c r="P32" s="40">
        <f>IF(tblReceipts[[#This Row],[Date]]="","",IF(AND(tblReceipts[[#This Row],[Date]]&gt;=FFrom,tblReceipts[[#This Row],[Date]]&lt;=FTo,OR(DashSupplier="",tblReceipts[[#This Row],[Supplier]]=DashSupplier)),tblReceipts[[#This Row],[Date]],""))</f>
        <v>46155</v>
      </c>
      <c r="Q3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2" s="33" t="s">
        <v>136</v>
      </c>
    </row>
    <row r="33" spans="2:18">
      <c r="B33" s="35">
        <v>46157</v>
      </c>
      <c r="C33" s="28" t="s">
        <v>176</v>
      </c>
      <c r="D33" s="28" t="s">
        <v>86</v>
      </c>
      <c r="E33" s="28" t="s">
        <v>146</v>
      </c>
      <c r="F33" s="29">
        <v>54</v>
      </c>
      <c r="G33" s="29">
        <v>0</v>
      </c>
      <c r="H33" s="28" t="s">
        <v>136</v>
      </c>
      <c r="I33" s="28" t="s">
        <v>136</v>
      </c>
      <c r="J33" s="28" t="s">
        <v>136</v>
      </c>
      <c r="K33" s="36">
        <f>IF(tblReceipts[[#This Row],[Date]]="","",IF(tblReceipts[[#This Row],[Received]]&gt;0,tblReceipts[[#This Row],[Rejected]]/tblReceipts[[#This Row],[Received]],""))</f>
        <v>0</v>
      </c>
      <c r="L33" s="37">
        <f>IF(tblReceipts[[#This Row],[Date]]="","",IF(tblReceipts[[#This Row],[Received]]&gt;0,tblReceipts[[#This Row],[Rejected]]/tblReceipts[[#This Row],[Received]]*1000000,""))</f>
        <v>0</v>
      </c>
      <c r="M33" s="37">
        <f>IF(tblReceipts[[#This Row],[Date]]="","",IFERROR(INDEX(tblSuppliers[PPM limit],MATCH(tblReceipts[[#This Row],[Supplier]],tblSuppliers[Supplier],0)),""))</f>
        <v>3000</v>
      </c>
      <c r="N33" s="38">
        <f>IF(tblReceipts[[#This Row],[Date]]="","",IF(AND(ISNUMBER(tblReceipts[[#This Row],[PPM]]),ISNUMBER(tblReceipts[[#This Row],[PPM limit]])),tblReceipts[[#This Row],[PPM]]-tblReceipts[[#This Row],[PPM limit]],""))</f>
        <v>-3000</v>
      </c>
      <c r="O33" s="39" t="str">
        <f>IF(NOT(ISNUMBER(tblReceipts[[#This Row],[PPM]])),"",IF(tblReceipts[[#This Row],[PPM]]&lt;=tblReceipts[[#This Row],[PPM limit]],"On target",IF(tblReceipts[[#This Row],[PPM]]&lt;=tblReceipts[[#This Row],[PPM limit]]*(1+0.05),"Near target","Above target")))</f>
        <v>On target</v>
      </c>
      <c r="P33" s="40">
        <f>IF(tblReceipts[[#This Row],[Date]]="","",IF(AND(tblReceipts[[#This Row],[Date]]&gt;=FFrom,tblReceipts[[#This Row],[Date]]&lt;=FTo,OR(DashSupplier="",tblReceipts[[#This Row],[Supplier]]=DashSupplier)),tblReceipts[[#This Row],[Date]],""))</f>
        <v>46157</v>
      </c>
      <c r="Q3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3" s="33" t="s">
        <v>136</v>
      </c>
    </row>
    <row r="34" spans="2:18">
      <c r="B34" s="35">
        <v>46160</v>
      </c>
      <c r="C34" s="28" t="s">
        <v>177</v>
      </c>
      <c r="D34" s="28" t="s">
        <v>82</v>
      </c>
      <c r="E34" s="28" t="s">
        <v>153</v>
      </c>
      <c r="F34" s="29">
        <v>12000</v>
      </c>
      <c r="G34" s="29">
        <v>0</v>
      </c>
      <c r="H34" s="28" t="s">
        <v>136</v>
      </c>
      <c r="I34" s="28" t="s">
        <v>136</v>
      </c>
      <c r="J34" s="28" t="s">
        <v>136</v>
      </c>
      <c r="K34" s="36">
        <f>IF(tblReceipts[[#This Row],[Date]]="","",IF(tblReceipts[[#This Row],[Received]]&gt;0,tblReceipts[[#This Row],[Rejected]]/tblReceipts[[#This Row],[Received]],""))</f>
        <v>0</v>
      </c>
      <c r="L34" s="37">
        <f>IF(tblReceipts[[#This Row],[Date]]="","",IF(tblReceipts[[#This Row],[Received]]&gt;0,tblReceipts[[#This Row],[Rejected]]/tblReceipts[[#This Row],[Received]]*1000000,""))</f>
        <v>0</v>
      </c>
      <c r="M34" s="37">
        <f>IF(tblReceipts[[#This Row],[Date]]="","",IFERROR(INDEX(tblSuppliers[PPM limit],MATCH(tblReceipts[[#This Row],[Supplier]],tblSuppliers[Supplier],0)),""))</f>
        <v>100</v>
      </c>
      <c r="N34" s="38">
        <f>IF(tblReceipts[[#This Row],[Date]]="","",IF(AND(ISNUMBER(tblReceipts[[#This Row],[PPM]]),ISNUMBER(tblReceipts[[#This Row],[PPM limit]])),tblReceipts[[#This Row],[PPM]]-tblReceipts[[#This Row],[PPM limit]],""))</f>
        <v>-100</v>
      </c>
      <c r="O34" s="39" t="str">
        <f>IF(NOT(ISNUMBER(tblReceipts[[#This Row],[PPM]])),"",IF(tblReceipts[[#This Row],[PPM]]&lt;=tblReceipts[[#This Row],[PPM limit]],"On target",IF(tblReceipts[[#This Row],[PPM]]&lt;=tblReceipts[[#This Row],[PPM limit]]*(1+0.05),"Near target","Above target")))</f>
        <v>On target</v>
      </c>
      <c r="P34" s="40">
        <f>IF(tblReceipts[[#This Row],[Date]]="","",IF(AND(tblReceipts[[#This Row],[Date]]&gt;=FFrom,tblReceipts[[#This Row],[Date]]&lt;=FTo,OR(DashSupplier="",tblReceipts[[#This Row],[Supplier]]=DashSupplier)),tblReceipts[[#This Row],[Date]],""))</f>
        <v>46160</v>
      </c>
      <c r="Q3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4" s="33" t="s">
        <v>136</v>
      </c>
    </row>
    <row r="35" spans="2:18">
      <c r="B35" s="35">
        <v>46161</v>
      </c>
      <c r="C35" s="28" t="s">
        <v>178</v>
      </c>
      <c r="D35" s="28" t="s">
        <v>78</v>
      </c>
      <c r="E35" s="28" t="s">
        <v>138</v>
      </c>
      <c r="F35" s="29">
        <v>260</v>
      </c>
      <c r="G35" s="29">
        <v>0</v>
      </c>
      <c r="H35" s="28" t="s">
        <v>136</v>
      </c>
      <c r="I35" s="28" t="s">
        <v>136</v>
      </c>
      <c r="J35" s="28" t="s">
        <v>136</v>
      </c>
      <c r="K35" s="36">
        <f>IF(tblReceipts[[#This Row],[Date]]="","",IF(tblReceipts[[#This Row],[Received]]&gt;0,tblReceipts[[#This Row],[Rejected]]/tblReceipts[[#This Row],[Received]],""))</f>
        <v>0</v>
      </c>
      <c r="L35" s="37">
        <f>IF(tblReceipts[[#This Row],[Date]]="","",IF(tblReceipts[[#This Row],[Received]]&gt;0,tblReceipts[[#This Row],[Rejected]]/tblReceipts[[#This Row],[Received]]*1000000,""))</f>
        <v>0</v>
      </c>
      <c r="M35" s="37">
        <f>IF(tblReceipts[[#This Row],[Date]]="","",IFERROR(INDEX(tblSuppliers[PPM limit],MATCH(tblReceipts[[#This Row],[Supplier]],tblSuppliers[Supplier],0)),""))</f>
        <v>1500</v>
      </c>
      <c r="N35" s="38">
        <f>IF(tblReceipts[[#This Row],[Date]]="","",IF(AND(ISNUMBER(tblReceipts[[#This Row],[PPM]]),ISNUMBER(tblReceipts[[#This Row],[PPM limit]])),tblReceipts[[#This Row],[PPM]]-tblReceipts[[#This Row],[PPM limit]],""))</f>
        <v>-1500</v>
      </c>
      <c r="O35" s="39" t="str">
        <f>IF(NOT(ISNUMBER(tblReceipts[[#This Row],[PPM]])),"",IF(tblReceipts[[#This Row],[PPM]]&lt;=tblReceipts[[#This Row],[PPM limit]],"On target",IF(tblReceipts[[#This Row],[PPM]]&lt;=tblReceipts[[#This Row],[PPM limit]]*(1+0.05),"Near target","Above target")))</f>
        <v>On target</v>
      </c>
      <c r="P35" s="40">
        <f>IF(tblReceipts[[#This Row],[Date]]="","",IF(AND(tblReceipts[[#This Row],[Date]]&gt;=FFrom,tblReceipts[[#This Row],[Date]]&lt;=FTo,OR(DashSupplier="",tblReceipts[[#This Row],[Supplier]]=DashSupplier)),tblReceipts[[#This Row],[Date]],""))</f>
        <v>46161</v>
      </c>
      <c r="Q3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5" s="33" t="s">
        <v>136</v>
      </c>
    </row>
    <row r="36" spans="2:18">
      <c r="B36" s="35">
        <v>46162</v>
      </c>
      <c r="C36" s="28" t="s">
        <v>179</v>
      </c>
      <c r="D36" s="28" t="s">
        <v>80</v>
      </c>
      <c r="E36" s="28" t="s">
        <v>140</v>
      </c>
      <c r="F36" s="29">
        <v>380</v>
      </c>
      <c r="G36" s="29">
        <v>0</v>
      </c>
      <c r="H36" s="28" t="s">
        <v>136</v>
      </c>
      <c r="I36" s="28" t="s">
        <v>136</v>
      </c>
      <c r="J36" s="28" t="s">
        <v>136</v>
      </c>
      <c r="K36" s="36">
        <f>IF(tblReceipts[[#This Row],[Date]]="","",IF(tblReceipts[[#This Row],[Received]]&gt;0,tblReceipts[[#This Row],[Rejected]]/tblReceipts[[#This Row],[Received]],""))</f>
        <v>0</v>
      </c>
      <c r="L36" s="37">
        <f>IF(tblReceipts[[#This Row],[Date]]="","",IF(tblReceipts[[#This Row],[Received]]&gt;0,tblReceipts[[#This Row],[Rejected]]/tblReceipts[[#This Row],[Received]]*1000000,""))</f>
        <v>0</v>
      </c>
      <c r="M36" s="37">
        <f>IF(tblReceipts[[#This Row],[Date]]="","",IFERROR(INDEX(tblSuppliers[PPM limit],MATCH(tblReceipts[[#This Row],[Supplier]],tblSuppliers[Supplier],0)),""))</f>
        <v>500</v>
      </c>
      <c r="N36" s="38">
        <f>IF(tblReceipts[[#This Row],[Date]]="","",IF(AND(ISNUMBER(tblReceipts[[#This Row],[PPM]]),ISNUMBER(tblReceipts[[#This Row],[PPM limit]])),tblReceipts[[#This Row],[PPM]]-tblReceipts[[#This Row],[PPM limit]],""))</f>
        <v>-500</v>
      </c>
      <c r="O36" s="39" t="str">
        <f>IF(NOT(ISNUMBER(tblReceipts[[#This Row],[PPM]])),"",IF(tblReceipts[[#This Row],[PPM]]&lt;=tblReceipts[[#This Row],[PPM limit]],"On target",IF(tblReceipts[[#This Row],[PPM]]&lt;=tblReceipts[[#This Row],[PPM limit]]*(1+0.05),"Near target","Above target")))</f>
        <v>On target</v>
      </c>
      <c r="P36" s="40">
        <f>IF(tblReceipts[[#This Row],[Date]]="","",IF(AND(tblReceipts[[#This Row],[Date]]&gt;=FFrom,tblReceipts[[#This Row],[Date]]&lt;=FTo,OR(DashSupplier="",tblReceipts[[#This Row],[Supplier]]=DashSupplier)),tblReceipts[[#This Row],[Date]],""))</f>
        <v>46162</v>
      </c>
      <c r="Q3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6" s="33" t="s">
        <v>136</v>
      </c>
    </row>
    <row r="37" spans="2:18">
      <c r="B37" s="35">
        <v>46162</v>
      </c>
      <c r="C37" s="28" t="s">
        <v>180</v>
      </c>
      <c r="D37" s="28" t="s">
        <v>88</v>
      </c>
      <c r="E37" s="28" t="s">
        <v>142</v>
      </c>
      <c r="F37" s="29">
        <v>500</v>
      </c>
      <c r="G37" s="29">
        <v>0</v>
      </c>
      <c r="H37" s="28" t="s">
        <v>136</v>
      </c>
      <c r="I37" s="28" t="s">
        <v>136</v>
      </c>
      <c r="J37" s="28" t="s">
        <v>136</v>
      </c>
      <c r="K37" s="36">
        <f>IF(tblReceipts[[#This Row],[Date]]="","",IF(tblReceipts[[#This Row],[Received]]&gt;0,tblReceipts[[#This Row],[Rejected]]/tblReceipts[[#This Row],[Received]],""))</f>
        <v>0</v>
      </c>
      <c r="L37" s="37">
        <f>IF(tblReceipts[[#This Row],[Date]]="","",IF(tblReceipts[[#This Row],[Received]]&gt;0,tblReceipts[[#This Row],[Rejected]]/tblReceipts[[#This Row],[Received]]*1000000,""))</f>
        <v>0</v>
      </c>
      <c r="M37" s="37">
        <f>IF(tblReceipts[[#This Row],[Date]]="","",IFERROR(INDEX(tblSuppliers[PPM limit],MATCH(tblReceipts[[#This Row],[Supplier]],tblSuppliers[Supplier],0)),""))</f>
        <v>300</v>
      </c>
      <c r="N37" s="38">
        <f>IF(tblReceipts[[#This Row],[Date]]="","",IF(AND(ISNUMBER(tblReceipts[[#This Row],[PPM]]),ISNUMBER(tblReceipts[[#This Row],[PPM limit]])),tblReceipts[[#This Row],[PPM]]-tblReceipts[[#This Row],[PPM limit]],""))</f>
        <v>-300</v>
      </c>
      <c r="O37" s="39" t="str">
        <f>IF(NOT(ISNUMBER(tblReceipts[[#This Row],[PPM]])),"",IF(tblReceipts[[#This Row],[PPM]]&lt;=tblReceipts[[#This Row],[PPM limit]],"On target",IF(tblReceipts[[#This Row],[PPM]]&lt;=tblReceipts[[#This Row],[PPM limit]]*(1+0.05),"Near target","Above target")))</f>
        <v>On target</v>
      </c>
      <c r="P37" s="40">
        <f>IF(tblReceipts[[#This Row],[Date]]="","",IF(AND(tblReceipts[[#This Row],[Date]]&gt;=FFrom,tblReceipts[[#This Row],[Date]]&lt;=FTo,OR(DashSupplier="",tblReceipts[[#This Row],[Supplier]]=DashSupplier)),tblReceipts[[#This Row],[Date]],""))</f>
        <v>46162</v>
      </c>
      <c r="Q3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7" s="33" t="s">
        <v>136</v>
      </c>
    </row>
    <row r="38" spans="2:18">
      <c r="B38" s="35">
        <v>46163</v>
      </c>
      <c r="C38" s="28" t="s">
        <v>181</v>
      </c>
      <c r="D38" s="28" t="s">
        <v>84</v>
      </c>
      <c r="E38" s="28" t="s">
        <v>159</v>
      </c>
      <c r="F38" s="29">
        <v>3500</v>
      </c>
      <c r="G38" s="29">
        <v>0</v>
      </c>
      <c r="H38" s="28" t="s">
        <v>136</v>
      </c>
      <c r="I38" s="28" t="s">
        <v>136</v>
      </c>
      <c r="J38" s="28" t="s">
        <v>136</v>
      </c>
      <c r="K38" s="36">
        <f>IF(tblReceipts[[#This Row],[Date]]="","",IF(tblReceipts[[#This Row],[Received]]&gt;0,tblReceipts[[#This Row],[Rejected]]/tblReceipts[[#This Row],[Received]],""))</f>
        <v>0</v>
      </c>
      <c r="L38" s="37">
        <f>IF(tblReceipts[[#This Row],[Date]]="","",IF(tblReceipts[[#This Row],[Received]]&gt;0,tblReceipts[[#This Row],[Rejected]]/tblReceipts[[#This Row],[Received]]*1000000,""))</f>
        <v>0</v>
      </c>
      <c r="M38" s="37">
        <f>IF(tblReceipts[[#This Row],[Date]]="","",IFERROR(INDEX(tblSuppliers[PPM limit],MATCH(tblReceipts[[#This Row],[Supplier]],tblSuppliers[Supplier],0)),""))</f>
        <v>250</v>
      </c>
      <c r="N38" s="38">
        <f>IF(tblReceipts[[#This Row],[Date]]="","",IF(AND(ISNUMBER(tblReceipts[[#This Row],[PPM]]),ISNUMBER(tblReceipts[[#This Row],[PPM limit]])),tblReceipts[[#This Row],[PPM]]-tblReceipts[[#This Row],[PPM limit]],""))</f>
        <v>-250</v>
      </c>
      <c r="O38" s="39" t="str">
        <f>IF(NOT(ISNUMBER(tblReceipts[[#This Row],[PPM]])),"",IF(tblReceipts[[#This Row],[PPM]]&lt;=tblReceipts[[#This Row],[PPM limit]],"On target",IF(tblReceipts[[#This Row],[PPM]]&lt;=tblReceipts[[#This Row],[PPM limit]]*(1+0.05),"Near target","Above target")))</f>
        <v>On target</v>
      </c>
      <c r="P38" s="40">
        <f>IF(tblReceipts[[#This Row],[Date]]="","",IF(AND(tblReceipts[[#This Row],[Date]]&gt;=FFrom,tblReceipts[[#This Row],[Date]]&lt;=FTo,OR(DashSupplier="",tblReceipts[[#This Row],[Supplier]]=DashSupplier)),tblReceipts[[#This Row],[Date]],""))</f>
        <v>46163</v>
      </c>
      <c r="Q3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8" s="33" t="s">
        <v>136</v>
      </c>
    </row>
    <row r="39" spans="2:18">
      <c r="B39" s="35">
        <v>46164</v>
      </c>
      <c r="C39" s="28" t="s">
        <v>182</v>
      </c>
      <c r="D39" s="28" t="s">
        <v>86</v>
      </c>
      <c r="E39" s="28" t="s">
        <v>146</v>
      </c>
      <c r="F39" s="29">
        <v>72</v>
      </c>
      <c r="G39" s="29">
        <v>0</v>
      </c>
      <c r="H39" s="28" t="s">
        <v>136</v>
      </c>
      <c r="I39" s="28" t="s">
        <v>136</v>
      </c>
      <c r="J39" s="28" t="s">
        <v>136</v>
      </c>
      <c r="K39" s="36">
        <f>IF(tblReceipts[[#This Row],[Date]]="","",IF(tblReceipts[[#This Row],[Received]]&gt;0,tblReceipts[[#This Row],[Rejected]]/tblReceipts[[#This Row],[Received]],""))</f>
        <v>0</v>
      </c>
      <c r="L39" s="37">
        <f>IF(tblReceipts[[#This Row],[Date]]="","",IF(tblReceipts[[#This Row],[Received]]&gt;0,tblReceipts[[#This Row],[Rejected]]/tblReceipts[[#This Row],[Received]]*1000000,""))</f>
        <v>0</v>
      </c>
      <c r="M39" s="37">
        <f>IF(tblReceipts[[#This Row],[Date]]="","",IFERROR(INDEX(tblSuppliers[PPM limit],MATCH(tblReceipts[[#This Row],[Supplier]],tblSuppliers[Supplier],0)),""))</f>
        <v>3000</v>
      </c>
      <c r="N39" s="38">
        <f>IF(tblReceipts[[#This Row],[Date]]="","",IF(AND(ISNUMBER(tblReceipts[[#This Row],[PPM]]),ISNUMBER(tblReceipts[[#This Row],[PPM limit]])),tblReceipts[[#This Row],[PPM]]-tblReceipts[[#This Row],[PPM limit]],""))</f>
        <v>-3000</v>
      </c>
      <c r="O39" s="39" t="str">
        <f>IF(NOT(ISNUMBER(tblReceipts[[#This Row],[PPM]])),"",IF(tblReceipts[[#This Row],[PPM]]&lt;=tblReceipts[[#This Row],[PPM limit]],"On target",IF(tblReceipts[[#This Row],[PPM]]&lt;=tblReceipts[[#This Row],[PPM limit]]*(1+0.05),"Near target","Above target")))</f>
        <v>On target</v>
      </c>
      <c r="P39" s="40">
        <f>IF(tblReceipts[[#This Row],[Date]]="","",IF(AND(tblReceipts[[#This Row],[Date]]&gt;=FFrom,tblReceipts[[#This Row],[Date]]&lt;=FTo,OR(DashSupplier="",tblReceipts[[#This Row],[Supplier]]=DashSupplier)),tblReceipts[[#This Row],[Date]],""))</f>
        <v>46164</v>
      </c>
      <c r="Q3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39" s="33" t="s">
        <v>136</v>
      </c>
    </row>
    <row r="40" spans="2:18">
      <c r="B40" s="35">
        <v>46168</v>
      </c>
      <c r="C40" s="28" t="s">
        <v>183</v>
      </c>
      <c r="D40" s="28" t="s">
        <v>78</v>
      </c>
      <c r="E40" s="28" t="s">
        <v>148</v>
      </c>
      <c r="F40" s="29">
        <v>260</v>
      </c>
      <c r="G40" s="29">
        <v>0</v>
      </c>
      <c r="H40" s="28" t="s">
        <v>136</v>
      </c>
      <c r="I40" s="28" t="s">
        <v>136</v>
      </c>
      <c r="J40" s="28" t="s">
        <v>136</v>
      </c>
      <c r="K40" s="36">
        <f>IF(tblReceipts[[#This Row],[Date]]="","",IF(tblReceipts[[#This Row],[Received]]&gt;0,tblReceipts[[#This Row],[Rejected]]/tblReceipts[[#This Row],[Received]],""))</f>
        <v>0</v>
      </c>
      <c r="L40" s="37">
        <f>IF(tblReceipts[[#This Row],[Date]]="","",IF(tblReceipts[[#This Row],[Received]]&gt;0,tblReceipts[[#This Row],[Rejected]]/tblReceipts[[#This Row],[Received]]*1000000,""))</f>
        <v>0</v>
      </c>
      <c r="M40" s="37">
        <f>IF(tblReceipts[[#This Row],[Date]]="","",IFERROR(INDEX(tblSuppliers[PPM limit],MATCH(tblReceipts[[#This Row],[Supplier]],tblSuppliers[Supplier],0)),""))</f>
        <v>1500</v>
      </c>
      <c r="N40" s="38">
        <f>IF(tblReceipts[[#This Row],[Date]]="","",IF(AND(ISNUMBER(tblReceipts[[#This Row],[PPM]]),ISNUMBER(tblReceipts[[#This Row],[PPM limit]])),tblReceipts[[#This Row],[PPM]]-tblReceipts[[#This Row],[PPM limit]],""))</f>
        <v>-1500</v>
      </c>
      <c r="O40" s="39" t="str">
        <f>IF(NOT(ISNUMBER(tblReceipts[[#This Row],[PPM]])),"",IF(tblReceipts[[#This Row],[PPM]]&lt;=tblReceipts[[#This Row],[PPM limit]],"On target",IF(tblReceipts[[#This Row],[PPM]]&lt;=tblReceipts[[#This Row],[PPM limit]]*(1+0.05),"Near target","Above target")))</f>
        <v>On target</v>
      </c>
      <c r="P40" s="40">
        <f>IF(tblReceipts[[#This Row],[Date]]="","",IF(AND(tblReceipts[[#This Row],[Date]]&gt;=FFrom,tblReceipts[[#This Row],[Date]]&lt;=FTo,OR(DashSupplier="",tblReceipts[[#This Row],[Supplier]]=DashSupplier)),tblReceipts[[#This Row],[Date]],""))</f>
        <v>46168</v>
      </c>
      <c r="Q4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0" s="33" t="s">
        <v>136</v>
      </c>
    </row>
    <row r="41" spans="2:18">
      <c r="B41" s="35">
        <v>46169</v>
      </c>
      <c r="C41" s="28" t="s">
        <v>184</v>
      </c>
      <c r="D41" s="28" t="s">
        <v>80</v>
      </c>
      <c r="E41" s="28" t="s">
        <v>150</v>
      </c>
      <c r="F41" s="29">
        <v>400</v>
      </c>
      <c r="G41" s="29">
        <v>0</v>
      </c>
      <c r="H41" s="28" t="s">
        <v>136</v>
      </c>
      <c r="I41" s="28" t="s">
        <v>136</v>
      </c>
      <c r="J41" s="28" t="s">
        <v>136</v>
      </c>
      <c r="K41" s="36">
        <f>IF(tblReceipts[[#This Row],[Date]]="","",IF(tblReceipts[[#This Row],[Received]]&gt;0,tblReceipts[[#This Row],[Rejected]]/tblReceipts[[#This Row],[Received]],""))</f>
        <v>0</v>
      </c>
      <c r="L41" s="37">
        <f>IF(tblReceipts[[#This Row],[Date]]="","",IF(tblReceipts[[#This Row],[Received]]&gt;0,tblReceipts[[#This Row],[Rejected]]/tblReceipts[[#This Row],[Received]]*1000000,""))</f>
        <v>0</v>
      </c>
      <c r="M41" s="37">
        <f>IF(tblReceipts[[#This Row],[Date]]="","",IFERROR(INDEX(tblSuppliers[PPM limit],MATCH(tblReceipts[[#This Row],[Supplier]],tblSuppliers[Supplier],0)),""))</f>
        <v>500</v>
      </c>
      <c r="N41" s="38">
        <f>IF(tblReceipts[[#This Row],[Date]]="","",IF(AND(ISNUMBER(tblReceipts[[#This Row],[PPM]]),ISNUMBER(tblReceipts[[#This Row],[PPM limit]])),tblReceipts[[#This Row],[PPM]]-tblReceipts[[#This Row],[PPM limit]],""))</f>
        <v>-500</v>
      </c>
      <c r="O41" s="39" t="str">
        <f>IF(NOT(ISNUMBER(tblReceipts[[#This Row],[PPM]])),"",IF(tblReceipts[[#This Row],[PPM]]&lt;=tblReceipts[[#This Row],[PPM limit]],"On target",IF(tblReceipts[[#This Row],[PPM]]&lt;=tblReceipts[[#This Row],[PPM limit]]*(1+0.05),"Near target","Above target")))</f>
        <v>On target</v>
      </c>
      <c r="P41" s="40">
        <f>IF(tblReceipts[[#This Row],[Date]]="","",IF(AND(tblReceipts[[#This Row],[Date]]&gt;=FFrom,tblReceipts[[#This Row],[Date]]&lt;=FTo,OR(DashSupplier="",tblReceipts[[#This Row],[Supplier]]=DashSupplier)),tblReceipts[[#This Row],[Date]],""))</f>
        <v>46169</v>
      </c>
      <c r="Q4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1" s="33" t="s">
        <v>136</v>
      </c>
    </row>
    <row r="42" spans="2:18">
      <c r="B42" s="35">
        <v>46171</v>
      </c>
      <c r="C42" s="28" t="s">
        <v>185</v>
      </c>
      <c r="D42" s="28" t="s">
        <v>86</v>
      </c>
      <c r="E42" s="28" t="s">
        <v>146</v>
      </c>
      <c r="F42" s="29">
        <v>60</v>
      </c>
      <c r="G42" s="29">
        <v>0</v>
      </c>
      <c r="H42" s="28" t="s">
        <v>136</v>
      </c>
      <c r="I42" s="28" t="s">
        <v>136</v>
      </c>
      <c r="J42" s="28" t="s">
        <v>136</v>
      </c>
      <c r="K42" s="36">
        <f>IF(tblReceipts[[#This Row],[Date]]="","",IF(tblReceipts[[#This Row],[Received]]&gt;0,tblReceipts[[#This Row],[Rejected]]/tblReceipts[[#This Row],[Received]],""))</f>
        <v>0</v>
      </c>
      <c r="L42" s="37">
        <f>IF(tblReceipts[[#This Row],[Date]]="","",IF(tblReceipts[[#This Row],[Received]]&gt;0,tblReceipts[[#This Row],[Rejected]]/tblReceipts[[#This Row],[Received]]*1000000,""))</f>
        <v>0</v>
      </c>
      <c r="M42" s="37">
        <f>IF(tblReceipts[[#This Row],[Date]]="","",IFERROR(INDEX(tblSuppliers[PPM limit],MATCH(tblReceipts[[#This Row],[Supplier]],tblSuppliers[Supplier],0)),""))</f>
        <v>3000</v>
      </c>
      <c r="N42" s="38">
        <f>IF(tblReceipts[[#This Row],[Date]]="","",IF(AND(ISNUMBER(tblReceipts[[#This Row],[PPM]]),ISNUMBER(tblReceipts[[#This Row],[PPM limit]])),tblReceipts[[#This Row],[PPM]]-tblReceipts[[#This Row],[PPM limit]],""))</f>
        <v>-3000</v>
      </c>
      <c r="O42" s="39" t="str">
        <f>IF(NOT(ISNUMBER(tblReceipts[[#This Row],[PPM]])),"",IF(tblReceipts[[#This Row],[PPM]]&lt;=tblReceipts[[#This Row],[PPM limit]],"On target",IF(tblReceipts[[#This Row],[PPM]]&lt;=tblReceipts[[#This Row],[PPM limit]]*(1+0.05),"Near target","Above target")))</f>
        <v>On target</v>
      </c>
      <c r="P42" s="40">
        <f>IF(tblReceipts[[#This Row],[Date]]="","",IF(AND(tblReceipts[[#This Row],[Date]]&gt;=FFrom,tblReceipts[[#This Row],[Date]]&lt;=FTo,OR(DashSupplier="",tblReceipts[[#This Row],[Supplier]]=DashSupplier)),tblReceipts[[#This Row],[Date]],""))</f>
        <v>46171</v>
      </c>
      <c r="Q4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2" s="33" t="s">
        <v>136</v>
      </c>
    </row>
    <row r="43" spans="2:18">
      <c r="B43" s="35">
        <v>46174</v>
      </c>
      <c r="C43" s="28" t="s">
        <v>186</v>
      </c>
      <c r="D43" s="28" t="s">
        <v>82</v>
      </c>
      <c r="E43" s="28" t="s">
        <v>134</v>
      </c>
      <c r="F43" s="29">
        <v>15000</v>
      </c>
      <c r="G43" s="29">
        <v>0</v>
      </c>
      <c r="H43" s="28" t="s">
        <v>136</v>
      </c>
      <c r="I43" s="28" t="s">
        <v>136</v>
      </c>
      <c r="J43" s="28" t="s">
        <v>136</v>
      </c>
      <c r="K43" s="36">
        <f>IF(tblReceipts[[#This Row],[Date]]="","",IF(tblReceipts[[#This Row],[Received]]&gt;0,tblReceipts[[#This Row],[Rejected]]/tblReceipts[[#This Row],[Received]],""))</f>
        <v>0</v>
      </c>
      <c r="L43" s="37">
        <f>IF(tblReceipts[[#This Row],[Date]]="","",IF(tblReceipts[[#This Row],[Received]]&gt;0,tblReceipts[[#This Row],[Rejected]]/tblReceipts[[#This Row],[Received]]*1000000,""))</f>
        <v>0</v>
      </c>
      <c r="M43" s="37">
        <f>IF(tblReceipts[[#This Row],[Date]]="","",IFERROR(INDEX(tblSuppliers[PPM limit],MATCH(tblReceipts[[#This Row],[Supplier]],tblSuppliers[Supplier],0)),""))</f>
        <v>100</v>
      </c>
      <c r="N43" s="38">
        <f>IF(tblReceipts[[#This Row],[Date]]="","",IF(AND(ISNUMBER(tblReceipts[[#This Row],[PPM]]),ISNUMBER(tblReceipts[[#This Row],[PPM limit]])),tblReceipts[[#This Row],[PPM]]-tblReceipts[[#This Row],[PPM limit]],""))</f>
        <v>-100</v>
      </c>
      <c r="O43" s="39" t="str">
        <f>IF(NOT(ISNUMBER(tblReceipts[[#This Row],[PPM]])),"",IF(tblReceipts[[#This Row],[PPM]]&lt;=tblReceipts[[#This Row],[PPM limit]],"On target",IF(tblReceipts[[#This Row],[PPM]]&lt;=tblReceipts[[#This Row],[PPM limit]]*(1+0.05),"Near target","Above target")))</f>
        <v>On target</v>
      </c>
      <c r="P43" s="40">
        <f>IF(tblReceipts[[#This Row],[Date]]="","",IF(AND(tblReceipts[[#This Row],[Date]]&gt;=FFrom,tblReceipts[[#This Row],[Date]]&lt;=FTo,OR(DashSupplier="",tblReceipts[[#This Row],[Supplier]]=DashSupplier)),tblReceipts[[#This Row],[Date]],""))</f>
        <v>46174</v>
      </c>
      <c r="Q4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3" s="33" t="s">
        <v>136</v>
      </c>
    </row>
    <row r="44" spans="2:18">
      <c r="B44" s="35">
        <v>46175</v>
      </c>
      <c r="C44" s="28" t="s">
        <v>187</v>
      </c>
      <c r="D44" s="28" t="s">
        <v>78</v>
      </c>
      <c r="E44" s="28" t="s">
        <v>138</v>
      </c>
      <c r="F44" s="29">
        <v>280</v>
      </c>
      <c r="G44" s="29">
        <v>2</v>
      </c>
      <c r="H44" s="28" t="s">
        <v>93</v>
      </c>
      <c r="I44" s="28" t="s">
        <v>108</v>
      </c>
      <c r="J44" s="28" t="s">
        <v>188</v>
      </c>
      <c r="K44" s="36">
        <f>IF(tblReceipts[[#This Row],[Date]]="","",IF(tblReceipts[[#This Row],[Received]]&gt;0,tblReceipts[[#This Row],[Rejected]]/tblReceipts[[#This Row],[Received]],""))</f>
        <v>0.00714285714285714</v>
      </c>
      <c r="L44" s="37">
        <f>IF(tblReceipts[[#This Row],[Date]]="","",IF(tblReceipts[[#This Row],[Received]]&gt;0,tblReceipts[[#This Row],[Rejected]]/tblReceipts[[#This Row],[Received]]*1000000,""))</f>
        <v>7142.85714285714</v>
      </c>
      <c r="M44" s="37">
        <f>IF(tblReceipts[[#This Row],[Date]]="","",IFERROR(INDEX(tblSuppliers[PPM limit],MATCH(tblReceipts[[#This Row],[Supplier]],tblSuppliers[Supplier],0)),""))</f>
        <v>1500</v>
      </c>
      <c r="N44" s="38">
        <f>IF(tblReceipts[[#This Row],[Date]]="","",IF(AND(ISNUMBER(tblReceipts[[#This Row],[PPM]]),ISNUMBER(tblReceipts[[#This Row],[PPM limit]])),tblReceipts[[#This Row],[PPM]]-tblReceipts[[#This Row],[PPM limit]],""))</f>
        <v>5642.85714285714</v>
      </c>
      <c r="O44" s="39" t="str">
        <f>IF(NOT(ISNUMBER(tblReceipts[[#This Row],[PPM]])),"",IF(tblReceipts[[#This Row],[PPM]]&lt;=tblReceipts[[#This Row],[PPM limit]],"On target",IF(tblReceipts[[#This Row],[PPM]]&lt;=tblReceipts[[#This Row],[PPM limit]]*(1+0.05),"Near target","Above target")))</f>
        <v>Above target</v>
      </c>
      <c r="P44" s="40">
        <f>IF(tblReceipts[[#This Row],[Date]]="","",IF(AND(tblReceipts[[#This Row],[Date]]&gt;=FFrom,tblReceipts[[#This Row],[Date]]&lt;=FTo,OR(DashSupplier="",tblReceipts[[#This Row],[Supplier]]=DashSupplier)),tblReceipts[[#This Row],[Date]],""))</f>
        <v>46175</v>
      </c>
      <c r="Q4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4" s="33" t="s">
        <v>136</v>
      </c>
    </row>
    <row r="45" spans="2:18">
      <c r="B45" s="35">
        <v>46176</v>
      </c>
      <c r="C45" s="28" t="s">
        <v>189</v>
      </c>
      <c r="D45" s="28" t="s">
        <v>80</v>
      </c>
      <c r="E45" s="28" t="s">
        <v>140</v>
      </c>
      <c r="F45" s="29">
        <v>400</v>
      </c>
      <c r="G45" s="29">
        <v>0</v>
      </c>
      <c r="H45" s="28" t="s">
        <v>136</v>
      </c>
      <c r="I45" s="28" t="s">
        <v>136</v>
      </c>
      <c r="J45" s="28" t="s">
        <v>136</v>
      </c>
      <c r="K45" s="36">
        <f>IF(tblReceipts[[#This Row],[Date]]="","",IF(tblReceipts[[#This Row],[Received]]&gt;0,tblReceipts[[#This Row],[Rejected]]/tblReceipts[[#This Row],[Received]],""))</f>
        <v>0</v>
      </c>
      <c r="L45" s="37">
        <f>IF(tblReceipts[[#This Row],[Date]]="","",IF(tblReceipts[[#This Row],[Received]]&gt;0,tblReceipts[[#This Row],[Rejected]]/tblReceipts[[#This Row],[Received]]*1000000,""))</f>
        <v>0</v>
      </c>
      <c r="M45" s="37">
        <f>IF(tblReceipts[[#This Row],[Date]]="","",IFERROR(INDEX(tblSuppliers[PPM limit],MATCH(tblReceipts[[#This Row],[Supplier]],tblSuppliers[Supplier],0)),""))</f>
        <v>500</v>
      </c>
      <c r="N45" s="38">
        <f>IF(tblReceipts[[#This Row],[Date]]="","",IF(AND(ISNUMBER(tblReceipts[[#This Row],[PPM]]),ISNUMBER(tblReceipts[[#This Row],[PPM limit]])),tblReceipts[[#This Row],[PPM]]-tblReceipts[[#This Row],[PPM limit]],""))</f>
        <v>-500</v>
      </c>
      <c r="O45" s="39" t="str">
        <f>IF(NOT(ISNUMBER(tblReceipts[[#This Row],[PPM]])),"",IF(tblReceipts[[#This Row],[PPM]]&lt;=tblReceipts[[#This Row],[PPM limit]],"On target",IF(tblReceipts[[#This Row],[PPM]]&lt;=tblReceipts[[#This Row],[PPM limit]]*(1+0.05),"Near target","Above target")))</f>
        <v>On target</v>
      </c>
      <c r="P45" s="40">
        <f>IF(tblReceipts[[#This Row],[Date]]="","",IF(AND(tblReceipts[[#This Row],[Date]]&gt;=FFrom,tblReceipts[[#This Row],[Date]]&lt;=FTo,OR(DashSupplier="",tblReceipts[[#This Row],[Supplier]]=DashSupplier)),tblReceipts[[#This Row],[Date]],""))</f>
        <v>46176</v>
      </c>
      <c r="Q4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5" s="33" t="s">
        <v>136</v>
      </c>
    </row>
    <row r="46" spans="2:18">
      <c r="B46" s="35">
        <v>46176</v>
      </c>
      <c r="C46" s="28" t="s">
        <v>190</v>
      </c>
      <c r="D46" s="28" t="s">
        <v>88</v>
      </c>
      <c r="E46" s="28" t="s">
        <v>142</v>
      </c>
      <c r="F46" s="29">
        <v>550</v>
      </c>
      <c r="G46" s="29">
        <v>0</v>
      </c>
      <c r="H46" s="28" t="s">
        <v>136</v>
      </c>
      <c r="I46" s="28" t="s">
        <v>136</v>
      </c>
      <c r="J46" s="28" t="s">
        <v>136</v>
      </c>
      <c r="K46" s="36">
        <f>IF(tblReceipts[[#This Row],[Date]]="","",IF(tblReceipts[[#This Row],[Received]]&gt;0,tblReceipts[[#This Row],[Rejected]]/tblReceipts[[#This Row],[Received]],""))</f>
        <v>0</v>
      </c>
      <c r="L46" s="37">
        <f>IF(tblReceipts[[#This Row],[Date]]="","",IF(tblReceipts[[#This Row],[Received]]&gt;0,tblReceipts[[#This Row],[Rejected]]/tblReceipts[[#This Row],[Received]]*1000000,""))</f>
        <v>0</v>
      </c>
      <c r="M46" s="37">
        <f>IF(tblReceipts[[#This Row],[Date]]="","",IFERROR(INDEX(tblSuppliers[PPM limit],MATCH(tblReceipts[[#This Row],[Supplier]],tblSuppliers[Supplier],0)),""))</f>
        <v>300</v>
      </c>
      <c r="N46" s="38">
        <f>IF(tblReceipts[[#This Row],[Date]]="","",IF(AND(ISNUMBER(tblReceipts[[#This Row],[PPM]]),ISNUMBER(tblReceipts[[#This Row],[PPM limit]])),tblReceipts[[#This Row],[PPM]]-tblReceipts[[#This Row],[PPM limit]],""))</f>
        <v>-300</v>
      </c>
      <c r="O46" s="39" t="str">
        <f>IF(NOT(ISNUMBER(tblReceipts[[#This Row],[PPM]])),"",IF(tblReceipts[[#This Row],[PPM]]&lt;=tblReceipts[[#This Row],[PPM limit]],"On target",IF(tblReceipts[[#This Row],[PPM]]&lt;=tblReceipts[[#This Row],[PPM limit]]*(1+0.05),"Near target","Above target")))</f>
        <v>On target</v>
      </c>
      <c r="P46" s="40">
        <f>IF(tblReceipts[[#This Row],[Date]]="","",IF(AND(tblReceipts[[#This Row],[Date]]&gt;=FFrom,tblReceipts[[#This Row],[Date]]&lt;=FTo,OR(DashSupplier="",tblReceipts[[#This Row],[Supplier]]=DashSupplier)),tblReceipts[[#This Row],[Date]],""))</f>
        <v>46176</v>
      </c>
      <c r="Q4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6" s="33" t="s">
        <v>136</v>
      </c>
    </row>
    <row r="47" spans="2:18">
      <c r="B47" s="35">
        <v>46177</v>
      </c>
      <c r="C47" s="28" t="s">
        <v>191</v>
      </c>
      <c r="D47" s="28" t="s">
        <v>84</v>
      </c>
      <c r="E47" s="28" t="s">
        <v>144</v>
      </c>
      <c r="F47" s="29">
        <v>7000</v>
      </c>
      <c r="G47" s="29">
        <v>2</v>
      </c>
      <c r="H47" s="28" t="s">
        <v>95</v>
      </c>
      <c r="I47" s="28" t="s">
        <v>108</v>
      </c>
      <c r="J47" s="28" t="s">
        <v>192</v>
      </c>
      <c r="K47" s="36">
        <f>IF(tblReceipts[[#This Row],[Date]]="","",IF(tblReceipts[[#This Row],[Received]]&gt;0,tblReceipts[[#This Row],[Rejected]]/tblReceipts[[#This Row],[Received]],""))</f>
        <v>0.000285714285714286</v>
      </c>
      <c r="L47" s="37">
        <f>IF(tblReceipts[[#This Row],[Date]]="","",IF(tblReceipts[[#This Row],[Received]]&gt;0,tblReceipts[[#This Row],[Rejected]]/tblReceipts[[#This Row],[Received]]*1000000,""))</f>
        <v>285.714285714286</v>
      </c>
      <c r="M47" s="37">
        <f>IF(tblReceipts[[#This Row],[Date]]="","",IFERROR(INDEX(tblSuppliers[PPM limit],MATCH(tblReceipts[[#This Row],[Supplier]],tblSuppliers[Supplier],0)),""))</f>
        <v>250</v>
      </c>
      <c r="N47" s="38">
        <f>IF(tblReceipts[[#This Row],[Date]]="","",IF(AND(ISNUMBER(tblReceipts[[#This Row],[PPM]]),ISNUMBER(tblReceipts[[#This Row],[PPM limit]])),tblReceipts[[#This Row],[PPM]]-tblReceipts[[#This Row],[PPM limit]],""))</f>
        <v>35.7142857142857</v>
      </c>
      <c r="O47" s="39" t="str">
        <f>IF(NOT(ISNUMBER(tblReceipts[[#This Row],[PPM]])),"",IF(tblReceipts[[#This Row],[PPM]]&lt;=tblReceipts[[#This Row],[PPM limit]],"On target",IF(tblReceipts[[#This Row],[PPM]]&lt;=tblReceipts[[#This Row],[PPM limit]]*(1+0.05),"Near target","Above target")))</f>
        <v>Above target</v>
      </c>
      <c r="P47" s="40">
        <f>IF(tblReceipts[[#This Row],[Date]]="","",IF(AND(tblReceipts[[#This Row],[Date]]&gt;=FFrom,tblReceipts[[#This Row],[Date]]&lt;=FTo,OR(DashSupplier="",tblReceipts[[#This Row],[Supplier]]=DashSupplier)),tblReceipts[[#This Row],[Date]],""))</f>
        <v>46177</v>
      </c>
      <c r="Q4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7" s="33" t="s">
        <v>136</v>
      </c>
    </row>
    <row r="48" spans="2:18">
      <c r="B48" s="35">
        <v>46178</v>
      </c>
      <c r="C48" s="28" t="s">
        <v>193</v>
      </c>
      <c r="D48" s="28" t="s">
        <v>86</v>
      </c>
      <c r="E48" s="28" t="s">
        <v>146</v>
      </c>
      <c r="F48" s="29">
        <v>54</v>
      </c>
      <c r="G48" s="29">
        <v>0</v>
      </c>
      <c r="H48" s="28" t="s">
        <v>136</v>
      </c>
      <c r="I48" s="28" t="s">
        <v>136</v>
      </c>
      <c r="J48" s="28" t="s">
        <v>136</v>
      </c>
      <c r="K48" s="36">
        <f>IF(tblReceipts[[#This Row],[Date]]="","",IF(tblReceipts[[#This Row],[Received]]&gt;0,tblReceipts[[#This Row],[Rejected]]/tblReceipts[[#This Row],[Received]],""))</f>
        <v>0</v>
      </c>
      <c r="L48" s="37">
        <f>IF(tblReceipts[[#This Row],[Date]]="","",IF(tblReceipts[[#This Row],[Received]]&gt;0,tblReceipts[[#This Row],[Rejected]]/tblReceipts[[#This Row],[Received]]*1000000,""))</f>
        <v>0</v>
      </c>
      <c r="M48" s="37">
        <f>IF(tblReceipts[[#This Row],[Date]]="","",IFERROR(INDEX(tblSuppliers[PPM limit],MATCH(tblReceipts[[#This Row],[Supplier]],tblSuppliers[Supplier],0)),""))</f>
        <v>3000</v>
      </c>
      <c r="N48" s="38">
        <f>IF(tblReceipts[[#This Row],[Date]]="","",IF(AND(ISNUMBER(tblReceipts[[#This Row],[PPM]]),ISNUMBER(tblReceipts[[#This Row],[PPM limit]])),tblReceipts[[#This Row],[PPM]]-tblReceipts[[#This Row],[PPM limit]],""))</f>
        <v>-3000</v>
      </c>
      <c r="O48" s="39" t="str">
        <f>IF(NOT(ISNUMBER(tblReceipts[[#This Row],[PPM]])),"",IF(tblReceipts[[#This Row],[PPM]]&lt;=tblReceipts[[#This Row],[PPM limit]],"On target",IF(tblReceipts[[#This Row],[PPM]]&lt;=tblReceipts[[#This Row],[PPM limit]]*(1+0.05),"Near target","Above target")))</f>
        <v>On target</v>
      </c>
      <c r="P48" s="40">
        <f>IF(tblReceipts[[#This Row],[Date]]="","",IF(AND(tblReceipts[[#This Row],[Date]]&gt;=FFrom,tblReceipts[[#This Row],[Date]]&lt;=FTo,OR(DashSupplier="",tblReceipts[[#This Row],[Supplier]]=DashSupplier)),tblReceipts[[#This Row],[Date]],""))</f>
        <v>46178</v>
      </c>
      <c r="Q4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8" s="33" t="s">
        <v>136</v>
      </c>
    </row>
    <row r="49" spans="2:18">
      <c r="B49" s="35">
        <v>46182</v>
      </c>
      <c r="C49" s="28" t="s">
        <v>194</v>
      </c>
      <c r="D49" s="28" t="s">
        <v>78</v>
      </c>
      <c r="E49" s="28" t="s">
        <v>148</v>
      </c>
      <c r="F49" s="29">
        <v>260</v>
      </c>
      <c r="G49" s="29">
        <v>4</v>
      </c>
      <c r="H49" s="28" t="s">
        <v>93</v>
      </c>
      <c r="I49" s="28" t="s">
        <v>108</v>
      </c>
      <c r="J49" s="28" t="s">
        <v>195</v>
      </c>
      <c r="K49" s="36">
        <f>IF(tblReceipts[[#This Row],[Date]]="","",IF(tblReceipts[[#This Row],[Received]]&gt;0,tblReceipts[[#This Row],[Rejected]]/tblReceipts[[#This Row],[Received]],""))</f>
        <v>0.0153846153846154</v>
      </c>
      <c r="L49" s="37">
        <f>IF(tblReceipts[[#This Row],[Date]]="","",IF(tblReceipts[[#This Row],[Received]]&gt;0,tblReceipts[[#This Row],[Rejected]]/tblReceipts[[#This Row],[Received]]*1000000,""))</f>
        <v>15384.6153846154</v>
      </c>
      <c r="M49" s="37">
        <f>IF(tblReceipts[[#This Row],[Date]]="","",IFERROR(INDEX(tblSuppliers[PPM limit],MATCH(tblReceipts[[#This Row],[Supplier]],tblSuppliers[Supplier],0)),""))</f>
        <v>1500</v>
      </c>
      <c r="N49" s="38">
        <f>IF(tblReceipts[[#This Row],[Date]]="","",IF(AND(ISNUMBER(tblReceipts[[#This Row],[PPM]]),ISNUMBER(tblReceipts[[#This Row],[PPM limit]])),tblReceipts[[#This Row],[PPM]]-tblReceipts[[#This Row],[PPM limit]],""))</f>
        <v>13884.6153846154</v>
      </c>
      <c r="O49" s="39" t="str">
        <f>IF(NOT(ISNUMBER(tblReceipts[[#This Row],[PPM]])),"",IF(tblReceipts[[#This Row],[PPM]]&lt;=tblReceipts[[#This Row],[PPM limit]],"On target",IF(tblReceipts[[#This Row],[PPM]]&lt;=tblReceipts[[#This Row],[PPM limit]]*(1+0.05),"Near target","Above target")))</f>
        <v>Above target</v>
      </c>
      <c r="P49" s="40">
        <f>IF(tblReceipts[[#This Row],[Date]]="","",IF(AND(tblReceipts[[#This Row],[Date]]&gt;=FFrom,tblReceipts[[#This Row],[Date]]&lt;=FTo,OR(DashSupplier="",tblReceipts[[#This Row],[Supplier]]=DashSupplier)),tblReceipts[[#This Row],[Date]],""))</f>
        <v>46182</v>
      </c>
      <c r="Q4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49" s="33" t="s">
        <v>136</v>
      </c>
    </row>
    <row r="50" spans="2:18">
      <c r="B50" s="35">
        <v>46183</v>
      </c>
      <c r="C50" s="28" t="s">
        <v>196</v>
      </c>
      <c r="D50" s="28" t="s">
        <v>80</v>
      </c>
      <c r="E50" s="28" t="s">
        <v>150</v>
      </c>
      <c r="F50" s="29">
        <v>480</v>
      </c>
      <c r="G50" s="29">
        <v>0</v>
      </c>
      <c r="H50" s="28" t="s">
        <v>136</v>
      </c>
      <c r="I50" s="28" t="s">
        <v>136</v>
      </c>
      <c r="J50" s="28" t="s">
        <v>136</v>
      </c>
      <c r="K50" s="36">
        <f>IF(tblReceipts[[#This Row],[Date]]="","",IF(tblReceipts[[#This Row],[Received]]&gt;0,tblReceipts[[#This Row],[Rejected]]/tblReceipts[[#This Row],[Received]],""))</f>
        <v>0</v>
      </c>
      <c r="L50" s="37">
        <f>IF(tblReceipts[[#This Row],[Date]]="","",IF(tblReceipts[[#This Row],[Received]]&gt;0,tblReceipts[[#This Row],[Rejected]]/tblReceipts[[#This Row],[Received]]*1000000,""))</f>
        <v>0</v>
      </c>
      <c r="M50" s="37">
        <f>IF(tblReceipts[[#This Row],[Date]]="","",IFERROR(INDEX(tblSuppliers[PPM limit],MATCH(tblReceipts[[#This Row],[Supplier]],tblSuppliers[Supplier],0)),""))</f>
        <v>500</v>
      </c>
      <c r="N50" s="38">
        <f>IF(tblReceipts[[#This Row],[Date]]="","",IF(AND(ISNUMBER(tblReceipts[[#This Row],[PPM]]),ISNUMBER(tblReceipts[[#This Row],[PPM limit]])),tblReceipts[[#This Row],[PPM]]-tblReceipts[[#This Row],[PPM limit]],""))</f>
        <v>-500</v>
      </c>
      <c r="O50" s="39" t="str">
        <f>IF(NOT(ISNUMBER(tblReceipts[[#This Row],[PPM]])),"",IF(tblReceipts[[#This Row],[PPM]]&lt;=tblReceipts[[#This Row],[PPM limit]],"On target",IF(tblReceipts[[#This Row],[PPM]]&lt;=tblReceipts[[#This Row],[PPM limit]]*(1+0.05),"Near target","Above target")))</f>
        <v>On target</v>
      </c>
      <c r="P50" s="40">
        <f>IF(tblReceipts[[#This Row],[Date]]="","",IF(AND(tblReceipts[[#This Row],[Date]]&gt;=FFrom,tblReceipts[[#This Row],[Date]]&lt;=FTo,OR(DashSupplier="",tblReceipts[[#This Row],[Supplier]]=DashSupplier)),tblReceipts[[#This Row],[Date]],""))</f>
        <v>46183</v>
      </c>
      <c r="Q5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0" s="33" t="s">
        <v>136</v>
      </c>
    </row>
    <row r="51" spans="2:18">
      <c r="B51" s="35">
        <v>46185</v>
      </c>
      <c r="C51" s="28" t="s">
        <v>197</v>
      </c>
      <c r="D51" s="28" t="s">
        <v>86</v>
      </c>
      <c r="E51" s="28" t="s">
        <v>146</v>
      </c>
      <c r="F51" s="29">
        <v>36</v>
      </c>
      <c r="G51" s="29">
        <v>1</v>
      </c>
      <c r="H51" s="28" t="s">
        <v>101</v>
      </c>
      <c r="I51" s="28" t="s">
        <v>108</v>
      </c>
      <c r="J51" s="28" t="s">
        <v>198</v>
      </c>
      <c r="K51" s="36">
        <f>IF(tblReceipts[[#This Row],[Date]]="","",IF(tblReceipts[[#This Row],[Received]]&gt;0,tblReceipts[[#This Row],[Rejected]]/tblReceipts[[#This Row],[Received]],""))</f>
        <v>0.0277777777777778</v>
      </c>
      <c r="L51" s="37">
        <f>IF(tblReceipts[[#This Row],[Date]]="","",IF(tblReceipts[[#This Row],[Received]]&gt;0,tblReceipts[[#This Row],[Rejected]]/tblReceipts[[#This Row],[Received]]*1000000,""))</f>
        <v>27777.7777777778</v>
      </c>
      <c r="M51" s="37">
        <f>IF(tblReceipts[[#This Row],[Date]]="","",IFERROR(INDEX(tblSuppliers[PPM limit],MATCH(tblReceipts[[#This Row],[Supplier]],tblSuppliers[Supplier],0)),""))</f>
        <v>3000</v>
      </c>
      <c r="N51" s="38">
        <f>IF(tblReceipts[[#This Row],[Date]]="","",IF(AND(ISNUMBER(tblReceipts[[#This Row],[PPM]]),ISNUMBER(tblReceipts[[#This Row],[PPM limit]])),tblReceipts[[#This Row],[PPM]]-tblReceipts[[#This Row],[PPM limit]],""))</f>
        <v>24777.7777777778</v>
      </c>
      <c r="O51" s="39" t="str">
        <f>IF(NOT(ISNUMBER(tblReceipts[[#This Row],[PPM]])),"",IF(tblReceipts[[#This Row],[PPM]]&lt;=tblReceipts[[#This Row],[PPM limit]],"On target",IF(tblReceipts[[#This Row],[PPM]]&lt;=tblReceipts[[#This Row],[PPM limit]]*(1+0.05),"Near target","Above target")))</f>
        <v>Above target</v>
      </c>
      <c r="P51" s="40">
        <f>IF(tblReceipts[[#This Row],[Date]]="","",IF(AND(tblReceipts[[#This Row],[Date]]&gt;=FFrom,tblReceipts[[#This Row],[Date]]&lt;=FTo,OR(DashSupplier="",tblReceipts[[#This Row],[Supplier]]=DashSupplier)),tblReceipts[[#This Row],[Date]],""))</f>
        <v>46185</v>
      </c>
      <c r="Q5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1" s="33" t="s">
        <v>136</v>
      </c>
    </row>
    <row r="52" spans="2:18">
      <c r="B52" s="35">
        <v>46188</v>
      </c>
      <c r="C52" s="28" t="s">
        <v>199</v>
      </c>
      <c r="D52" s="28" t="s">
        <v>82</v>
      </c>
      <c r="E52" s="28" t="s">
        <v>153</v>
      </c>
      <c r="F52" s="29">
        <v>23000</v>
      </c>
      <c r="G52" s="29">
        <v>1</v>
      </c>
      <c r="H52" s="28" t="s">
        <v>91</v>
      </c>
      <c r="I52" s="28" t="s">
        <v>110</v>
      </c>
      <c r="J52" s="28" t="s">
        <v>200</v>
      </c>
      <c r="K52" s="36">
        <f>IF(tblReceipts[[#This Row],[Date]]="","",IF(tblReceipts[[#This Row],[Received]]&gt;0,tblReceipts[[#This Row],[Rejected]]/tblReceipts[[#This Row],[Received]],""))</f>
        <v>4.34782608695652e-05</v>
      </c>
      <c r="L52" s="37">
        <f>IF(tblReceipts[[#This Row],[Date]]="","",IF(tblReceipts[[#This Row],[Received]]&gt;0,tblReceipts[[#This Row],[Rejected]]/tblReceipts[[#This Row],[Received]]*1000000,""))</f>
        <v>43.4782608695652</v>
      </c>
      <c r="M52" s="37">
        <f>IF(tblReceipts[[#This Row],[Date]]="","",IFERROR(INDEX(tblSuppliers[PPM limit],MATCH(tblReceipts[[#This Row],[Supplier]],tblSuppliers[Supplier],0)),""))</f>
        <v>100</v>
      </c>
      <c r="N52" s="38">
        <f>IF(tblReceipts[[#This Row],[Date]]="","",IF(AND(ISNUMBER(tblReceipts[[#This Row],[PPM]]),ISNUMBER(tblReceipts[[#This Row],[PPM limit]])),tblReceipts[[#This Row],[PPM]]-tblReceipts[[#This Row],[PPM limit]],""))</f>
        <v>-56.5217391304348</v>
      </c>
      <c r="O52" s="39" t="str">
        <f>IF(NOT(ISNUMBER(tblReceipts[[#This Row],[PPM]])),"",IF(tblReceipts[[#This Row],[PPM]]&lt;=tblReceipts[[#This Row],[PPM limit]],"On target",IF(tblReceipts[[#This Row],[PPM]]&lt;=tblReceipts[[#This Row],[PPM limit]]*(1+0.05),"Near target","Above target")))</f>
        <v>On target</v>
      </c>
      <c r="P52" s="40">
        <f>IF(tblReceipts[[#This Row],[Date]]="","",IF(AND(tblReceipts[[#This Row],[Date]]&gt;=FFrom,tblReceipts[[#This Row],[Date]]&lt;=FTo,OR(DashSupplier="",tblReceipts[[#This Row],[Supplier]]=DashSupplier)),tblReceipts[[#This Row],[Date]],""))</f>
        <v>46188</v>
      </c>
      <c r="Q5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2" s="33" t="s">
        <v>136</v>
      </c>
    </row>
    <row r="53" spans="2:18">
      <c r="B53" s="35">
        <v>46189</v>
      </c>
      <c r="C53" s="28" t="s">
        <v>201</v>
      </c>
      <c r="D53" s="28" t="s">
        <v>78</v>
      </c>
      <c r="E53" s="28" t="s">
        <v>138</v>
      </c>
      <c r="F53" s="29">
        <v>310</v>
      </c>
      <c r="G53" s="29">
        <v>7</v>
      </c>
      <c r="H53" s="28" t="s">
        <v>93</v>
      </c>
      <c r="I53" s="28" t="s">
        <v>108</v>
      </c>
      <c r="J53" s="28" t="s">
        <v>202</v>
      </c>
      <c r="K53" s="36">
        <f>IF(tblReceipts[[#This Row],[Date]]="","",IF(tblReceipts[[#This Row],[Received]]&gt;0,tblReceipts[[#This Row],[Rejected]]/tblReceipts[[#This Row],[Received]],""))</f>
        <v>0.0225806451612903</v>
      </c>
      <c r="L53" s="37">
        <f>IF(tblReceipts[[#This Row],[Date]]="","",IF(tblReceipts[[#This Row],[Received]]&gt;0,tblReceipts[[#This Row],[Rejected]]/tblReceipts[[#This Row],[Received]]*1000000,""))</f>
        <v>22580.6451612903</v>
      </c>
      <c r="M53" s="37">
        <f>IF(tblReceipts[[#This Row],[Date]]="","",IFERROR(INDEX(tblSuppliers[PPM limit],MATCH(tblReceipts[[#This Row],[Supplier]],tblSuppliers[Supplier],0)),""))</f>
        <v>1500</v>
      </c>
      <c r="N53" s="38">
        <f>IF(tblReceipts[[#This Row],[Date]]="","",IF(AND(ISNUMBER(tblReceipts[[#This Row],[PPM]]),ISNUMBER(tblReceipts[[#This Row],[PPM limit]])),tblReceipts[[#This Row],[PPM]]-tblReceipts[[#This Row],[PPM limit]],""))</f>
        <v>21080.6451612903</v>
      </c>
      <c r="O53" s="39" t="str">
        <f>IF(NOT(ISNUMBER(tblReceipts[[#This Row],[PPM]])),"",IF(tblReceipts[[#This Row],[PPM]]&lt;=tblReceipts[[#This Row],[PPM limit]],"On target",IF(tblReceipts[[#This Row],[PPM]]&lt;=tblReceipts[[#This Row],[PPM limit]]*(1+0.05),"Near target","Above target")))</f>
        <v>Above target</v>
      </c>
      <c r="P53" s="40">
        <f>IF(tblReceipts[[#This Row],[Date]]="","",IF(AND(tblReceipts[[#This Row],[Date]]&gt;=FFrom,tblReceipts[[#This Row],[Date]]&lt;=FTo,OR(DashSupplier="",tblReceipts[[#This Row],[Supplier]]=DashSupplier)),tblReceipts[[#This Row],[Date]],""))</f>
        <v>46189</v>
      </c>
      <c r="Q5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3" s="33" t="s">
        <v>136</v>
      </c>
    </row>
    <row r="54" spans="2:18">
      <c r="B54" s="35">
        <v>46190</v>
      </c>
      <c r="C54" s="28" t="s">
        <v>203</v>
      </c>
      <c r="D54" s="28" t="s">
        <v>80</v>
      </c>
      <c r="E54" s="28" t="s">
        <v>140</v>
      </c>
      <c r="F54" s="29">
        <v>440</v>
      </c>
      <c r="G54" s="29">
        <v>0</v>
      </c>
      <c r="H54" s="28" t="s">
        <v>136</v>
      </c>
      <c r="I54" s="28" t="s">
        <v>136</v>
      </c>
      <c r="J54" s="28" t="s">
        <v>136</v>
      </c>
      <c r="K54" s="36">
        <f>IF(tblReceipts[[#This Row],[Date]]="","",IF(tblReceipts[[#This Row],[Received]]&gt;0,tblReceipts[[#This Row],[Rejected]]/tblReceipts[[#This Row],[Received]],""))</f>
        <v>0</v>
      </c>
      <c r="L54" s="37">
        <f>IF(tblReceipts[[#This Row],[Date]]="","",IF(tblReceipts[[#This Row],[Received]]&gt;0,tblReceipts[[#This Row],[Rejected]]/tblReceipts[[#This Row],[Received]]*1000000,""))</f>
        <v>0</v>
      </c>
      <c r="M54" s="37">
        <f>IF(tblReceipts[[#This Row],[Date]]="","",IFERROR(INDEX(tblSuppliers[PPM limit],MATCH(tblReceipts[[#This Row],[Supplier]],tblSuppliers[Supplier],0)),""))</f>
        <v>500</v>
      </c>
      <c r="N54" s="38">
        <f>IF(tblReceipts[[#This Row],[Date]]="","",IF(AND(ISNUMBER(tblReceipts[[#This Row],[PPM]]),ISNUMBER(tblReceipts[[#This Row],[PPM limit]])),tblReceipts[[#This Row],[PPM]]-tblReceipts[[#This Row],[PPM limit]],""))</f>
        <v>-500</v>
      </c>
      <c r="O54" s="39" t="str">
        <f>IF(NOT(ISNUMBER(tblReceipts[[#This Row],[PPM]])),"",IF(tblReceipts[[#This Row],[PPM]]&lt;=tblReceipts[[#This Row],[PPM limit]],"On target",IF(tblReceipts[[#This Row],[PPM]]&lt;=tblReceipts[[#This Row],[PPM limit]]*(1+0.05),"Near target","Above target")))</f>
        <v>On target</v>
      </c>
      <c r="P54" s="40">
        <f>IF(tblReceipts[[#This Row],[Date]]="","",IF(AND(tblReceipts[[#This Row],[Date]]&gt;=FFrom,tblReceipts[[#This Row],[Date]]&lt;=FTo,OR(DashSupplier="",tblReceipts[[#This Row],[Supplier]]=DashSupplier)),tblReceipts[[#This Row],[Date]],""))</f>
        <v>46190</v>
      </c>
      <c r="Q5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4" s="33" t="s">
        <v>136</v>
      </c>
    </row>
    <row r="55" spans="2:18">
      <c r="B55" s="35">
        <v>46190</v>
      </c>
      <c r="C55" s="28" t="s">
        <v>204</v>
      </c>
      <c r="D55" s="28" t="s">
        <v>88</v>
      </c>
      <c r="E55" s="28" t="s">
        <v>142</v>
      </c>
      <c r="F55" s="29">
        <v>800</v>
      </c>
      <c r="G55" s="29">
        <v>0</v>
      </c>
      <c r="H55" s="28" t="s">
        <v>136</v>
      </c>
      <c r="I55" s="28" t="s">
        <v>136</v>
      </c>
      <c r="J55" s="28" t="s">
        <v>136</v>
      </c>
      <c r="K55" s="36">
        <f>IF(tblReceipts[[#This Row],[Date]]="","",IF(tblReceipts[[#This Row],[Received]]&gt;0,tblReceipts[[#This Row],[Rejected]]/tblReceipts[[#This Row],[Received]],""))</f>
        <v>0</v>
      </c>
      <c r="L55" s="37">
        <f>IF(tblReceipts[[#This Row],[Date]]="","",IF(tblReceipts[[#This Row],[Received]]&gt;0,tblReceipts[[#This Row],[Rejected]]/tblReceipts[[#This Row],[Received]]*1000000,""))</f>
        <v>0</v>
      </c>
      <c r="M55" s="37">
        <f>IF(tblReceipts[[#This Row],[Date]]="","",IFERROR(INDEX(tblSuppliers[PPM limit],MATCH(tblReceipts[[#This Row],[Supplier]],tblSuppliers[Supplier],0)),""))</f>
        <v>300</v>
      </c>
      <c r="N55" s="38">
        <f>IF(tblReceipts[[#This Row],[Date]]="","",IF(AND(ISNUMBER(tblReceipts[[#This Row],[PPM]]),ISNUMBER(tblReceipts[[#This Row],[PPM limit]])),tblReceipts[[#This Row],[PPM]]-tblReceipts[[#This Row],[PPM limit]],""))</f>
        <v>-300</v>
      </c>
      <c r="O55" s="39" t="str">
        <f>IF(NOT(ISNUMBER(tblReceipts[[#This Row],[PPM]])),"",IF(tblReceipts[[#This Row],[PPM]]&lt;=tblReceipts[[#This Row],[PPM limit]],"On target",IF(tblReceipts[[#This Row],[PPM]]&lt;=tblReceipts[[#This Row],[PPM limit]]*(1+0.05),"Near target","Above target")))</f>
        <v>On target</v>
      </c>
      <c r="P55" s="40">
        <f>IF(tblReceipts[[#This Row],[Date]]="","",IF(AND(tblReceipts[[#This Row],[Date]]&gt;=FFrom,tblReceipts[[#This Row],[Date]]&lt;=FTo,OR(DashSupplier="",tblReceipts[[#This Row],[Supplier]]=DashSupplier)),tblReceipts[[#This Row],[Date]],""))</f>
        <v>46190</v>
      </c>
      <c r="Q5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5" s="33" t="s">
        <v>136</v>
      </c>
    </row>
    <row r="56" spans="2:18">
      <c r="B56" s="35">
        <v>46191</v>
      </c>
      <c r="C56" s="28" t="s">
        <v>205</v>
      </c>
      <c r="D56" s="28" t="s">
        <v>84</v>
      </c>
      <c r="E56" s="28" t="s">
        <v>159</v>
      </c>
      <c r="F56" s="29">
        <v>7500</v>
      </c>
      <c r="G56" s="29">
        <v>2</v>
      </c>
      <c r="H56" s="28" t="s">
        <v>91</v>
      </c>
      <c r="I56" s="28" t="s">
        <v>108</v>
      </c>
      <c r="J56" s="28" t="s">
        <v>206</v>
      </c>
      <c r="K56" s="36">
        <f>IF(tblReceipts[[#This Row],[Date]]="","",IF(tblReceipts[[#This Row],[Received]]&gt;0,tblReceipts[[#This Row],[Rejected]]/tblReceipts[[#This Row],[Received]],""))</f>
        <v>0.000266666666666667</v>
      </c>
      <c r="L56" s="37">
        <f>IF(tblReceipts[[#This Row],[Date]]="","",IF(tblReceipts[[#This Row],[Received]]&gt;0,tblReceipts[[#This Row],[Rejected]]/tblReceipts[[#This Row],[Received]]*1000000,""))</f>
        <v>266.666666666667</v>
      </c>
      <c r="M56" s="37">
        <f>IF(tblReceipts[[#This Row],[Date]]="","",IFERROR(INDEX(tblSuppliers[PPM limit],MATCH(tblReceipts[[#This Row],[Supplier]],tblSuppliers[Supplier],0)),""))</f>
        <v>250</v>
      </c>
      <c r="N56" s="38">
        <f>IF(tblReceipts[[#This Row],[Date]]="","",IF(AND(ISNUMBER(tblReceipts[[#This Row],[PPM]]),ISNUMBER(tblReceipts[[#This Row],[PPM limit]])),tblReceipts[[#This Row],[PPM]]-tblReceipts[[#This Row],[PPM limit]],""))</f>
        <v>16.6666666666667</v>
      </c>
      <c r="O56" s="39" t="str">
        <f>IF(NOT(ISNUMBER(tblReceipts[[#This Row],[PPM]])),"",IF(tblReceipts[[#This Row],[PPM]]&lt;=tblReceipts[[#This Row],[PPM limit]],"On target",IF(tblReceipts[[#This Row],[PPM]]&lt;=tblReceipts[[#This Row],[PPM limit]]*(1+0.05),"Near target","Above target")))</f>
        <v>Above target</v>
      </c>
      <c r="P56" s="40">
        <f>IF(tblReceipts[[#This Row],[Date]]="","",IF(AND(tblReceipts[[#This Row],[Date]]&gt;=FFrom,tblReceipts[[#This Row],[Date]]&lt;=FTo,OR(DashSupplier="",tblReceipts[[#This Row],[Supplier]]=DashSupplier)),tblReceipts[[#This Row],[Date]],""))</f>
        <v>46191</v>
      </c>
      <c r="Q5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6" s="33" t="s">
        <v>136</v>
      </c>
    </row>
    <row r="57" spans="2:18">
      <c r="B57" s="35">
        <v>46192</v>
      </c>
      <c r="C57" s="28" t="s">
        <v>207</v>
      </c>
      <c r="D57" s="28" t="s">
        <v>86</v>
      </c>
      <c r="E57" s="28" t="s">
        <v>146</v>
      </c>
      <c r="F57" s="29">
        <v>48</v>
      </c>
      <c r="G57" s="29">
        <v>0</v>
      </c>
      <c r="H57" s="28" t="s">
        <v>136</v>
      </c>
      <c r="I57" s="28" t="s">
        <v>136</v>
      </c>
      <c r="J57" s="28" t="s">
        <v>136</v>
      </c>
      <c r="K57" s="36">
        <f>IF(tblReceipts[[#This Row],[Date]]="","",IF(tblReceipts[[#This Row],[Received]]&gt;0,tblReceipts[[#This Row],[Rejected]]/tblReceipts[[#This Row],[Received]],""))</f>
        <v>0</v>
      </c>
      <c r="L57" s="37">
        <f>IF(tblReceipts[[#This Row],[Date]]="","",IF(tblReceipts[[#This Row],[Received]]&gt;0,tblReceipts[[#This Row],[Rejected]]/tblReceipts[[#This Row],[Received]]*1000000,""))</f>
        <v>0</v>
      </c>
      <c r="M57" s="37">
        <f>IF(tblReceipts[[#This Row],[Date]]="","",IFERROR(INDEX(tblSuppliers[PPM limit],MATCH(tblReceipts[[#This Row],[Supplier]],tblSuppliers[Supplier],0)),""))</f>
        <v>3000</v>
      </c>
      <c r="N57" s="38">
        <f>IF(tblReceipts[[#This Row],[Date]]="","",IF(AND(ISNUMBER(tblReceipts[[#This Row],[PPM]]),ISNUMBER(tblReceipts[[#This Row],[PPM limit]])),tblReceipts[[#This Row],[PPM]]-tblReceipts[[#This Row],[PPM limit]],""))</f>
        <v>-3000</v>
      </c>
      <c r="O57" s="39" t="str">
        <f>IF(NOT(ISNUMBER(tblReceipts[[#This Row],[PPM]])),"",IF(tblReceipts[[#This Row],[PPM]]&lt;=tblReceipts[[#This Row],[PPM limit]],"On target",IF(tblReceipts[[#This Row],[PPM]]&lt;=tblReceipts[[#This Row],[PPM limit]]*(1+0.05),"Near target","Above target")))</f>
        <v>On target</v>
      </c>
      <c r="P57" s="40">
        <f>IF(tblReceipts[[#This Row],[Date]]="","",IF(AND(tblReceipts[[#This Row],[Date]]&gt;=FFrom,tblReceipts[[#This Row],[Date]]&lt;=FTo,OR(DashSupplier="",tblReceipts[[#This Row],[Supplier]]=DashSupplier)),tblReceipts[[#This Row],[Date]],""))</f>
        <v>46192</v>
      </c>
      <c r="Q5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7" s="33" t="s">
        <v>136</v>
      </c>
    </row>
    <row r="58" spans="2:18">
      <c r="B58" s="35">
        <v>46196</v>
      </c>
      <c r="C58" s="28" t="s">
        <v>208</v>
      </c>
      <c r="D58" s="28" t="s">
        <v>78</v>
      </c>
      <c r="E58" s="28" t="s">
        <v>148</v>
      </c>
      <c r="F58" s="29">
        <v>230</v>
      </c>
      <c r="G58" s="29">
        <v>2</v>
      </c>
      <c r="H58" s="28" t="s">
        <v>93</v>
      </c>
      <c r="I58" s="28" t="s">
        <v>108</v>
      </c>
      <c r="J58" s="28" t="s">
        <v>209</v>
      </c>
      <c r="K58" s="36">
        <f>IF(tblReceipts[[#This Row],[Date]]="","",IF(tblReceipts[[#This Row],[Received]]&gt;0,tblReceipts[[#This Row],[Rejected]]/tblReceipts[[#This Row],[Received]],""))</f>
        <v>0.00869565217391304</v>
      </c>
      <c r="L58" s="37">
        <f>IF(tblReceipts[[#This Row],[Date]]="","",IF(tblReceipts[[#This Row],[Received]]&gt;0,tblReceipts[[#This Row],[Rejected]]/tblReceipts[[#This Row],[Received]]*1000000,""))</f>
        <v>8695.65217391304</v>
      </c>
      <c r="M58" s="37">
        <f>IF(tblReceipts[[#This Row],[Date]]="","",IFERROR(INDEX(tblSuppliers[PPM limit],MATCH(tblReceipts[[#This Row],[Supplier]],tblSuppliers[Supplier],0)),""))</f>
        <v>1500</v>
      </c>
      <c r="N58" s="38">
        <f>IF(tblReceipts[[#This Row],[Date]]="","",IF(AND(ISNUMBER(tblReceipts[[#This Row],[PPM]]),ISNUMBER(tblReceipts[[#This Row],[PPM limit]])),tblReceipts[[#This Row],[PPM]]-tblReceipts[[#This Row],[PPM limit]],""))</f>
        <v>7195.65217391304</v>
      </c>
      <c r="O58" s="39" t="str">
        <f>IF(NOT(ISNUMBER(tblReceipts[[#This Row],[PPM]])),"",IF(tblReceipts[[#This Row],[PPM]]&lt;=tblReceipts[[#This Row],[PPM limit]],"On target",IF(tblReceipts[[#This Row],[PPM]]&lt;=tblReceipts[[#This Row],[PPM limit]]*(1+0.05),"Near target","Above target")))</f>
        <v>Above target</v>
      </c>
      <c r="P58" s="40">
        <f>IF(tblReceipts[[#This Row],[Date]]="","",IF(AND(tblReceipts[[#This Row],[Date]]&gt;=FFrom,tblReceipts[[#This Row],[Date]]&lt;=FTo,OR(DashSupplier="",tblReceipts[[#This Row],[Supplier]]=DashSupplier)),tblReceipts[[#This Row],[Date]],""))</f>
        <v>46196</v>
      </c>
      <c r="Q5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8" s="33" t="s">
        <v>210</v>
      </c>
    </row>
    <row r="59" spans="2:18">
      <c r="B59" s="35">
        <v>46197</v>
      </c>
      <c r="C59" s="28" t="s">
        <v>211</v>
      </c>
      <c r="D59" s="28" t="s">
        <v>80</v>
      </c>
      <c r="E59" s="28" t="s">
        <v>150</v>
      </c>
      <c r="F59" s="29">
        <v>340</v>
      </c>
      <c r="G59" s="29">
        <v>0</v>
      </c>
      <c r="H59" s="28" t="s">
        <v>136</v>
      </c>
      <c r="I59" s="28" t="s">
        <v>136</v>
      </c>
      <c r="J59" s="28" t="s">
        <v>136</v>
      </c>
      <c r="K59" s="36">
        <f>IF(tblReceipts[[#This Row],[Date]]="","",IF(tblReceipts[[#This Row],[Received]]&gt;0,tblReceipts[[#This Row],[Rejected]]/tblReceipts[[#This Row],[Received]],""))</f>
        <v>0</v>
      </c>
      <c r="L59" s="37">
        <f>IF(tblReceipts[[#This Row],[Date]]="","",IF(tblReceipts[[#This Row],[Received]]&gt;0,tblReceipts[[#This Row],[Rejected]]/tblReceipts[[#This Row],[Received]]*1000000,""))</f>
        <v>0</v>
      </c>
      <c r="M59" s="37">
        <f>IF(tblReceipts[[#This Row],[Date]]="","",IFERROR(INDEX(tblSuppliers[PPM limit],MATCH(tblReceipts[[#This Row],[Supplier]],tblSuppliers[Supplier],0)),""))</f>
        <v>500</v>
      </c>
      <c r="N59" s="38">
        <f>IF(tblReceipts[[#This Row],[Date]]="","",IF(AND(ISNUMBER(tblReceipts[[#This Row],[PPM]]),ISNUMBER(tblReceipts[[#This Row],[PPM limit]])),tblReceipts[[#This Row],[PPM]]-tblReceipts[[#This Row],[PPM limit]],""))</f>
        <v>-500</v>
      </c>
      <c r="O59" s="39" t="str">
        <f>IF(NOT(ISNUMBER(tblReceipts[[#This Row],[PPM]])),"",IF(tblReceipts[[#This Row],[PPM]]&lt;=tblReceipts[[#This Row],[PPM limit]],"On target",IF(tblReceipts[[#This Row],[PPM]]&lt;=tblReceipts[[#This Row],[PPM limit]]*(1+0.05),"Near target","Above target")))</f>
        <v>On target</v>
      </c>
      <c r="P59" s="40">
        <f>IF(tblReceipts[[#This Row],[Date]]="","",IF(AND(tblReceipts[[#This Row],[Date]]&gt;=FFrom,tblReceipts[[#This Row],[Date]]&lt;=FTo,OR(DashSupplier="",tblReceipts[[#This Row],[Supplier]]=DashSupplier)),tblReceipts[[#This Row],[Date]],""))</f>
        <v>46197</v>
      </c>
      <c r="Q5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59" s="33" t="s">
        <v>136</v>
      </c>
    </row>
    <row r="60" spans="2:18">
      <c r="B60" s="35">
        <v>46199</v>
      </c>
      <c r="C60" s="28" t="s">
        <v>212</v>
      </c>
      <c r="D60" s="28" t="s">
        <v>86</v>
      </c>
      <c r="E60" s="28" t="s">
        <v>146</v>
      </c>
      <c r="F60" s="29">
        <v>48</v>
      </c>
      <c r="G60" s="29">
        <v>0</v>
      </c>
      <c r="H60" s="28" t="s">
        <v>136</v>
      </c>
      <c r="I60" s="28" t="s">
        <v>136</v>
      </c>
      <c r="J60" s="28" t="s">
        <v>136</v>
      </c>
      <c r="K60" s="36">
        <f>IF(tblReceipts[[#This Row],[Date]]="","",IF(tblReceipts[[#This Row],[Received]]&gt;0,tblReceipts[[#This Row],[Rejected]]/tblReceipts[[#This Row],[Received]],""))</f>
        <v>0</v>
      </c>
      <c r="L60" s="37">
        <f>IF(tblReceipts[[#This Row],[Date]]="","",IF(tblReceipts[[#This Row],[Received]]&gt;0,tblReceipts[[#This Row],[Rejected]]/tblReceipts[[#This Row],[Received]]*1000000,""))</f>
        <v>0</v>
      </c>
      <c r="M60" s="37">
        <f>IF(tblReceipts[[#This Row],[Date]]="","",IFERROR(INDEX(tblSuppliers[PPM limit],MATCH(tblReceipts[[#This Row],[Supplier]],tblSuppliers[Supplier],0)),""))</f>
        <v>3000</v>
      </c>
      <c r="N60" s="38">
        <f>IF(tblReceipts[[#This Row],[Date]]="","",IF(AND(ISNUMBER(tblReceipts[[#This Row],[PPM]]),ISNUMBER(tblReceipts[[#This Row],[PPM limit]])),tblReceipts[[#This Row],[PPM]]-tblReceipts[[#This Row],[PPM limit]],""))</f>
        <v>-3000</v>
      </c>
      <c r="O60" s="39" t="str">
        <f>IF(NOT(ISNUMBER(tblReceipts[[#This Row],[PPM]])),"",IF(tblReceipts[[#This Row],[PPM]]&lt;=tblReceipts[[#This Row],[PPM limit]],"On target",IF(tblReceipts[[#This Row],[PPM]]&lt;=tblReceipts[[#This Row],[PPM limit]]*(1+0.05),"Near target","Above target")))</f>
        <v>On target</v>
      </c>
      <c r="P60" s="40">
        <f>IF(tblReceipts[[#This Row],[Date]]="","",IF(AND(tblReceipts[[#This Row],[Date]]&gt;=FFrom,tblReceipts[[#This Row],[Date]]&lt;=FTo,OR(DashSupplier="",tblReceipts[[#This Row],[Supplier]]=DashSupplier)),tblReceipts[[#This Row],[Date]],""))</f>
        <v>46199</v>
      </c>
      <c r="Q6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0" s="33" t="s">
        <v>136</v>
      </c>
    </row>
    <row r="61" spans="2:18">
      <c r="B61" s="35">
        <v>46202</v>
      </c>
      <c r="C61" s="28" t="s">
        <v>213</v>
      </c>
      <c r="D61" s="28" t="s">
        <v>82</v>
      </c>
      <c r="E61" s="28" t="s">
        <v>134</v>
      </c>
      <c r="F61" s="29">
        <v>21000</v>
      </c>
      <c r="G61" s="29">
        <v>1</v>
      </c>
      <c r="H61" s="28" t="s">
        <v>91</v>
      </c>
      <c r="I61" s="28" t="s">
        <v>110</v>
      </c>
      <c r="J61" s="28" t="s">
        <v>214</v>
      </c>
      <c r="K61" s="36">
        <f>IF(tblReceipts[[#This Row],[Date]]="","",IF(tblReceipts[[#This Row],[Received]]&gt;0,tblReceipts[[#This Row],[Rejected]]/tblReceipts[[#This Row],[Received]],""))</f>
        <v>4.76190476190476e-05</v>
      </c>
      <c r="L61" s="37">
        <f>IF(tblReceipts[[#This Row],[Date]]="","",IF(tblReceipts[[#This Row],[Received]]&gt;0,tblReceipts[[#This Row],[Rejected]]/tblReceipts[[#This Row],[Received]]*1000000,""))</f>
        <v>47.6190476190476</v>
      </c>
      <c r="M61" s="37">
        <f>IF(tblReceipts[[#This Row],[Date]]="","",IFERROR(INDEX(tblSuppliers[PPM limit],MATCH(tblReceipts[[#This Row],[Supplier]],tblSuppliers[Supplier],0)),""))</f>
        <v>100</v>
      </c>
      <c r="N61" s="38">
        <f>IF(tblReceipts[[#This Row],[Date]]="","",IF(AND(ISNUMBER(tblReceipts[[#This Row],[PPM]]),ISNUMBER(tblReceipts[[#This Row],[PPM limit]])),tblReceipts[[#This Row],[PPM]]-tblReceipts[[#This Row],[PPM limit]],""))</f>
        <v>-52.3809523809524</v>
      </c>
      <c r="O61" s="39" t="str">
        <f>IF(NOT(ISNUMBER(tblReceipts[[#This Row],[PPM]])),"",IF(tblReceipts[[#This Row],[PPM]]&lt;=tblReceipts[[#This Row],[PPM limit]],"On target",IF(tblReceipts[[#This Row],[PPM]]&lt;=tblReceipts[[#This Row],[PPM limit]]*(1+0.05),"Near target","Above target")))</f>
        <v>On target</v>
      </c>
      <c r="P61" s="40">
        <f>IF(tblReceipts[[#This Row],[Date]]="","",IF(AND(tblReceipts[[#This Row],[Date]]&gt;=FFrom,tblReceipts[[#This Row],[Date]]&lt;=FTo,OR(DashSupplier="",tblReceipts[[#This Row],[Supplier]]=DashSupplier)),tblReceipts[[#This Row],[Date]],""))</f>
        <v>46202</v>
      </c>
      <c r="Q6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1" s="33" t="s">
        <v>136</v>
      </c>
    </row>
    <row r="62" spans="2:18">
      <c r="B62" s="35">
        <v>46203</v>
      </c>
      <c r="C62" s="28" t="s">
        <v>215</v>
      </c>
      <c r="D62" s="28" t="s">
        <v>78</v>
      </c>
      <c r="E62" s="28" t="s">
        <v>138</v>
      </c>
      <c r="F62" s="29">
        <v>280</v>
      </c>
      <c r="G62" s="29">
        <v>11</v>
      </c>
      <c r="H62" s="28" t="s">
        <v>93</v>
      </c>
      <c r="I62" s="28" t="s">
        <v>108</v>
      </c>
      <c r="J62" s="28" t="s">
        <v>216</v>
      </c>
      <c r="K62" s="36">
        <f>IF(tblReceipts[[#This Row],[Date]]="","",IF(tblReceipts[[#This Row],[Received]]&gt;0,tblReceipts[[#This Row],[Rejected]]/tblReceipts[[#This Row],[Received]],""))</f>
        <v>0.0392857142857143</v>
      </c>
      <c r="L62" s="37">
        <f>IF(tblReceipts[[#This Row],[Date]]="","",IF(tblReceipts[[#This Row],[Received]]&gt;0,tblReceipts[[#This Row],[Rejected]]/tblReceipts[[#This Row],[Received]]*1000000,""))</f>
        <v>39285.7142857143</v>
      </c>
      <c r="M62" s="37">
        <f>IF(tblReceipts[[#This Row],[Date]]="","",IFERROR(INDEX(tblSuppliers[PPM limit],MATCH(tblReceipts[[#This Row],[Supplier]],tblSuppliers[Supplier],0)),""))</f>
        <v>1500</v>
      </c>
      <c r="N62" s="38">
        <f>IF(tblReceipts[[#This Row],[Date]]="","",IF(AND(ISNUMBER(tblReceipts[[#This Row],[PPM]]),ISNUMBER(tblReceipts[[#This Row],[PPM limit]])),tblReceipts[[#This Row],[PPM]]-tblReceipts[[#This Row],[PPM limit]],""))</f>
        <v>37785.7142857143</v>
      </c>
      <c r="O62" s="39" t="str">
        <f>IF(NOT(ISNUMBER(tblReceipts[[#This Row],[PPM]])),"",IF(tblReceipts[[#This Row],[PPM]]&lt;=tblReceipts[[#This Row],[PPM limit]],"On target",IF(tblReceipts[[#This Row],[PPM]]&lt;=tblReceipts[[#This Row],[PPM limit]]*(1+0.05),"Near target","Above target")))</f>
        <v>Above target</v>
      </c>
      <c r="P62" s="40">
        <f>IF(tblReceipts[[#This Row],[Date]]="","",IF(AND(tblReceipts[[#This Row],[Date]]&gt;=FFrom,tblReceipts[[#This Row],[Date]]&lt;=FTo,OR(DashSupplier="",tblReceipts[[#This Row],[Supplier]]=DashSupplier)),tblReceipts[[#This Row],[Date]],""))</f>
        <v>46203</v>
      </c>
      <c r="Q6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2" s="33" t="s">
        <v>136</v>
      </c>
    </row>
    <row r="63" spans="2:18">
      <c r="B63" s="35">
        <v>46204</v>
      </c>
      <c r="C63" s="28" t="s">
        <v>217</v>
      </c>
      <c r="D63" s="28" t="s">
        <v>80</v>
      </c>
      <c r="E63" s="28" t="s">
        <v>140</v>
      </c>
      <c r="F63" s="29">
        <v>260</v>
      </c>
      <c r="G63" s="29">
        <v>0</v>
      </c>
      <c r="H63" s="28" t="s">
        <v>136</v>
      </c>
      <c r="I63" s="28" t="s">
        <v>136</v>
      </c>
      <c r="J63" s="28" t="s">
        <v>136</v>
      </c>
      <c r="K63" s="36">
        <f>IF(tblReceipts[[#This Row],[Date]]="","",IF(tblReceipts[[#This Row],[Received]]&gt;0,tblReceipts[[#This Row],[Rejected]]/tblReceipts[[#This Row],[Received]],""))</f>
        <v>0</v>
      </c>
      <c r="L63" s="37">
        <f>IF(tblReceipts[[#This Row],[Date]]="","",IF(tblReceipts[[#This Row],[Received]]&gt;0,tblReceipts[[#This Row],[Rejected]]/tblReceipts[[#This Row],[Received]]*1000000,""))</f>
        <v>0</v>
      </c>
      <c r="M63" s="37">
        <f>IF(tblReceipts[[#This Row],[Date]]="","",IFERROR(INDEX(tblSuppliers[PPM limit],MATCH(tblReceipts[[#This Row],[Supplier]],tblSuppliers[Supplier],0)),""))</f>
        <v>500</v>
      </c>
      <c r="N63" s="38">
        <f>IF(tblReceipts[[#This Row],[Date]]="","",IF(AND(ISNUMBER(tblReceipts[[#This Row],[PPM]]),ISNUMBER(tblReceipts[[#This Row],[PPM limit]])),tblReceipts[[#This Row],[PPM]]-tblReceipts[[#This Row],[PPM limit]],""))</f>
        <v>-500</v>
      </c>
      <c r="O63" s="39" t="str">
        <f>IF(NOT(ISNUMBER(tblReceipts[[#This Row],[PPM]])),"",IF(tblReceipts[[#This Row],[PPM]]&lt;=tblReceipts[[#This Row],[PPM limit]],"On target",IF(tblReceipts[[#This Row],[PPM]]&lt;=tblReceipts[[#This Row],[PPM limit]]*(1+0.05),"Near target","Above target")))</f>
        <v>On target</v>
      </c>
      <c r="P63" s="40">
        <f>IF(tblReceipts[[#This Row],[Date]]="","",IF(AND(tblReceipts[[#This Row],[Date]]&gt;=FFrom,tblReceipts[[#This Row],[Date]]&lt;=FTo,OR(DashSupplier="",tblReceipts[[#This Row],[Supplier]]=DashSupplier)),tblReceipts[[#This Row],[Date]],""))</f>
        <v>46204</v>
      </c>
      <c r="Q6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3" s="33" t="s">
        <v>136</v>
      </c>
    </row>
    <row r="64" spans="2:18">
      <c r="B64" s="35">
        <v>46204</v>
      </c>
      <c r="C64" s="28" t="s">
        <v>218</v>
      </c>
      <c r="D64" s="28" t="s">
        <v>88</v>
      </c>
      <c r="E64" s="28" t="s">
        <v>142</v>
      </c>
      <c r="F64" s="29">
        <v>450</v>
      </c>
      <c r="G64" s="29">
        <v>0</v>
      </c>
      <c r="H64" s="28" t="s">
        <v>136</v>
      </c>
      <c r="I64" s="28" t="s">
        <v>136</v>
      </c>
      <c r="J64" s="28" t="s">
        <v>136</v>
      </c>
      <c r="K64" s="36">
        <f>IF(tblReceipts[[#This Row],[Date]]="","",IF(tblReceipts[[#This Row],[Received]]&gt;0,tblReceipts[[#This Row],[Rejected]]/tblReceipts[[#This Row],[Received]],""))</f>
        <v>0</v>
      </c>
      <c r="L64" s="37">
        <f>IF(tblReceipts[[#This Row],[Date]]="","",IF(tblReceipts[[#This Row],[Received]]&gt;0,tblReceipts[[#This Row],[Rejected]]/tblReceipts[[#This Row],[Received]]*1000000,""))</f>
        <v>0</v>
      </c>
      <c r="M64" s="37">
        <f>IF(tblReceipts[[#This Row],[Date]]="","",IFERROR(INDEX(tblSuppliers[PPM limit],MATCH(tblReceipts[[#This Row],[Supplier]],tblSuppliers[Supplier],0)),""))</f>
        <v>300</v>
      </c>
      <c r="N64" s="38">
        <f>IF(tblReceipts[[#This Row],[Date]]="","",IF(AND(ISNUMBER(tblReceipts[[#This Row],[PPM]]),ISNUMBER(tblReceipts[[#This Row],[PPM limit]])),tblReceipts[[#This Row],[PPM]]-tblReceipts[[#This Row],[PPM limit]],""))</f>
        <v>-300</v>
      </c>
      <c r="O64" s="39" t="str">
        <f>IF(NOT(ISNUMBER(tblReceipts[[#This Row],[PPM]])),"",IF(tblReceipts[[#This Row],[PPM]]&lt;=tblReceipts[[#This Row],[PPM limit]],"On target",IF(tblReceipts[[#This Row],[PPM]]&lt;=tblReceipts[[#This Row],[PPM limit]]*(1+0.05),"Near target","Above target")))</f>
        <v>On target</v>
      </c>
      <c r="P64" s="40">
        <f>IF(tblReceipts[[#This Row],[Date]]="","",IF(AND(tblReceipts[[#This Row],[Date]]&gt;=FFrom,tblReceipts[[#This Row],[Date]]&lt;=FTo,OR(DashSupplier="",tblReceipts[[#This Row],[Supplier]]=DashSupplier)),tblReceipts[[#This Row],[Date]],""))</f>
        <v>46204</v>
      </c>
      <c r="Q6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4" s="33" t="s">
        <v>136</v>
      </c>
    </row>
    <row r="65" spans="2:18">
      <c r="B65" s="35">
        <v>46205</v>
      </c>
      <c r="C65" s="28" t="s">
        <v>219</v>
      </c>
      <c r="D65" s="28" t="s">
        <v>84</v>
      </c>
      <c r="E65" s="28" t="s">
        <v>144</v>
      </c>
      <c r="F65" s="29">
        <v>4000</v>
      </c>
      <c r="G65" s="29">
        <v>2</v>
      </c>
      <c r="H65" s="28" t="s">
        <v>91</v>
      </c>
      <c r="I65" s="28" t="s">
        <v>108</v>
      </c>
      <c r="J65" s="28" t="s">
        <v>220</v>
      </c>
      <c r="K65" s="36">
        <f>IF(tblReceipts[[#This Row],[Date]]="","",IF(tblReceipts[[#This Row],[Received]]&gt;0,tblReceipts[[#This Row],[Rejected]]/tblReceipts[[#This Row],[Received]],""))</f>
        <v>0.0005</v>
      </c>
      <c r="L65" s="37">
        <f>IF(tblReceipts[[#This Row],[Date]]="","",IF(tblReceipts[[#This Row],[Received]]&gt;0,tblReceipts[[#This Row],[Rejected]]/tblReceipts[[#This Row],[Received]]*1000000,""))</f>
        <v>500</v>
      </c>
      <c r="M65" s="37">
        <f>IF(tblReceipts[[#This Row],[Date]]="","",IFERROR(INDEX(tblSuppliers[PPM limit],MATCH(tblReceipts[[#This Row],[Supplier]],tblSuppliers[Supplier],0)),""))</f>
        <v>250</v>
      </c>
      <c r="N65" s="38">
        <f>IF(tblReceipts[[#This Row],[Date]]="","",IF(AND(ISNUMBER(tblReceipts[[#This Row],[PPM]]),ISNUMBER(tblReceipts[[#This Row],[PPM limit]])),tblReceipts[[#This Row],[PPM]]-tblReceipts[[#This Row],[PPM limit]],""))</f>
        <v>250</v>
      </c>
      <c r="O65" s="39" t="str">
        <f>IF(NOT(ISNUMBER(tblReceipts[[#This Row],[PPM]])),"",IF(tblReceipts[[#This Row],[PPM]]&lt;=tblReceipts[[#This Row],[PPM limit]],"On target",IF(tblReceipts[[#This Row],[PPM]]&lt;=tblReceipts[[#This Row],[PPM limit]]*(1+0.05),"Near target","Above target")))</f>
        <v>Above target</v>
      </c>
      <c r="P65" s="40">
        <f>IF(tblReceipts[[#This Row],[Date]]="","",IF(AND(tblReceipts[[#This Row],[Date]]&gt;=FFrom,tblReceipts[[#This Row],[Date]]&lt;=FTo,OR(DashSupplier="",tblReceipts[[#This Row],[Supplier]]=DashSupplier)),tblReceipts[[#This Row],[Date]],""))</f>
        <v>46205</v>
      </c>
      <c r="Q6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5" s="33" t="s">
        <v>136</v>
      </c>
    </row>
    <row r="66" spans="2:18">
      <c r="B66" s="35">
        <v>46206</v>
      </c>
      <c r="C66" s="28" t="s">
        <v>221</v>
      </c>
      <c r="D66" s="28" t="s">
        <v>86</v>
      </c>
      <c r="E66" s="28" t="s">
        <v>146</v>
      </c>
      <c r="F66" s="29">
        <v>60</v>
      </c>
      <c r="G66" s="29">
        <v>0</v>
      </c>
      <c r="H66" s="28" t="s">
        <v>136</v>
      </c>
      <c r="I66" s="28" t="s">
        <v>136</v>
      </c>
      <c r="J66" s="28" t="s">
        <v>136</v>
      </c>
      <c r="K66" s="36">
        <f>IF(tblReceipts[[#This Row],[Date]]="","",IF(tblReceipts[[#This Row],[Received]]&gt;0,tblReceipts[[#This Row],[Rejected]]/tblReceipts[[#This Row],[Received]],""))</f>
        <v>0</v>
      </c>
      <c r="L66" s="37">
        <f>IF(tblReceipts[[#This Row],[Date]]="","",IF(tblReceipts[[#This Row],[Received]]&gt;0,tblReceipts[[#This Row],[Rejected]]/tblReceipts[[#This Row],[Received]]*1000000,""))</f>
        <v>0</v>
      </c>
      <c r="M66" s="37">
        <f>IF(tblReceipts[[#This Row],[Date]]="","",IFERROR(INDEX(tblSuppliers[PPM limit],MATCH(tblReceipts[[#This Row],[Supplier]],tblSuppliers[Supplier],0)),""))</f>
        <v>3000</v>
      </c>
      <c r="N66" s="38">
        <f>IF(tblReceipts[[#This Row],[Date]]="","",IF(AND(ISNUMBER(tblReceipts[[#This Row],[PPM]]),ISNUMBER(tblReceipts[[#This Row],[PPM limit]])),tblReceipts[[#This Row],[PPM]]-tblReceipts[[#This Row],[PPM limit]],""))</f>
        <v>-3000</v>
      </c>
      <c r="O66" s="39" t="str">
        <f>IF(NOT(ISNUMBER(tblReceipts[[#This Row],[PPM]])),"",IF(tblReceipts[[#This Row],[PPM]]&lt;=tblReceipts[[#This Row],[PPM limit]],"On target",IF(tblReceipts[[#This Row],[PPM]]&lt;=tblReceipts[[#This Row],[PPM limit]]*(1+0.05),"Near target","Above target")))</f>
        <v>On target</v>
      </c>
      <c r="P66" s="40">
        <f>IF(tblReceipts[[#This Row],[Date]]="","",IF(AND(tblReceipts[[#This Row],[Date]]&gt;=FFrom,tblReceipts[[#This Row],[Date]]&lt;=FTo,OR(DashSupplier="",tblReceipts[[#This Row],[Supplier]]=DashSupplier)),tblReceipts[[#This Row],[Date]],""))</f>
        <v>46206</v>
      </c>
      <c r="Q6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6" s="33" t="s">
        <v>136</v>
      </c>
    </row>
    <row r="67" spans="2:18">
      <c r="B67" s="35">
        <v>46210</v>
      </c>
      <c r="C67" s="28" t="s">
        <v>222</v>
      </c>
      <c r="D67" s="28" t="s">
        <v>78</v>
      </c>
      <c r="E67" s="28" t="s">
        <v>148</v>
      </c>
      <c r="F67" s="29">
        <v>270</v>
      </c>
      <c r="G67" s="29">
        <v>4</v>
      </c>
      <c r="H67" s="28" t="s">
        <v>93</v>
      </c>
      <c r="I67" s="28" t="s">
        <v>108</v>
      </c>
      <c r="J67" s="28" t="s">
        <v>223</v>
      </c>
      <c r="K67" s="36">
        <f>IF(tblReceipts[[#This Row],[Date]]="","",IF(tblReceipts[[#This Row],[Received]]&gt;0,tblReceipts[[#This Row],[Rejected]]/tblReceipts[[#This Row],[Received]],""))</f>
        <v>0.0148148148148148</v>
      </c>
      <c r="L67" s="37">
        <f>IF(tblReceipts[[#This Row],[Date]]="","",IF(tblReceipts[[#This Row],[Received]]&gt;0,tblReceipts[[#This Row],[Rejected]]/tblReceipts[[#This Row],[Received]]*1000000,""))</f>
        <v>14814.8148148148</v>
      </c>
      <c r="M67" s="37">
        <f>IF(tblReceipts[[#This Row],[Date]]="","",IFERROR(INDEX(tblSuppliers[PPM limit],MATCH(tblReceipts[[#This Row],[Supplier]],tblSuppliers[Supplier],0)),""))</f>
        <v>1500</v>
      </c>
      <c r="N67" s="38">
        <f>IF(tblReceipts[[#This Row],[Date]]="","",IF(AND(ISNUMBER(tblReceipts[[#This Row],[PPM]]),ISNUMBER(tblReceipts[[#This Row],[PPM limit]])),tblReceipts[[#This Row],[PPM]]-tblReceipts[[#This Row],[PPM limit]],""))</f>
        <v>13314.8148148148</v>
      </c>
      <c r="O67" s="39" t="str">
        <f>IF(NOT(ISNUMBER(tblReceipts[[#This Row],[PPM]])),"",IF(tblReceipts[[#This Row],[PPM]]&lt;=tblReceipts[[#This Row],[PPM limit]],"On target",IF(tblReceipts[[#This Row],[PPM]]&lt;=tblReceipts[[#This Row],[PPM limit]]*(1+0.05),"Near target","Above target")))</f>
        <v>Above target</v>
      </c>
      <c r="P67" s="40">
        <f>IF(tblReceipts[[#This Row],[Date]]="","",IF(AND(tblReceipts[[#This Row],[Date]]&gt;=FFrom,tblReceipts[[#This Row],[Date]]&lt;=FTo,OR(DashSupplier="",tblReceipts[[#This Row],[Supplier]]=DashSupplier)),tblReceipts[[#This Row],[Date]],""))</f>
        <v>46210</v>
      </c>
      <c r="Q6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7" s="33" t="s">
        <v>136</v>
      </c>
    </row>
    <row r="68" spans="2:18">
      <c r="B68" s="35">
        <v>46211</v>
      </c>
      <c r="C68" s="28" t="s">
        <v>224</v>
      </c>
      <c r="D68" s="28" t="s">
        <v>80</v>
      </c>
      <c r="E68" s="28" t="s">
        <v>150</v>
      </c>
      <c r="F68" s="29">
        <v>440</v>
      </c>
      <c r="G68" s="29">
        <v>0</v>
      </c>
      <c r="H68" s="28" t="s">
        <v>136</v>
      </c>
      <c r="I68" s="28" t="s">
        <v>136</v>
      </c>
      <c r="J68" s="28" t="s">
        <v>136</v>
      </c>
      <c r="K68" s="36">
        <f>IF(tblReceipts[[#This Row],[Date]]="","",IF(tblReceipts[[#This Row],[Received]]&gt;0,tblReceipts[[#This Row],[Rejected]]/tblReceipts[[#This Row],[Received]],""))</f>
        <v>0</v>
      </c>
      <c r="L68" s="37">
        <f>IF(tblReceipts[[#This Row],[Date]]="","",IF(tblReceipts[[#This Row],[Received]]&gt;0,tblReceipts[[#This Row],[Rejected]]/tblReceipts[[#This Row],[Received]]*1000000,""))</f>
        <v>0</v>
      </c>
      <c r="M68" s="37">
        <f>IF(tblReceipts[[#This Row],[Date]]="","",IFERROR(INDEX(tblSuppliers[PPM limit],MATCH(tblReceipts[[#This Row],[Supplier]],tblSuppliers[Supplier],0)),""))</f>
        <v>500</v>
      </c>
      <c r="N68" s="38">
        <f>IF(tblReceipts[[#This Row],[Date]]="","",IF(AND(ISNUMBER(tblReceipts[[#This Row],[PPM]]),ISNUMBER(tblReceipts[[#This Row],[PPM limit]])),tblReceipts[[#This Row],[PPM]]-tblReceipts[[#This Row],[PPM limit]],""))</f>
        <v>-500</v>
      </c>
      <c r="O68" s="39" t="str">
        <f>IF(NOT(ISNUMBER(tblReceipts[[#This Row],[PPM]])),"",IF(tblReceipts[[#This Row],[PPM]]&lt;=tblReceipts[[#This Row],[PPM limit]],"On target",IF(tblReceipts[[#This Row],[PPM]]&lt;=tblReceipts[[#This Row],[PPM limit]]*(1+0.05),"Near target","Above target")))</f>
        <v>On target</v>
      </c>
      <c r="P68" s="40">
        <f>IF(tblReceipts[[#This Row],[Date]]="","",IF(AND(tblReceipts[[#This Row],[Date]]&gt;=FFrom,tblReceipts[[#This Row],[Date]]&lt;=FTo,OR(DashSupplier="",tblReceipts[[#This Row],[Supplier]]=DashSupplier)),tblReceipts[[#This Row],[Date]],""))</f>
        <v>46211</v>
      </c>
      <c r="Q6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8" s="33" t="s">
        <v>136</v>
      </c>
    </row>
    <row r="69" spans="2:18">
      <c r="B69" s="35">
        <v>46213</v>
      </c>
      <c r="C69" s="28" t="s">
        <v>225</v>
      </c>
      <c r="D69" s="28" t="s">
        <v>86</v>
      </c>
      <c r="E69" s="28" t="s">
        <v>146</v>
      </c>
      <c r="F69" s="29">
        <v>48</v>
      </c>
      <c r="G69" s="29">
        <v>0</v>
      </c>
      <c r="H69" s="28" t="s">
        <v>136</v>
      </c>
      <c r="I69" s="28" t="s">
        <v>136</v>
      </c>
      <c r="J69" s="28" t="s">
        <v>136</v>
      </c>
      <c r="K69" s="36">
        <f>IF(tblReceipts[[#This Row],[Date]]="","",IF(tblReceipts[[#This Row],[Received]]&gt;0,tblReceipts[[#This Row],[Rejected]]/tblReceipts[[#This Row],[Received]],""))</f>
        <v>0</v>
      </c>
      <c r="L69" s="37">
        <f>IF(tblReceipts[[#This Row],[Date]]="","",IF(tblReceipts[[#This Row],[Received]]&gt;0,tblReceipts[[#This Row],[Rejected]]/tblReceipts[[#This Row],[Received]]*1000000,""))</f>
        <v>0</v>
      </c>
      <c r="M69" s="37">
        <f>IF(tblReceipts[[#This Row],[Date]]="","",IFERROR(INDEX(tblSuppliers[PPM limit],MATCH(tblReceipts[[#This Row],[Supplier]],tblSuppliers[Supplier],0)),""))</f>
        <v>3000</v>
      </c>
      <c r="N69" s="38">
        <f>IF(tblReceipts[[#This Row],[Date]]="","",IF(AND(ISNUMBER(tblReceipts[[#This Row],[PPM]]),ISNUMBER(tblReceipts[[#This Row],[PPM limit]])),tblReceipts[[#This Row],[PPM]]-tblReceipts[[#This Row],[PPM limit]],""))</f>
        <v>-3000</v>
      </c>
      <c r="O69" s="39" t="str">
        <f>IF(NOT(ISNUMBER(tblReceipts[[#This Row],[PPM]])),"",IF(tblReceipts[[#This Row],[PPM]]&lt;=tblReceipts[[#This Row],[PPM limit]],"On target",IF(tblReceipts[[#This Row],[PPM]]&lt;=tblReceipts[[#This Row],[PPM limit]]*(1+0.05),"Near target","Above target")))</f>
        <v>On target</v>
      </c>
      <c r="P69" s="40">
        <f>IF(tblReceipts[[#This Row],[Date]]="","",IF(AND(tblReceipts[[#This Row],[Date]]&gt;=FFrom,tblReceipts[[#This Row],[Date]]&lt;=FTo,OR(DashSupplier="",tblReceipts[[#This Row],[Supplier]]=DashSupplier)),tblReceipts[[#This Row],[Date]],""))</f>
        <v>46213</v>
      </c>
      <c r="Q6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69" s="33" t="s">
        <v>136</v>
      </c>
    </row>
    <row r="70" spans="2:18">
      <c r="B70" s="35">
        <v>46216</v>
      </c>
      <c r="C70" s="28" t="s">
        <v>226</v>
      </c>
      <c r="D70" s="28" t="s">
        <v>82</v>
      </c>
      <c r="E70" s="28" t="s">
        <v>153</v>
      </c>
      <c r="F70" s="29">
        <v>18000</v>
      </c>
      <c r="G70" s="29">
        <v>0</v>
      </c>
      <c r="H70" s="28" t="s">
        <v>136</v>
      </c>
      <c r="I70" s="28" t="s">
        <v>136</v>
      </c>
      <c r="J70" s="28" t="s">
        <v>136</v>
      </c>
      <c r="K70" s="36">
        <f>IF(tblReceipts[[#This Row],[Date]]="","",IF(tblReceipts[[#This Row],[Received]]&gt;0,tblReceipts[[#This Row],[Rejected]]/tblReceipts[[#This Row],[Received]],""))</f>
        <v>0</v>
      </c>
      <c r="L70" s="37">
        <f>IF(tblReceipts[[#This Row],[Date]]="","",IF(tblReceipts[[#This Row],[Received]]&gt;0,tblReceipts[[#This Row],[Rejected]]/tblReceipts[[#This Row],[Received]]*1000000,""))</f>
        <v>0</v>
      </c>
      <c r="M70" s="37">
        <f>IF(tblReceipts[[#This Row],[Date]]="","",IFERROR(INDEX(tblSuppliers[PPM limit],MATCH(tblReceipts[[#This Row],[Supplier]],tblSuppliers[Supplier],0)),""))</f>
        <v>100</v>
      </c>
      <c r="N70" s="38">
        <f>IF(tblReceipts[[#This Row],[Date]]="","",IF(AND(ISNUMBER(tblReceipts[[#This Row],[PPM]]),ISNUMBER(tblReceipts[[#This Row],[PPM limit]])),tblReceipts[[#This Row],[PPM]]-tblReceipts[[#This Row],[PPM limit]],""))</f>
        <v>-100</v>
      </c>
      <c r="O70" s="39" t="str">
        <f>IF(NOT(ISNUMBER(tblReceipts[[#This Row],[PPM]])),"",IF(tblReceipts[[#This Row],[PPM]]&lt;=tblReceipts[[#This Row],[PPM limit]],"On target",IF(tblReceipts[[#This Row],[PPM]]&lt;=tblReceipts[[#This Row],[PPM limit]]*(1+0.05),"Near target","Above target")))</f>
        <v>On target</v>
      </c>
      <c r="P70" s="40">
        <f>IF(tblReceipts[[#This Row],[Date]]="","",IF(AND(tblReceipts[[#This Row],[Date]]&gt;=FFrom,tblReceipts[[#This Row],[Date]]&lt;=FTo,OR(DashSupplier="",tblReceipts[[#This Row],[Supplier]]=DashSupplier)),tblReceipts[[#This Row],[Date]],""))</f>
        <v>46216</v>
      </c>
      <c r="Q7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0" s="33" t="s">
        <v>136</v>
      </c>
    </row>
    <row r="71" spans="2:18">
      <c r="B71" s="35">
        <v>46217</v>
      </c>
      <c r="C71" s="28" t="s">
        <v>227</v>
      </c>
      <c r="D71" s="28" t="s">
        <v>78</v>
      </c>
      <c r="E71" s="28" t="s">
        <v>138</v>
      </c>
      <c r="F71" s="29">
        <v>190</v>
      </c>
      <c r="G71" s="29">
        <v>4</v>
      </c>
      <c r="H71" s="28" t="s">
        <v>93</v>
      </c>
      <c r="I71" s="28" t="s">
        <v>108</v>
      </c>
      <c r="J71" s="28" t="s">
        <v>228</v>
      </c>
      <c r="K71" s="36">
        <f>IF(tblReceipts[[#This Row],[Date]]="","",IF(tblReceipts[[#This Row],[Received]]&gt;0,tblReceipts[[#This Row],[Rejected]]/tblReceipts[[#This Row],[Received]],""))</f>
        <v>0.0210526315789474</v>
      </c>
      <c r="L71" s="37">
        <f>IF(tblReceipts[[#This Row],[Date]]="","",IF(tblReceipts[[#This Row],[Received]]&gt;0,tblReceipts[[#This Row],[Rejected]]/tblReceipts[[#This Row],[Received]]*1000000,""))</f>
        <v>21052.6315789474</v>
      </c>
      <c r="M71" s="37">
        <f>IF(tblReceipts[[#This Row],[Date]]="","",IFERROR(INDEX(tblSuppliers[PPM limit],MATCH(tblReceipts[[#This Row],[Supplier]],tblSuppliers[Supplier],0)),""))</f>
        <v>1500</v>
      </c>
      <c r="N71" s="38">
        <f>IF(tblReceipts[[#This Row],[Date]]="","",IF(AND(ISNUMBER(tblReceipts[[#This Row],[PPM]]),ISNUMBER(tblReceipts[[#This Row],[PPM limit]])),tblReceipts[[#This Row],[PPM]]-tblReceipts[[#This Row],[PPM limit]],""))</f>
        <v>19552.6315789474</v>
      </c>
      <c r="O71" s="39" t="str">
        <f>IF(NOT(ISNUMBER(tblReceipts[[#This Row],[PPM]])),"",IF(tblReceipts[[#This Row],[PPM]]&lt;=tblReceipts[[#This Row],[PPM limit]],"On target",IF(tblReceipts[[#This Row],[PPM]]&lt;=tblReceipts[[#This Row],[PPM limit]]*(1+0.05),"Near target","Above target")))</f>
        <v>Above target</v>
      </c>
      <c r="P71" s="40">
        <f>IF(tblReceipts[[#This Row],[Date]]="","",IF(AND(tblReceipts[[#This Row],[Date]]&gt;=FFrom,tblReceipts[[#This Row],[Date]]&lt;=FTo,OR(DashSupplier="",tblReceipts[[#This Row],[Supplier]]=DashSupplier)),tblReceipts[[#This Row],[Date]],""))</f>
        <v>46217</v>
      </c>
      <c r="Q7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1" s="33" t="s">
        <v>136</v>
      </c>
    </row>
    <row r="72" spans="2:18">
      <c r="B72" s="35">
        <v>46218</v>
      </c>
      <c r="C72" s="28" t="s">
        <v>229</v>
      </c>
      <c r="D72" s="28" t="s">
        <v>80</v>
      </c>
      <c r="E72" s="28" t="s">
        <v>140</v>
      </c>
      <c r="F72" s="29">
        <v>360</v>
      </c>
      <c r="G72" s="29">
        <v>0</v>
      </c>
      <c r="H72" s="28" t="s">
        <v>136</v>
      </c>
      <c r="I72" s="28" t="s">
        <v>136</v>
      </c>
      <c r="J72" s="28" t="s">
        <v>136</v>
      </c>
      <c r="K72" s="36">
        <f>IF(tblReceipts[[#This Row],[Date]]="","",IF(tblReceipts[[#This Row],[Received]]&gt;0,tblReceipts[[#This Row],[Rejected]]/tblReceipts[[#This Row],[Received]],""))</f>
        <v>0</v>
      </c>
      <c r="L72" s="37">
        <f>IF(tblReceipts[[#This Row],[Date]]="","",IF(tblReceipts[[#This Row],[Received]]&gt;0,tblReceipts[[#This Row],[Rejected]]/tblReceipts[[#This Row],[Received]]*1000000,""))</f>
        <v>0</v>
      </c>
      <c r="M72" s="37">
        <f>IF(tblReceipts[[#This Row],[Date]]="","",IFERROR(INDEX(tblSuppliers[PPM limit],MATCH(tblReceipts[[#This Row],[Supplier]],tblSuppliers[Supplier],0)),""))</f>
        <v>500</v>
      </c>
      <c r="N72" s="38">
        <f>IF(tblReceipts[[#This Row],[Date]]="","",IF(AND(ISNUMBER(tblReceipts[[#This Row],[PPM]]),ISNUMBER(tblReceipts[[#This Row],[PPM limit]])),tblReceipts[[#This Row],[PPM]]-tblReceipts[[#This Row],[PPM limit]],""))</f>
        <v>-500</v>
      </c>
      <c r="O72" s="39" t="str">
        <f>IF(NOT(ISNUMBER(tblReceipts[[#This Row],[PPM]])),"",IF(tblReceipts[[#This Row],[PPM]]&lt;=tblReceipts[[#This Row],[PPM limit]],"On target",IF(tblReceipts[[#This Row],[PPM]]&lt;=tblReceipts[[#This Row],[PPM limit]]*(1+0.05),"Near target","Above target")))</f>
        <v>On target</v>
      </c>
      <c r="P72" s="40">
        <f>IF(tblReceipts[[#This Row],[Date]]="","",IF(AND(tblReceipts[[#This Row],[Date]]&gt;=FFrom,tblReceipts[[#This Row],[Date]]&lt;=FTo,OR(DashSupplier="",tblReceipts[[#This Row],[Supplier]]=DashSupplier)),tblReceipts[[#This Row],[Date]],""))</f>
        <v>46218</v>
      </c>
      <c r="Q7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2" s="33" t="s">
        <v>136</v>
      </c>
    </row>
    <row r="73" spans="2:18">
      <c r="B73" s="35">
        <v>46218</v>
      </c>
      <c r="C73" s="28" t="s">
        <v>230</v>
      </c>
      <c r="D73" s="28" t="s">
        <v>88</v>
      </c>
      <c r="E73" s="28" t="s">
        <v>142</v>
      </c>
      <c r="F73" s="29">
        <v>650</v>
      </c>
      <c r="G73" s="29">
        <v>0</v>
      </c>
      <c r="H73" s="28" t="s">
        <v>136</v>
      </c>
      <c r="I73" s="28" t="s">
        <v>136</v>
      </c>
      <c r="J73" s="28" t="s">
        <v>136</v>
      </c>
      <c r="K73" s="36">
        <f>IF(tblReceipts[[#This Row],[Date]]="","",IF(tblReceipts[[#This Row],[Received]]&gt;0,tblReceipts[[#This Row],[Rejected]]/tblReceipts[[#This Row],[Received]],""))</f>
        <v>0</v>
      </c>
      <c r="L73" s="37">
        <f>IF(tblReceipts[[#This Row],[Date]]="","",IF(tblReceipts[[#This Row],[Received]]&gt;0,tblReceipts[[#This Row],[Rejected]]/tblReceipts[[#This Row],[Received]]*1000000,""))</f>
        <v>0</v>
      </c>
      <c r="M73" s="37">
        <f>IF(tblReceipts[[#This Row],[Date]]="","",IFERROR(INDEX(tblSuppliers[PPM limit],MATCH(tblReceipts[[#This Row],[Supplier]],tblSuppliers[Supplier],0)),""))</f>
        <v>300</v>
      </c>
      <c r="N73" s="38">
        <f>IF(tblReceipts[[#This Row],[Date]]="","",IF(AND(ISNUMBER(tblReceipts[[#This Row],[PPM]]),ISNUMBER(tblReceipts[[#This Row],[PPM limit]])),tblReceipts[[#This Row],[PPM]]-tblReceipts[[#This Row],[PPM limit]],""))</f>
        <v>-300</v>
      </c>
      <c r="O73" s="39" t="str">
        <f>IF(NOT(ISNUMBER(tblReceipts[[#This Row],[PPM]])),"",IF(tblReceipts[[#This Row],[PPM]]&lt;=tblReceipts[[#This Row],[PPM limit]],"On target",IF(tblReceipts[[#This Row],[PPM]]&lt;=tblReceipts[[#This Row],[PPM limit]]*(1+0.05),"Near target","Above target")))</f>
        <v>On target</v>
      </c>
      <c r="P73" s="40">
        <f>IF(tblReceipts[[#This Row],[Date]]="","",IF(AND(tblReceipts[[#This Row],[Date]]&gt;=FFrom,tblReceipts[[#This Row],[Date]]&lt;=FTo,OR(DashSupplier="",tblReceipts[[#This Row],[Supplier]]=DashSupplier)),tblReceipts[[#This Row],[Date]],""))</f>
        <v>46218</v>
      </c>
      <c r="Q7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3" s="33" t="s">
        <v>136</v>
      </c>
    </row>
    <row r="74" spans="2:18">
      <c r="B74" s="35">
        <v>46219</v>
      </c>
      <c r="C74" s="28" t="s">
        <v>231</v>
      </c>
      <c r="D74" s="28" t="s">
        <v>84</v>
      </c>
      <c r="E74" s="28" t="s">
        <v>159</v>
      </c>
      <c r="F74" s="29">
        <v>4000</v>
      </c>
      <c r="G74" s="29">
        <v>3</v>
      </c>
      <c r="H74" s="28" t="s">
        <v>95</v>
      </c>
      <c r="I74" s="28" t="s">
        <v>108</v>
      </c>
      <c r="J74" s="28" t="s">
        <v>232</v>
      </c>
      <c r="K74" s="36">
        <f>IF(tblReceipts[[#This Row],[Date]]="","",IF(tblReceipts[[#This Row],[Received]]&gt;0,tblReceipts[[#This Row],[Rejected]]/tblReceipts[[#This Row],[Received]],""))</f>
        <v>0.00075</v>
      </c>
      <c r="L74" s="37">
        <f>IF(tblReceipts[[#This Row],[Date]]="","",IF(tblReceipts[[#This Row],[Received]]&gt;0,tblReceipts[[#This Row],[Rejected]]/tblReceipts[[#This Row],[Received]]*1000000,""))</f>
        <v>750</v>
      </c>
      <c r="M74" s="37">
        <f>IF(tblReceipts[[#This Row],[Date]]="","",IFERROR(INDEX(tblSuppliers[PPM limit],MATCH(tblReceipts[[#This Row],[Supplier]],tblSuppliers[Supplier],0)),""))</f>
        <v>250</v>
      </c>
      <c r="N74" s="38">
        <f>IF(tblReceipts[[#This Row],[Date]]="","",IF(AND(ISNUMBER(tblReceipts[[#This Row],[PPM]]),ISNUMBER(tblReceipts[[#This Row],[PPM limit]])),tblReceipts[[#This Row],[PPM]]-tblReceipts[[#This Row],[PPM limit]],""))</f>
        <v>500</v>
      </c>
      <c r="O74" s="39" t="str">
        <f>IF(NOT(ISNUMBER(tblReceipts[[#This Row],[PPM]])),"",IF(tblReceipts[[#This Row],[PPM]]&lt;=tblReceipts[[#This Row],[PPM limit]],"On target",IF(tblReceipts[[#This Row],[PPM]]&lt;=tblReceipts[[#This Row],[PPM limit]]*(1+0.05),"Near target","Above target")))</f>
        <v>Above target</v>
      </c>
      <c r="P74" s="40">
        <f>IF(tblReceipts[[#This Row],[Date]]="","",IF(AND(tblReceipts[[#This Row],[Date]]&gt;=FFrom,tblReceipts[[#This Row],[Date]]&lt;=FTo,OR(DashSupplier="",tblReceipts[[#This Row],[Supplier]]=DashSupplier)),tblReceipts[[#This Row],[Date]],""))</f>
        <v>46219</v>
      </c>
      <c r="Q7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4" s="33" t="s">
        <v>136</v>
      </c>
    </row>
    <row r="75" spans="2:18">
      <c r="B75" s="35">
        <v>46220</v>
      </c>
      <c r="C75" s="28" t="s">
        <v>233</v>
      </c>
      <c r="D75" s="28" t="s">
        <v>86</v>
      </c>
      <c r="E75" s="28" t="s">
        <v>146</v>
      </c>
      <c r="F75" s="29">
        <v>72</v>
      </c>
      <c r="G75" s="29">
        <v>0</v>
      </c>
      <c r="H75" s="28" t="s">
        <v>136</v>
      </c>
      <c r="I75" s="28" t="s">
        <v>136</v>
      </c>
      <c r="J75" s="28" t="s">
        <v>136</v>
      </c>
      <c r="K75" s="36">
        <f>IF(tblReceipts[[#This Row],[Date]]="","",IF(tblReceipts[[#This Row],[Received]]&gt;0,tblReceipts[[#This Row],[Rejected]]/tblReceipts[[#This Row],[Received]],""))</f>
        <v>0</v>
      </c>
      <c r="L75" s="37">
        <f>IF(tblReceipts[[#This Row],[Date]]="","",IF(tblReceipts[[#This Row],[Received]]&gt;0,tblReceipts[[#This Row],[Rejected]]/tblReceipts[[#This Row],[Received]]*1000000,""))</f>
        <v>0</v>
      </c>
      <c r="M75" s="37">
        <f>IF(tblReceipts[[#This Row],[Date]]="","",IFERROR(INDEX(tblSuppliers[PPM limit],MATCH(tblReceipts[[#This Row],[Supplier]],tblSuppliers[Supplier],0)),""))</f>
        <v>3000</v>
      </c>
      <c r="N75" s="38">
        <f>IF(tblReceipts[[#This Row],[Date]]="","",IF(AND(ISNUMBER(tblReceipts[[#This Row],[PPM]]),ISNUMBER(tblReceipts[[#This Row],[PPM limit]])),tblReceipts[[#This Row],[PPM]]-tblReceipts[[#This Row],[PPM limit]],""))</f>
        <v>-3000</v>
      </c>
      <c r="O75" s="39" t="str">
        <f>IF(NOT(ISNUMBER(tblReceipts[[#This Row],[PPM]])),"",IF(tblReceipts[[#This Row],[PPM]]&lt;=tblReceipts[[#This Row],[PPM limit]],"On target",IF(tblReceipts[[#This Row],[PPM]]&lt;=tblReceipts[[#This Row],[PPM limit]]*(1+0.05),"Near target","Above target")))</f>
        <v>On target</v>
      </c>
      <c r="P75" s="40">
        <f>IF(tblReceipts[[#This Row],[Date]]="","",IF(AND(tblReceipts[[#This Row],[Date]]&gt;=FFrom,tblReceipts[[#This Row],[Date]]&lt;=FTo,OR(DashSupplier="",tblReceipts[[#This Row],[Supplier]]=DashSupplier)),tblReceipts[[#This Row],[Date]],""))</f>
        <v>46220</v>
      </c>
      <c r="Q7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5" s="33" t="s">
        <v>136</v>
      </c>
    </row>
    <row r="76" spans="2:18">
      <c r="B76" s="35">
        <v>46224</v>
      </c>
      <c r="C76" s="28" t="s">
        <v>234</v>
      </c>
      <c r="D76" s="28" t="s">
        <v>78</v>
      </c>
      <c r="E76" s="28" t="s">
        <v>148</v>
      </c>
      <c r="F76" s="29">
        <v>220</v>
      </c>
      <c r="G76" s="29">
        <v>0</v>
      </c>
      <c r="H76" s="28" t="s">
        <v>136</v>
      </c>
      <c r="I76" s="28" t="s">
        <v>136</v>
      </c>
      <c r="J76" s="28" t="s">
        <v>136</v>
      </c>
      <c r="K76" s="36">
        <f>IF(tblReceipts[[#This Row],[Date]]="","",IF(tblReceipts[[#This Row],[Received]]&gt;0,tblReceipts[[#This Row],[Rejected]]/tblReceipts[[#This Row],[Received]],""))</f>
        <v>0</v>
      </c>
      <c r="L76" s="37">
        <f>IF(tblReceipts[[#This Row],[Date]]="","",IF(tblReceipts[[#This Row],[Received]]&gt;0,tblReceipts[[#This Row],[Rejected]]/tblReceipts[[#This Row],[Received]]*1000000,""))</f>
        <v>0</v>
      </c>
      <c r="M76" s="37">
        <f>IF(tblReceipts[[#This Row],[Date]]="","",IFERROR(INDEX(tblSuppliers[PPM limit],MATCH(tblReceipts[[#This Row],[Supplier]],tblSuppliers[Supplier],0)),""))</f>
        <v>1500</v>
      </c>
      <c r="N76" s="38">
        <f>IF(tblReceipts[[#This Row],[Date]]="","",IF(AND(ISNUMBER(tblReceipts[[#This Row],[PPM]]),ISNUMBER(tblReceipts[[#This Row],[PPM limit]])),tblReceipts[[#This Row],[PPM]]-tblReceipts[[#This Row],[PPM limit]],""))</f>
        <v>-1500</v>
      </c>
      <c r="O76" s="39" t="str">
        <f>IF(NOT(ISNUMBER(tblReceipts[[#This Row],[PPM]])),"",IF(tblReceipts[[#This Row],[PPM]]&lt;=tblReceipts[[#This Row],[PPM limit]],"On target",IF(tblReceipts[[#This Row],[PPM]]&lt;=tblReceipts[[#This Row],[PPM limit]]*(1+0.05),"Near target","Above target")))</f>
        <v>On target</v>
      </c>
      <c r="P76" s="40">
        <f>IF(tblReceipts[[#This Row],[Date]]="","",IF(AND(tblReceipts[[#This Row],[Date]]&gt;=FFrom,tblReceipts[[#This Row],[Date]]&lt;=FTo,OR(DashSupplier="",tblReceipts[[#This Row],[Supplier]]=DashSupplier)),tblReceipts[[#This Row],[Date]],""))</f>
        <v>46224</v>
      </c>
      <c r="Q7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6" s="33" t="s">
        <v>235</v>
      </c>
    </row>
    <row r="77" spans="2:18">
      <c r="B77" s="35">
        <v>46225</v>
      </c>
      <c r="C77" s="28" t="s">
        <v>236</v>
      </c>
      <c r="D77" s="28" t="s">
        <v>80</v>
      </c>
      <c r="E77" s="28" t="s">
        <v>150</v>
      </c>
      <c r="F77" s="29">
        <v>260</v>
      </c>
      <c r="G77" s="29">
        <v>0</v>
      </c>
      <c r="H77" s="28" t="s">
        <v>136</v>
      </c>
      <c r="I77" s="28" t="s">
        <v>136</v>
      </c>
      <c r="J77" s="28" t="s">
        <v>136</v>
      </c>
      <c r="K77" s="36">
        <f>IF(tblReceipts[[#This Row],[Date]]="","",IF(tblReceipts[[#This Row],[Received]]&gt;0,tblReceipts[[#This Row],[Rejected]]/tblReceipts[[#This Row],[Received]],""))</f>
        <v>0</v>
      </c>
      <c r="L77" s="37">
        <f>IF(tblReceipts[[#This Row],[Date]]="","",IF(tblReceipts[[#This Row],[Received]]&gt;0,tblReceipts[[#This Row],[Rejected]]/tblReceipts[[#This Row],[Received]]*1000000,""))</f>
        <v>0</v>
      </c>
      <c r="M77" s="37">
        <f>IF(tblReceipts[[#This Row],[Date]]="","",IFERROR(INDEX(tblSuppliers[PPM limit],MATCH(tblReceipts[[#This Row],[Supplier]],tblSuppliers[Supplier],0)),""))</f>
        <v>500</v>
      </c>
      <c r="N77" s="38">
        <f>IF(tblReceipts[[#This Row],[Date]]="","",IF(AND(ISNUMBER(tblReceipts[[#This Row],[PPM]]),ISNUMBER(tblReceipts[[#This Row],[PPM limit]])),tblReceipts[[#This Row],[PPM]]-tblReceipts[[#This Row],[PPM limit]],""))</f>
        <v>-500</v>
      </c>
      <c r="O77" s="39" t="str">
        <f>IF(NOT(ISNUMBER(tblReceipts[[#This Row],[PPM]])),"",IF(tblReceipts[[#This Row],[PPM]]&lt;=tblReceipts[[#This Row],[PPM limit]],"On target",IF(tblReceipts[[#This Row],[PPM]]&lt;=tblReceipts[[#This Row],[PPM limit]]*(1+0.05),"Near target","Above target")))</f>
        <v>On target</v>
      </c>
      <c r="P77" s="40">
        <f>IF(tblReceipts[[#This Row],[Date]]="","",IF(AND(tblReceipts[[#This Row],[Date]]&gt;=FFrom,tblReceipts[[#This Row],[Date]]&lt;=FTo,OR(DashSupplier="",tblReceipts[[#This Row],[Supplier]]=DashSupplier)),tblReceipts[[#This Row],[Date]],""))</f>
        <v>46225</v>
      </c>
      <c r="Q7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7" s="33" t="s">
        <v>136</v>
      </c>
    </row>
    <row r="78" spans="2:18">
      <c r="B78" s="35">
        <v>46227</v>
      </c>
      <c r="C78" s="28" t="s">
        <v>237</v>
      </c>
      <c r="D78" s="28" t="s">
        <v>86</v>
      </c>
      <c r="E78" s="28" t="s">
        <v>146</v>
      </c>
      <c r="F78" s="29">
        <v>60</v>
      </c>
      <c r="G78" s="29">
        <v>0</v>
      </c>
      <c r="H78" s="28" t="s">
        <v>136</v>
      </c>
      <c r="I78" s="28" t="s">
        <v>136</v>
      </c>
      <c r="J78" s="28" t="s">
        <v>136</v>
      </c>
      <c r="K78" s="36">
        <f>IF(tblReceipts[[#This Row],[Date]]="","",IF(tblReceipts[[#This Row],[Received]]&gt;0,tblReceipts[[#This Row],[Rejected]]/tblReceipts[[#This Row],[Received]],""))</f>
        <v>0</v>
      </c>
      <c r="L78" s="37">
        <f>IF(tblReceipts[[#This Row],[Date]]="","",IF(tblReceipts[[#This Row],[Received]]&gt;0,tblReceipts[[#This Row],[Rejected]]/tblReceipts[[#This Row],[Received]]*1000000,""))</f>
        <v>0</v>
      </c>
      <c r="M78" s="37">
        <f>IF(tblReceipts[[#This Row],[Date]]="","",IFERROR(INDEX(tblSuppliers[PPM limit],MATCH(tblReceipts[[#This Row],[Supplier]],tblSuppliers[Supplier],0)),""))</f>
        <v>3000</v>
      </c>
      <c r="N78" s="38">
        <f>IF(tblReceipts[[#This Row],[Date]]="","",IF(AND(ISNUMBER(tblReceipts[[#This Row],[PPM]]),ISNUMBER(tblReceipts[[#This Row],[PPM limit]])),tblReceipts[[#This Row],[PPM]]-tblReceipts[[#This Row],[PPM limit]],""))</f>
        <v>-3000</v>
      </c>
      <c r="O78" s="39" t="str">
        <f>IF(NOT(ISNUMBER(tblReceipts[[#This Row],[PPM]])),"",IF(tblReceipts[[#This Row],[PPM]]&lt;=tblReceipts[[#This Row],[PPM limit]],"On target",IF(tblReceipts[[#This Row],[PPM]]&lt;=tblReceipts[[#This Row],[PPM limit]]*(1+0.05),"Near target","Above target")))</f>
        <v>On target</v>
      </c>
      <c r="P78" s="40">
        <f>IF(tblReceipts[[#This Row],[Date]]="","",IF(AND(tblReceipts[[#This Row],[Date]]&gt;=FFrom,tblReceipts[[#This Row],[Date]]&lt;=FTo,OR(DashSupplier="",tblReceipts[[#This Row],[Supplier]]=DashSupplier)),tblReceipts[[#This Row],[Date]],""))</f>
        <v>46227</v>
      </c>
      <c r="Q7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8" s="33" t="s">
        <v>136</v>
      </c>
    </row>
    <row r="79" spans="2:18">
      <c r="B79" s="35">
        <v>46230</v>
      </c>
      <c r="C79" s="28" t="s">
        <v>238</v>
      </c>
      <c r="D79" s="28" t="s">
        <v>82</v>
      </c>
      <c r="E79" s="28" t="s">
        <v>134</v>
      </c>
      <c r="F79" s="29">
        <v>19000</v>
      </c>
      <c r="G79" s="29">
        <v>1</v>
      </c>
      <c r="H79" s="28" t="s">
        <v>91</v>
      </c>
      <c r="I79" s="28" t="s">
        <v>110</v>
      </c>
      <c r="J79" s="28" t="s">
        <v>239</v>
      </c>
      <c r="K79" s="36">
        <f>IF(tblReceipts[[#This Row],[Date]]="","",IF(tblReceipts[[#This Row],[Received]]&gt;0,tblReceipts[[#This Row],[Rejected]]/tblReceipts[[#This Row],[Received]],""))</f>
        <v>5.26315789473684e-05</v>
      </c>
      <c r="L79" s="37">
        <f>IF(tblReceipts[[#This Row],[Date]]="","",IF(tblReceipts[[#This Row],[Received]]&gt;0,tblReceipts[[#This Row],[Rejected]]/tblReceipts[[#This Row],[Received]]*1000000,""))</f>
        <v>52.6315789473684</v>
      </c>
      <c r="M79" s="37">
        <f>IF(tblReceipts[[#This Row],[Date]]="","",IFERROR(INDEX(tblSuppliers[PPM limit],MATCH(tblReceipts[[#This Row],[Supplier]],tblSuppliers[Supplier],0)),""))</f>
        <v>100</v>
      </c>
      <c r="N79" s="38">
        <f>IF(tblReceipts[[#This Row],[Date]]="","",IF(AND(ISNUMBER(tblReceipts[[#This Row],[PPM]]),ISNUMBER(tblReceipts[[#This Row],[PPM limit]])),tblReceipts[[#This Row],[PPM]]-tblReceipts[[#This Row],[PPM limit]],""))</f>
        <v>-47.3684210526316</v>
      </c>
      <c r="O79" s="39" t="str">
        <f>IF(NOT(ISNUMBER(tblReceipts[[#This Row],[PPM]])),"",IF(tblReceipts[[#This Row],[PPM]]&lt;=tblReceipts[[#This Row],[PPM limit]],"On target",IF(tblReceipts[[#This Row],[PPM]]&lt;=tblReceipts[[#This Row],[PPM limit]]*(1+0.05),"Near target","Above target")))</f>
        <v>On target</v>
      </c>
      <c r="P79" s="40">
        <f>IF(tblReceipts[[#This Row],[Date]]="","",IF(AND(tblReceipts[[#This Row],[Date]]&gt;=FFrom,tblReceipts[[#This Row],[Date]]&lt;=FTo,OR(DashSupplier="",tblReceipts[[#This Row],[Supplier]]=DashSupplier)),tblReceipts[[#This Row],[Date]],""))</f>
        <v>46230</v>
      </c>
      <c r="Q7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79" s="33" t="s">
        <v>136</v>
      </c>
    </row>
    <row r="80" spans="2:18">
      <c r="B80" s="35">
        <v>46231</v>
      </c>
      <c r="C80" s="28" t="s">
        <v>240</v>
      </c>
      <c r="D80" s="28" t="s">
        <v>78</v>
      </c>
      <c r="E80" s="28" t="s">
        <v>138</v>
      </c>
      <c r="F80" s="29">
        <v>260</v>
      </c>
      <c r="G80" s="29">
        <v>0</v>
      </c>
      <c r="H80" s="28" t="s">
        <v>136</v>
      </c>
      <c r="I80" s="28" t="s">
        <v>136</v>
      </c>
      <c r="J80" s="28" t="s">
        <v>136</v>
      </c>
      <c r="K80" s="36">
        <f>IF(tblReceipts[[#This Row],[Date]]="","",IF(tblReceipts[[#This Row],[Received]]&gt;0,tblReceipts[[#This Row],[Rejected]]/tblReceipts[[#This Row],[Received]],""))</f>
        <v>0</v>
      </c>
      <c r="L80" s="37">
        <f>IF(tblReceipts[[#This Row],[Date]]="","",IF(tblReceipts[[#This Row],[Received]]&gt;0,tblReceipts[[#This Row],[Rejected]]/tblReceipts[[#This Row],[Received]]*1000000,""))</f>
        <v>0</v>
      </c>
      <c r="M80" s="37">
        <f>IF(tblReceipts[[#This Row],[Date]]="","",IFERROR(INDEX(tblSuppliers[PPM limit],MATCH(tblReceipts[[#This Row],[Supplier]],tblSuppliers[Supplier],0)),""))</f>
        <v>1500</v>
      </c>
      <c r="N80" s="38">
        <f>IF(tblReceipts[[#This Row],[Date]]="","",IF(AND(ISNUMBER(tblReceipts[[#This Row],[PPM]]),ISNUMBER(tblReceipts[[#This Row],[PPM limit]])),tblReceipts[[#This Row],[PPM]]-tblReceipts[[#This Row],[PPM limit]],""))</f>
        <v>-1500</v>
      </c>
      <c r="O80" s="39" t="str">
        <f>IF(NOT(ISNUMBER(tblReceipts[[#This Row],[PPM]])),"",IF(tblReceipts[[#This Row],[PPM]]&lt;=tblReceipts[[#This Row],[PPM limit]],"On target",IF(tblReceipts[[#This Row],[PPM]]&lt;=tblReceipts[[#This Row],[PPM limit]]*(1+0.05),"Near target","Above target")))</f>
        <v>On target</v>
      </c>
      <c r="P80" s="40">
        <f>IF(tblReceipts[[#This Row],[Date]]="","",IF(AND(tblReceipts[[#This Row],[Date]]&gt;=FFrom,tblReceipts[[#This Row],[Date]]&lt;=FTo,OR(DashSupplier="",tblReceipts[[#This Row],[Supplier]]=DashSupplier)),tblReceipts[[#This Row],[Date]],""))</f>
        <v>46231</v>
      </c>
      <c r="Q8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0" s="33" t="s">
        <v>136</v>
      </c>
    </row>
    <row r="81" spans="2:18">
      <c r="B81" s="35">
        <v>46232</v>
      </c>
      <c r="C81" s="28" t="s">
        <v>241</v>
      </c>
      <c r="D81" s="28" t="s">
        <v>80</v>
      </c>
      <c r="E81" s="28" t="s">
        <v>140</v>
      </c>
      <c r="F81" s="29">
        <v>320</v>
      </c>
      <c r="G81" s="29">
        <v>0</v>
      </c>
      <c r="H81" s="28" t="s">
        <v>136</v>
      </c>
      <c r="I81" s="28" t="s">
        <v>136</v>
      </c>
      <c r="J81" s="28" t="s">
        <v>136</v>
      </c>
      <c r="K81" s="36">
        <f>IF(tblReceipts[[#This Row],[Date]]="","",IF(tblReceipts[[#This Row],[Received]]&gt;0,tblReceipts[[#This Row],[Rejected]]/tblReceipts[[#This Row],[Received]],""))</f>
        <v>0</v>
      </c>
      <c r="L81" s="37">
        <f>IF(tblReceipts[[#This Row],[Date]]="","",IF(tblReceipts[[#This Row],[Received]]&gt;0,tblReceipts[[#This Row],[Rejected]]/tblReceipts[[#This Row],[Received]]*1000000,""))</f>
        <v>0</v>
      </c>
      <c r="M81" s="37">
        <f>IF(tblReceipts[[#This Row],[Date]]="","",IFERROR(INDEX(tblSuppliers[PPM limit],MATCH(tblReceipts[[#This Row],[Supplier]],tblSuppliers[Supplier],0)),""))</f>
        <v>500</v>
      </c>
      <c r="N81" s="38">
        <f>IF(tblReceipts[[#This Row],[Date]]="","",IF(AND(ISNUMBER(tblReceipts[[#This Row],[PPM]]),ISNUMBER(tblReceipts[[#This Row],[PPM limit]])),tblReceipts[[#This Row],[PPM]]-tblReceipts[[#This Row],[PPM limit]],""))</f>
        <v>-500</v>
      </c>
      <c r="O81" s="39" t="str">
        <f>IF(NOT(ISNUMBER(tblReceipts[[#This Row],[PPM]])),"",IF(tblReceipts[[#This Row],[PPM]]&lt;=tblReceipts[[#This Row],[PPM limit]],"On target",IF(tblReceipts[[#This Row],[PPM]]&lt;=tblReceipts[[#This Row],[PPM limit]]*(1+0.05),"Near target","Above target")))</f>
        <v>On target</v>
      </c>
      <c r="P81" s="40">
        <f>IF(tblReceipts[[#This Row],[Date]]="","",IF(AND(tblReceipts[[#This Row],[Date]]&gt;=FFrom,tblReceipts[[#This Row],[Date]]&lt;=FTo,OR(DashSupplier="",tblReceipts[[#This Row],[Supplier]]=DashSupplier)),tblReceipts[[#This Row],[Date]],""))</f>
        <v>46232</v>
      </c>
      <c r="Q8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1" s="33" t="s">
        <v>136</v>
      </c>
    </row>
    <row r="82" spans="2:18">
      <c r="B82" s="35">
        <v>46232</v>
      </c>
      <c r="C82" s="28" t="s">
        <v>242</v>
      </c>
      <c r="D82" s="28" t="s">
        <v>88</v>
      </c>
      <c r="E82" s="28" t="s">
        <v>142</v>
      </c>
      <c r="F82" s="29">
        <v>400</v>
      </c>
      <c r="G82" s="29">
        <v>0</v>
      </c>
      <c r="H82" s="28" t="s">
        <v>136</v>
      </c>
      <c r="I82" s="28" t="s">
        <v>136</v>
      </c>
      <c r="J82" s="28" t="s">
        <v>136</v>
      </c>
      <c r="K82" s="36">
        <f>IF(tblReceipts[[#This Row],[Date]]="","",IF(tblReceipts[[#This Row],[Received]]&gt;0,tblReceipts[[#This Row],[Rejected]]/tblReceipts[[#This Row],[Received]],""))</f>
        <v>0</v>
      </c>
      <c r="L82" s="37">
        <f>IF(tblReceipts[[#This Row],[Date]]="","",IF(tblReceipts[[#This Row],[Received]]&gt;0,tblReceipts[[#This Row],[Rejected]]/tblReceipts[[#This Row],[Received]]*1000000,""))</f>
        <v>0</v>
      </c>
      <c r="M82" s="37">
        <f>IF(tblReceipts[[#This Row],[Date]]="","",IFERROR(INDEX(tblSuppliers[PPM limit],MATCH(tblReceipts[[#This Row],[Supplier]],tblSuppliers[Supplier],0)),""))</f>
        <v>300</v>
      </c>
      <c r="N82" s="38">
        <f>IF(tblReceipts[[#This Row],[Date]]="","",IF(AND(ISNUMBER(tblReceipts[[#This Row],[PPM]]),ISNUMBER(tblReceipts[[#This Row],[PPM limit]])),tblReceipts[[#This Row],[PPM]]-tblReceipts[[#This Row],[PPM limit]],""))</f>
        <v>-300</v>
      </c>
      <c r="O82" s="39" t="str">
        <f>IF(NOT(ISNUMBER(tblReceipts[[#This Row],[PPM]])),"",IF(tblReceipts[[#This Row],[PPM]]&lt;=tblReceipts[[#This Row],[PPM limit]],"On target",IF(tblReceipts[[#This Row],[PPM]]&lt;=tblReceipts[[#This Row],[PPM limit]]*(1+0.05),"Near target","Above target")))</f>
        <v>On target</v>
      </c>
      <c r="P82" s="40">
        <f>IF(tblReceipts[[#This Row],[Date]]="","",IF(AND(tblReceipts[[#This Row],[Date]]&gt;=FFrom,tblReceipts[[#This Row],[Date]]&lt;=FTo,OR(DashSupplier="",tblReceipts[[#This Row],[Supplier]]=DashSupplier)),tblReceipts[[#This Row],[Date]],""))</f>
        <v>46232</v>
      </c>
      <c r="Q8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2" s="33" t="s">
        <v>136</v>
      </c>
    </row>
    <row r="83" spans="2:18">
      <c r="B83" s="35">
        <v>46233</v>
      </c>
      <c r="C83" s="28" t="s">
        <v>243</v>
      </c>
      <c r="D83" s="28" t="s">
        <v>84</v>
      </c>
      <c r="E83" s="28" t="s">
        <v>144</v>
      </c>
      <c r="F83" s="29">
        <v>5500</v>
      </c>
      <c r="G83" s="29">
        <v>0</v>
      </c>
      <c r="H83" s="28" t="s">
        <v>136</v>
      </c>
      <c r="I83" s="28" t="s">
        <v>136</v>
      </c>
      <c r="J83" s="28" t="s">
        <v>136</v>
      </c>
      <c r="K83" s="36">
        <f>IF(tblReceipts[[#This Row],[Date]]="","",IF(tblReceipts[[#This Row],[Received]]&gt;0,tblReceipts[[#This Row],[Rejected]]/tblReceipts[[#This Row],[Received]],""))</f>
        <v>0</v>
      </c>
      <c r="L83" s="37">
        <f>IF(tblReceipts[[#This Row],[Date]]="","",IF(tblReceipts[[#This Row],[Received]]&gt;0,tblReceipts[[#This Row],[Rejected]]/tblReceipts[[#This Row],[Received]]*1000000,""))</f>
        <v>0</v>
      </c>
      <c r="M83" s="37">
        <f>IF(tblReceipts[[#This Row],[Date]]="","",IFERROR(INDEX(tblSuppliers[PPM limit],MATCH(tblReceipts[[#This Row],[Supplier]],tblSuppliers[Supplier],0)),""))</f>
        <v>250</v>
      </c>
      <c r="N83" s="38">
        <f>IF(tblReceipts[[#This Row],[Date]]="","",IF(AND(ISNUMBER(tblReceipts[[#This Row],[PPM]]),ISNUMBER(tblReceipts[[#This Row],[PPM limit]])),tblReceipts[[#This Row],[PPM]]-tblReceipts[[#This Row],[PPM limit]],""))</f>
        <v>-250</v>
      </c>
      <c r="O83" s="39" t="str">
        <f>IF(NOT(ISNUMBER(tblReceipts[[#This Row],[PPM]])),"",IF(tblReceipts[[#This Row],[PPM]]&lt;=tblReceipts[[#This Row],[PPM limit]],"On target",IF(tblReceipts[[#This Row],[PPM]]&lt;=tblReceipts[[#This Row],[PPM limit]]*(1+0.05),"Near target","Above target")))</f>
        <v>On target</v>
      </c>
      <c r="P83" s="40">
        <f>IF(tblReceipts[[#This Row],[Date]]="","",IF(AND(tblReceipts[[#This Row],[Date]]&gt;=FFrom,tblReceipts[[#This Row],[Date]]&lt;=FTo,OR(DashSupplier="",tblReceipts[[#This Row],[Supplier]]=DashSupplier)),tblReceipts[[#This Row],[Date]],""))</f>
        <v>46233</v>
      </c>
      <c r="Q8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3" s="33" t="s">
        <v>136</v>
      </c>
    </row>
    <row r="84" spans="2:18">
      <c r="B84" s="35">
        <v>46234</v>
      </c>
      <c r="C84" s="28" t="s">
        <v>244</v>
      </c>
      <c r="D84" s="28" t="s">
        <v>86</v>
      </c>
      <c r="E84" s="28" t="s">
        <v>146</v>
      </c>
      <c r="F84" s="29">
        <v>36</v>
      </c>
      <c r="G84" s="29">
        <v>0</v>
      </c>
      <c r="H84" s="28" t="s">
        <v>136</v>
      </c>
      <c r="I84" s="28" t="s">
        <v>136</v>
      </c>
      <c r="J84" s="28" t="s">
        <v>136</v>
      </c>
      <c r="K84" s="36">
        <f>IF(tblReceipts[[#This Row],[Date]]="","",IF(tblReceipts[[#This Row],[Received]]&gt;0,tblReceipts[[#This Row],[Rejected]]/tblReceipts[[#This Row],[Received]],""))</f>
        <v>0</v>
      </c>
      <c r="L84" s="37">
        <f>IF(tblReceipts[[#This Row],[Date]]="","",IF(tblReceipts[[#This Row],[Received]]&gt;0,tblReceipts[[#This Row],[Rejected]]/tblReceipts[[#This Row],[Received]]*1000000,""))</f>
        <v>0</v>
      </c>
      <c r="M84" s="37">
        <f>IF(tblReceipts[[#This Row],[Date]]="","",IFERROR(INDEX(tblSuppliers[PPM limit],MATCH(tblReceipts[[#This Row],[Supplier]],tblSuppliers[Supplier],0)),""))</f>
        <v>3000</v>
      </c>
      <c r="N84" s="38">
        <f>IF(tblReceipts[[#This Row],[Date]]="","",IF(AND(ISNUMBER(tblReceipts[[#This Row],[PPM]]),ISNUMBER(tblReceipts[[#This Row],[PPM limit]])),tblReceipts[[#This Row],[PPM]]-tblReceipts[[#This Row],[PPM limit]],""))</f>
        <v>-3000</v>
      </c>
      <c r="O84" s="39" t="str">
        <f>IF(NOT(ISNUMBER(tblReceipts[[#This Row],[PPM]])),"",IF(tblReceipts[[#This Row],[PPM]]&lt;=tblReceipts[[#This Row],[PPM limit]],"On target",IF(tblReceipts[[#This Row],[PPM]]&lt;=tblReceipts[[#This Row],[PPM limit]]*(1+0.05),"Near target","Above target")))</f>
        <v>On target</v>
      </c>
      <c r="P84" s="40">
        <f>IF(tblReceipts[[#This Row],[Date]]="","",IF(AND(tblReceipts[[#This Row],[Date]]&gt;=FFrom,tblReceipts[[#This Row],[Date]]&lt;=FTo,OR(DashSupplier="",tblReceipts[[#This Row],[Supplier]]=DashSupplier)),tblReceipts[[#This Row],[Date]],""))</f>
        <v>46234</v>
      </c>
      <c r="Q8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4" s="33" t="s">
        <v>136</v>
      </c>
    </row>
    <row r="85" spans="2:18">
      <c r="B85" s="35">
        <v>46238</v>
      </c>
      <c r="C85" s="28" t="s">
        <v>245</v>
      </c>
      <c r="D85" s="28" t="s">
        <v>78</v>
      </c>
      <c r="E85" s="28" t="s">
        <v>148</v>
      </c>
      <c r="F85" s="29">
        <v>190</v>
      </c>
      <c r="G85" s="29">
        <v>0</v>
      </c>
      <c r="H85" s="28" t="s">
        <v>136</v>
      </c>
      <c r="I85" s="28" t="s">
        <v>136</v>
      </c>
      <c r="J85" s="28" t="s">
        <v>136</v>
      </c>
      <c r="K85" s="36">
        <f>IF(tblReceipts[[#This Row],[Date]]="","",IF(tblReceipts[[#This Row],[Received]]&gt;0,tblReceipts[[#This Row],[Rejected]]/tblReceipts[[#This Row],[Received]],""))</f>
        <v>0</v>
      </c>
      <c r="L85" s="37">
        <f>IF(tblReceipts[[#This Row],[Date]]="","",IF(tblReceipts[[#This Row],[Received]]&gt;0,tblReceipts[[#This Row],[Rejected]]/tblReceipts[[#This Row],[Received]]*1000000,""))</f>
        <v>0</v>
      </c>
      <c r="M85" s="37">
        <f>IF(tblReceipts[[#This Row],[Date]]="","",IFERROR(INDEX(tblSuppliers[PPM limit],MATCH(tblReceipts[[#This Row],[Supplier]],tblSuppliers[Supplier],0)),""))</f>
        <v>1500</v>
      </c>
      <c r="N85" s="38">
        <f>IF(tblReceipts[[#This Row],[Date]]="","",IF(AND(ISNUMBER(tblReceipts[[#This Row],[PPM]]),ISNUMBER(tblReceipts[[#This Row],[PPM limit]])),tblReceipts[[#This Row],[PPM]]-tblReceipts[[#This Row],[PPM limit]],""))</f>
        <v>-1500</v>
      </c>
      <c r="O85" s="39" t="str">
        <f>IF(NOT(ISNUMBER(tblReceipts[[#This Row],[PPM]])),"",IF(tblReceipts[[#This Row],[PPM]]&lt;=tblReceipts[[#This Row],[PPM limit]],"On target",IF(tblReceipts[[#This Row],[PPM]]&lt;=tblReceipts[[#This Row],[PPM limit]]*(1+0.05),"Near target","Above target")))</f>
        <v>On target</v>
      </c>
      <c r="P85" s="40">
        <f>IF(tblReceipts[[#This Row],[Date]]="","",IF(AND(tblReceipts[[#This Row],[Date]]&gt;=FFrom,tblReceipts[[#This Row],[Date]]&lt;=FTo,OR(DashSupplier="",tblReceipts[[#This Row],[Supplier]]=DashSupplier)),tblReceipts[[#This Row],[Date]],""))</f>
        <v>46238</v>
      </c>
      <c r="Q8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5" s="33" t="s">
        <v>136</v>
      </c>
    </row>
    <row r="86" spans="2:18">
      <c r="B86" s="35">
        <v>46239</v>
      </c>
      <c r="C86" s="28" t="s">
        <v>246</v>
      </c>
      <c r="D86" s="28" t="s">
        <v>80</v>
      </c>
      <c r="E86" s="28" t="s">
        <v>150</v>
      </c>
      <c r="F86" s="29">
        <v>260</v>
      </c>
      <c r="G86" s="29">
        <v>0</v>
      </c>
      <c r="H86" s="28" t="s">
        <v>136</v>
      </c>
      <c r="I86" s="28" t="s">
        <v>136</v>
      </c>
      <c r="J86" s="28" t="s">
        <v>136</v>
      </c>
      <c r="K86" s="36">
        <f>IF(tblReceipts[[#This Row],[Date]]="","",IF(tblReceipts[[#This Row],[Received]]&gt;0,tblReceipts[[#This Row],[Rejected]]/tblReceipts[[#This Row],[Received]],""))</f>
        <v>0</v>
      </c>
      <c r="L86" s="37">
        <f>IF(tblReceipts[[#This Row],[Date]]="","",IF(tblReceipts[[#This Row],[Received]]&gt;0,tblReceipts[[#This Row],[Rejected]]/tblReceipts[[#This Row],[Received]]*1000000,""))</f>
        <v>0</v>
      </c>
      <c r="M86" s="37">
        <f>IF(tblReceipts[[#This Row],[Date]]="","",IFERROR(INDEX(tblSuppliers[PPM limit],MATCH(tblReceipts[[#This Row],[Supplier]],tblSuppliers[Supplier],0)),""))</f>
        <v>500</v>
      </c>
      <c r="N86" s="38">
        <f>IF(tblReceipts[[#This Row],[Date]]="","",IF(AND(ISNUMBER(tblReceipts[[#This Row],[PPM]]),ISNUMBER(tblReceipts[[#This Row],[PPM limit]])),tblReceipts[[#This Row],[PPM]]-tblReceipts[[#This Row],[PPM limit]],""))</f>
        <v>-500</v>
      </c>
      <c r="O86" s="39" t="str">
        <f>IF(NOT(ISNUMBER(tblReceipts[[#This Row],[PPM]])),"",IF(tblReceipts[[#This Row],[PPM]]&lt;=tblReceipts[[#This Row],[PPM limit]],"On target",IF(tblReceipts[[#This Row],[PPM]]&lt;=tblReceipts[[#This Row],[PPM limit]]*(1+0.05),"Near target","Above target")))</f>
        <v>On target</v>
      </c>
      <c r="P86" s="40">
        <f>IF(tblReceipts[[#This Row],[Date]]="","",IF(AND(tblReceipts[[#This Row],[Date]]&gt;=FFrom,tblReceipts[[#This Row],[Date]]&lt;=FTo,OR(DashSupplier="",tblReceipts[[#This Row],[Supplier]]=DashSupplier)),tblReceipts[[#This Row],[Date]],""))</f>
        <v>46239</v>
      </c>
      <c r="Q8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6" s="33" t="s">
        <v>136</v>
      </c>
    </row>
    <row r="87" spans="2:18">
      <c r="B87" s="35">
        <v>46241</v>
      </c>
      <c r="C87" s="28" t="s">
        <v>247</v>
      </c>
      <c r="D87" s="28" t="s">
        <v>86</v>
      </c>
      <c r="E87" s="28" t="s">
        <v>146</v>
      </c>
      <c r="F87" s="29">
        <v>30</v>
      </c>
      <c r="G87" s="29">
        <v>0</v>
      </c>
      <c r="H87" s="28" t="s">
        <v>136</v>
      </c>
      <c r="I87" s="28" t="s">
        <v>136</v>
      </c>
      <c r="J87" s="28" t="s">
        <v>136</v>
      </c>
      <c r="K87" s="36">
        <f>IF(tblReceipts[[#This Row],[Date]]="","",IF(tblReceipts[[#This Row],[Received]]&gt;0,tblReceipts[[#This Row],[Rejected]]/tblReceipts[[#This Row],[Received]],""))</f>
        <v>0</v>
      </c>
      <c r="L87" s="37">
        <f>IF(tblReceipts[[#This Row],[Date]]="","",IF(tblReceipts[[#This Row],[Received]]&gt;0,tblReceipts[[#This Row],[Rejected]]/tblReceipts[[#This Row],[Received]]*1000000,""))</f>
        <v>0</v>
      </c>
      <c r="M87" s="37">
        <f>IF(tblReceipts[[#This Row],[Date]]="","",IFERROR(INDEX(tblSuppliers[PPM limit],MATCH(tblReceipts[[#This Row],[Supplier]],tblSuppliers[Supplier],0)),""))</f>
        <v>3000</v>
      </c>
      <c r="N87" s="38">
        <f>IF(tblReceipts[[#This Row],[Date]]="","",IF(AND(ISNUMBER(tblReceipts[[#This Row],[PPM]]),ISNUMBER(tblReceipts[[#This Row],[PPM limit]])),tblReceipts[[#This Row],[PPM]]-tblReceipts[[#This Row],[PPM limit]],""))</f>
        <v>-3000</v>
      </c>
      <c r="O87" s="39" t="str">
        <f>IF(NOT(ISNUMBER(tblReceipts[[#This Row],[PPM]])),"",IF(tblReceipts[[#This Row],[PPM]]&lt;=tblReceipts[[#This Row],[PPM limit]],"On target",IF(tblReceipts[[#This Row],[PPM]]&lt;=tblReceipts[[#This Row],[PPM limit]]*(1+0.05),"Near target","Above target")))</f>
        <v>On target</v>
      </c>
      <c r="P87" s="40">
        <f>IF(tblReceipts[[#This Row],[Date]]="","",IF(AND(tblReceipts[[#This Row],[Date]]&gt;=FFrom,tblReceipts[[#This Row],[Date]]&lt;=FTo,OR(DashSupplier="",tblReceipts[[#This Row],[Supplier]]=DashSupplier)),tblReceipts[[#This Row],[Date]],""))</f>
        <v>46241</v>
      </c>
      <c r="Q8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7" s="33" t="s">
        <v>136</v>
      </c>
    </row>
    <row r="88" spans="2:18">
      <c r="B88" s="35">
        <v>46244</v>
      </c>
      <c r="C88" s="28" t="s">
        <v>248</v>
      </c>
      <c r="D88" s="28" t="s">
        <v>82</v>
      </c>
      <c r="E88" s="28" t="s">
        <v>153</v>
      </c>
      <c r="F88" s="29">
        <v>14000</v>
      </c>
      <c r="G88" s="29">
        <v>36</v>
      </c>
      <c r="H88" s="28" t="s">
        <v>97</v>
      </c>
      <c r="I88" s="28" t="s">
        <v>110</v>
      </c>
      <c r="J88" s="28" t="s">
        <v>249</v>
      </c>
      <c r="K88" s="36">
        <f>IF(tblReceipts[[#This Row],[Date]]="","",IF(tblReceipts[[#This Row],[Received]]&gt;0,tblReceipts[[#This Row],[Rejected]]/tblReceipts[[#This Row],[Received]],""))</f>
        <v>0.00257142857142857</v>
      </c>
      <c r="L88" s="37">
        <f>IF(tblReceipts[[#This Row],[Date]]="","",IF(tblReceipts[[#This Row],[Received]]&gt;0,tblReceipts[[#This Row],[Rejected]]/tblReceipts[[#This Row],[Received]]*1000000,""))</f>
        <v>2571.42857142857</v>
      </c>
      <c r="M88" s="37">
        <f>IF(tblReceipts[[#This Row],[Date]]="","",IFERROR(INDEX(tblSuppliers[PPM limit],MATCH(tblReceipts[[#This Row],[Supplier]],tblSuppliers[Supplier],0)),""))</f>
        <v>100</v>
      </c>
      <c r="N88" s="38">
        <f>IF(tblReceipts[[#This Row],[Date]]="","",IF(AND(ISNUMBER(tblReceipts[[#This Row],[PPM]]),ISNUMBER(tblReceipts[[#This Row],[PPM limit]])),tblReceipts[[#This Row],[PPM]]-tblReceipts[[#This Row],[PPM limit]],""))</f>
        <v>2471.42857142857</v>
      </c>
      <c r="O88" s="39" t="str">
        <f>IF(NOT(ISNUMBER(tblReceipts[[#This Row],[PPM]])),"",IF(tblReceipts[[#This Row],[PPM]]&lt;=tblReceipts[[#This Row],[PPM limit]],"On target",IF(tblReceipts[[#This Row],[PPM]]&lt;=tblReceipts[[#This Row],[PPM limit]]*(1+0.05),"Near target","Above target")))</f>
        <v>Above target</v>
      </c>
      <c r="P88" s="40">
        <f>IF(tblReceipts[[#This Row],[Date]]="","",IF(AND(tblReceipts[[#This Row],[Date]]&gt;=FFrom,tblReceipts[[#This Row],[Date]]&lt;=FTo,OR(DashSupplier="",tblReceipts[[#This Row],[Supplier]]=DashSupplier)),tblReceipts[[#This Row],[Date]],""))</f>
        <v>46244</v>
      </c>
      <c r="Q8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8" s="33" t="s">
        <v>250</v>
      </c>
    </row>
    <row r="89" spans="2:18">
      <c r="B89" s="35">
        <v>46245</v>
      </c>
      <c r="C89" s="28" t="s">
        <v>251</v>
      </c>
      <c r="D89" s="28" t="s">
        <v>78</v>
      </c>
      <c r="E89" s="28" t="s">
        <v>138</v>
      </c>
      <c r="F89" s="29">
        <v>310</v>
      </c>
      <c r="G89" s="29">
        <v>0</v>
      </c>
      <c r="H89" s="28" t="s">
        <v>136</v>
      </c>
      <c r="I89" s="28" t="s">
        <v>136</v>
      </c>
      <c r="J89" s="28" t="s">
        <v>136</v>
      </c>
      <c r="K89" s="36">
        <f>IF(tblReceipts[[#This Row],[Date]]="","",IF(tblReceipts[[#This Row],[Received]]&gt;0,tblReceipts[[#This Row],[Rejected]]/tblReceipts[[#This Row],[Received]],""))</f>
        <v>0</v>
      </c>
      <c r="L89" s="37">
        <f>IF(tblReceipts[[#This Row],[Date]]="","",IF(tblReceipts[[#This Row],[Received]]&gt;0,tblReceipts[[#This Row],[Rejected]]/tblReceipts[[#This Row],[Received]]*1000000,""))</f>
        <v>0</v>
      </c>
      <c r="M89" s="37">
        <f>IF(tblReceipts[[#This Row],[Date]]="","",IFERROR(INDEX(tblSuppliers[PPM limit],MATCH(tblReceipts[[#This Row],[Supplier]],tblSuppliers[Supplier],0)),""))</f>
        <v>1500</v>
      </c>
      <c r="N89" s="38">
        <f>IF(tblReceipts[[#This Row],[Date]]="","",IF(AND(ISNUMBER(tblReceipts[[#This Row],[PPM]]),ISNUMBER(tblReceipts[[#This Row],[PPM limit]])),tblReceipts[[#This Row],[PPM]]-tblReceipts[[#This Row],[PPM limit]],""))</f>
        <v>-1500</v>
      </c>
      <c r="O89" s="39" t="str">
        <f>IF(NOT(ISNUMBER(tblReceipts[[#This Row],[PPM]])),"",IF(tblReceipts[[#This Row],[PPM]]&lt;=tblReceipts[[#This Row],[PPM limit]],"On target",IF(tblReceipts[[#This Row],[PPM]]&lt;=tblReceipts[[#This Row],[PPM limit]]*(1+0.05),"Near target","Above target")))</f>
        <v>On target</v>
      </c>
      <c r="P89" s="40">
        <f>IF(tblReceipts[[#This Row],[Date]]="","",IF(AND(tblReceipts[[#This Row],[Date]]&gt;=FFrom,tblReceipts[[#This Row],[Date]]&lt;=FTo,OR(DashSupplier="",tblReceipts[[#This Row],[Supplier]]=DashSupplier)),tblReceipts[[#This Row],[Date]],""))</f>
        <v>46245</v>
      </c>
      <c r="Q8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89" s="33" t="s">
        <v>136</v>
      </c>
    </row>
    <row r="90" spans="2:18">
      <c r="B90" s="35">
        <v>46246</v>
      </c>
      <c r="C90" s="28" t="s">
        <v>252</v>
      </c>
      <c r="D90" s="28" t="s">
        <v>80</v>
      </c>
      <c r="E90" s="28" t="s">
        <v>140</v>
      </c>
      <c r="F90" s="29">
        <v>440</v>
      </c>
      <c r="G90" s="29">
        <v>0</v>
      </c>
      <c r="H90" s="28" t="s">
        <v>136</v>
      </c>
      <c r="I90" s="28" t="s">
        <v>136</v>
      </c>
      <c r="J90" s="28" t="s">
        <v>136</v>
      </c>
      <c r="K90" s="36">
        <f>IF(tblReceipts[[#This Row],[Date]]="","",IF(tblReceipts[[#This Row],[Received]]&gt;0,tblReceipts[[#This Row],[Rejected]]/tblReceipts[[#This Row],[Received]],""))</f>
        <v>0</v>
      </c>
      <c r="L90" s="37">
        <f>IF(tblReceipts[[#This Row],[Date]]="","",IF(tblReceipts[[#This Row],[Received]]&gt;0,tblReceipts[[#This Row],[Rejected]]/tblReceipts[[#This Row],[Received]]*1000000,""))</f>
        <v>0</v>
      </c>
      <c r="M90" s="37">
        <f>IF(tblReceipts[[#This Row],[Date]]="","",IFERROR(INDEX(tblSuppliers[PPM limit],MATCH(tblReceipts[[#This Row],[Supplier]],tblSuppliers[Supplier],0)),""))</f>
        <v>500</v>
      </c>
      <c r="N90" s="38">
        <f>IF(tblReceipts[[#This Row],[Date]]="","",IF(AND(ISNUMBER(tblReceipts[[#This Row],[PPM]]),ISNUMBER(tblReceipts[[#This Row],[PPM limit]])),tblReceipts[[#This Row],[PPM]]-tblReceipts[[#This Row],[PPM limit]],""))</f>
        <v>-500</v>
      </c>
      <c r="O90" s="39" t="str">
        <f>IF(NOT(ISNUMBER(tblReceipts[[#This Row],[PPM]])),"",IF(tblReceipts[[#This Row],[PPM]]&lt;=tblReceipts[[#This Row],[PPM limit]],"On target",IF(tblReceipts[[#This Row],[PPM]]&lt;=tblReceipts[[#This Row],[PPM limit]]*(1+0.05),"Near target","Above target")))</f>
        <v>On target</v>
      </c>
      <c r="P90" s="40">
        <f>IF(tblReceipts[[#This Row],[Date]]="","",IF(AND(tblReceipts[[#This Row],[Date]]&gt;=FFrom,tblReceipts[[#This Row],[Date]]&lt;=FTo,OR(DashSupplier="",tblReceipts[[#This Row],[Supplier]]=DashSupplier)),tblReceipts[[#This Row],[Date]],""))</f>
        <v>46246</v>
      </c>
      <c r="Q9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0" s="33" t="s">
        <v>136</v>
      </c>
    </row>
    <row r="91" spans="2:18">
      <c r="B91" s="35">
        <v>46246</v>
      </c>
      <c r="C91" s="28" t="s">
        <v>253</v>
      </c>
      <c r="D91" s="28" t="s">
        <v>88</v>
      </c>
      <c r="E91" s="28" t="s">
        <v>142</v>
      </c>
      <c r="F91" s="29">
        <v>750</v>
      </c>
      <c r="G91" s="29">
        <v>0</v>
      </c>
      <c r="H91" s="28" t="s">
        <v>136</v>
      </c>
      <c r="I91" s="28" t="s">
        <v>136</v>
      </c>
      <c r="J91" s="28" t="s">
        <v>136</v>
      </c>
      <c r="K91" s="36">
        <f>IF(tblReceipts[[#This Row],[Date]]="","",IF(tblReceipts[[#This Row],[Received]]&gt;0,tblReceipts[[#This Row],[Rejected]]/tblReceipts[[#This Row],[Received]],""))</f>
        <v>0</v>
      </c>
      <c r="L91" s="37">
        <f>IF(tblReceipts[[#This Row],[Date]]="","",IF(tblReceipts[[#This Row],[Received]]&gt;0,tblReceipts[[#This Row],[Rejected]]/tblReceipts[[#This Row],[Received]]*1000000,""))</f>
        <v>0</v>
      </c>
      <c r="M91" s="37">
        <f>IF(tblReceipts[[#This Row],[Date]]="","",IFERROR(INDEX(tblSuppliers[PPM limit],MATCH(tblReceipts[[#This Row],[Supplier]],tblSuppliers[Supplier],0)),""))</f>
        <v>300</v>
      </c>
      <c r="N91" s="38">
        <f>IF(tblReceipts[[#This Row],[Date]]="","",IF(AND(ISNUMBER(tblReceipts[[#This Row],[PPM]]),ISNUMBER(tblReceipts[[#This Row],[PPM limit]])),tblReceipts[[#This Row],[PPM]]-tblReceipts[[#This Row],[PPM limit]],""))</f>
        <v>-300</v>
      </c>
      <c r="O91" s="39" t="str">
        <f>IF(NOT(ISNUMBER(tblReceipts[[#This Row],[PPM]])),"",IF(tblReceipts[[#This Row],[PPM]]&lt;=tblReceipts[[#This Row],[PPM limit]],"On target",IF(tblReceipts[[#This Row],[PPM]]&lt;=tblReceipts[[#This Row],[PPM limit]]*(1+0.05),"Near target","Above target")))</f>
        <v>On target</v>
      </c>
      <c r="P91" s="40">
        <f>IF(tblReceipts[[#This Row],[Date]]="","",IF(AND(tblReceipts[[#This Row],[Date]]&gt;=FFrom,tblReceipts[[#This Row],[Date]]&lt;=FTo,OR(DashSupplier="",tblReceipts[[#This Row],[Supplier]]=DashSupplier)),tblReceipts[[#This Row],[Date]],""))</f>
        <v>46246</v>
      </c>
      <c r="Q9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1" s="33" t="s">
        <v>136</v>
      </c>
    </row>
    <row r="92" spans="2:18">
      <c r="B92" s="35">
        <v>46247</v>
      </c>
      <c r="C92" s="28" t="s">
        <v>254</v>
      </c>
      <c r="D92" s="28" t="s">
        <v>84</v>
      </c>
      <c r="E92" s="28" t="s">
        <v>159</v>
      </c>
      <c r="F92" s="29">
        <v>3500</v>
      </c>
      <c r="G92" s="29">
        <v>0</v>
      </c>
      <c r="H92" s="28" t="s">
        <v>136</v>
      </c>
      <c r="I92" s="28" t="s">
        <v>136</v>
      </c>
      <c r="J92" s="28" t="s">
        <v>136</v>
      </c>
      <c r="K92" s="36">
        <f>IF(tblReceipts[[#This Row],[Date]]="","",IF(tblReceipts[[#This Row],[Received]]&gt;0,tblReceipts[[#This Row],[Rejected]]/tblReceipts[[#This Row],[Received]],""))</f>
        <v>0</v>
      </c>
      <c r="L92" s="37">
        <f>IF(tblReceipts[[#This Row],[Date]]="","",IF(tblReceipts[[#This Row],[Received]]&gt;0,tblReceipts[[#This Row],[Rejected]]/tblReceipts[[#This Row],[Received]]*1000000,""))</f>
        <v>0</v>
      </c>
      <c r="M92" s="37">
        <f>IF(tblReceipts[[#This Row],[Date]]="","",IFERROR(INDEX(tblSuppliers[PPM limit],MATCH(tblReceipts[[#This Row],[Supplier]],tblSuppliers[Supplier],0)),""))</f>
        <v>250</v>
      </c>
      <c r="N92" s="38">
        <f>IF(tblReceipts[[#This Row],[Date]]="","",IF(AND(ISNUMBER(tblReceipts[[#This Row],[PPM]]),ISNUMBER(tblReceipts[[#This Row],[PPM limit]])),tblReceipts[[#This Row],[PPM]]-tblReceipts[[#This Row],[PPM limit]],""))</f>
        <v>-250</v>
      </c>
      <c r="O92" s="39" t="str">
        <f>IF(NOT(ISNUMBER(tblReceipts[[#This Row],[PPM]])),"",IF(tblReceipts[[#This Row],[PPM]]&lt;=tblReceipts[[#This Row],[PPM limit]],"On target",IF(tblReceipts[[#This Row],[PPM]]&lt;=tblReceipts[[#This Row],[PPM limit]]*(1+0.05),"Near target","Above target")))</f>
        <v>On target</v>
      </c>
      <c r="P92" s="40">
        <f>IF(tblReceipts[[#This Row],[Date]]="","",IF(AND(tblReceipts[[#This Row],[Date]]&gt;=FFrom,tblReceipts[[#This Row],[Date]]&lt;=FTo,OR(DashSupplier="",tblReceipts[[#This Row],[Supplier]]=DashSupplier)),tblReceipts[[#This Row],[Date]],""))</f>
        <v>46247</v>
      </c>
      <c r="Q9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2" s="33" t="s">
        <v>136</v>
      </c>
    </row>
    <row r="93" spans="2:18">
      <c r="B93" s="35">
        <v>46248</v>
      </c>
      <c r="C93" s="28" t="s">
        <v>255</v>
      </c>
      <c r="D93" s="28" t="s">
        <v>86</v>
      </c>
      <c r="E93" s="28" t="s">
        <v>146</v>
      </c>
      <c r="F93" s="29">
        <v>60</v>
      </c>
      <c r="G93" s="29">
        <v>0</v>
      </c>
      <c r="H93" s="28" t="s">
        <v>136</v>
      </c>
      <c r="I93" s="28" t="s">
        <v>136</v>
      </c>
      <c r="J93" s="28" t="s">
        <v>136</v>
      </c>
      <c r="K93" s="36">
        <f>IF(tblReceipts[[#This Row],[Date]]="","",IF(tblReceipts[[#This Row],[Received]]&gt;0,tblReceipts[[#This Row],[Rejected]]/tblReceipts[[#This Row],[Received]],""))</f>
        <v>0</v>
      </c>
      <c r="L93" s="37">
        <f>IF(tblReceipts[[#This Row],[Date]]="","",IF(tblReceipts[[#This Row],[Received]]&gt;0,tblReceipts[[#This Row],[Rejected]]/tblReceipts[[#This Row],[Received]]*1000000,""))</f>
        <v>0</v>
      </c>
      <c r="M93" s="37">
        <f>IF(tblReceipts[[#This Row],[Date]]="","",IFERROR(INDEX(tblSuppliers[PPM limit],MATCH(tblReceipts[[#This Row],[Supplier]],tblSuppliers[Supplier],0)),""))</f>
        <v>3000</v>
      </c>
      <c r="N93" s="38">
        <f>IF(tblReceipts[[#This Row],[Date]]="","",IF(AND(ISNUMBER(tblReceipts[[#This Row],[PPM]]),ISNUMBER(tblReceipts[[#This Row],[PPM limit]])),tblReceipts[[#This Row],[PPM]]-tblReceipts[[#This Row],[PPM limit]],""))</f>
        <v>-3000</v>
      </c>
      <c r="O93" s="39" t="str">
        <f>IF(NOT(ISNUMBER(tblReceipts[[#This Row],[PPM]])),"",IF(tblReceipts[[#This Row],[PPM]]&lt;=tblReceipts[[#This Row],[PPM limit]],"On target",IF(tblReceipts[[#This Row],[PPM]]&lt;=tblReceipts[[#This Row],[PPM limit]]*(1+0.05),"Near target","Above target")))</f>
        <v>On target</v>
      </c>
      <c r="P93" s="40">
        <f>IF(tblReceipts[[#This Row],[Date]]="","",IF(AND(tblReceipts[[#This Row],[Date]]&gt;=FFrom,tblReceipts[[#This Row],[Date]]&lt;=FTo,OR(DashSupplier="",tblReceipts[[#This Row],[Supplier]]=DashSupplier)),tblReceipts[[#This Row],[Date]],""))</f>
        <v>46248</v>
      </c>
      <c r="Q9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3" s="33" t="s">
        <v>136</v>
      </c>
    </row>
    <row r="94" spans="2:18">
      <c r="B94" s="35">
        <v>46252</v>
      </c>
      <c r="C94" s="28" t="s">
        <v>256</v>
      </c>
      <c r="D94" s="28" t="s">
        <v>78</v>
      </c>
      <c r="E94" s="28" t="s">
        <v>148</v>
      </c>
      <c r="F94" s="29">
        <v>190</v>
      </c>
      <c r="G94" s="29">
        <v>0</v>
      </c>
      <c r="H94" s="28" t="s">
        <v>136</v>
      </c>
      <c r="I94" s="28" t="s">
        <v>136</v>
      </c>
      <c r="J94" s="28" t="s">
        <v>136</v>
      </c>
      <c r="K94" s="36">
        <f>IF(tblReceipts[[#This Row],[Date]]="","",IF(tblReceipts[[#This Row],[Received]]&gt;0,tblReceipts[[#This Row],[Rejected]]/tblReceipts[[#This Row],[Received]],""))</f>
        <v>0</v>
      </c>
      <c r="L94" s="37">
        <f>IF(tblReceipts[[#This Row],[Date]]="","",IF(tblReceipts[[#This Row],[Received]]&gt;0,tblReceipts[[#This Row],[Rejected]]/tblReceipts[[#This Row],[Received]]*1000000,""))</f>
        <v>0</v>
      </c>
      <c r="M94" s="37">
        <f>IF(tblReceipts[[#This Row],[Date]]="","",IFERROR(INDEX(tblSuppliers[PPM limit],MATCH(tblReceipts[[#This Row],[Supplier]],tblSuppliers[Supplier],0)),""))</f>
        <v>1500</v>
      </c>
      <c r="N94" s="38">
        <f>IF(tblReceipts[[#This Row],[Date]]="","",IF(AND(ISNUMBER(tblReceipts[[#This Row],[PPM]]),ISNUMBER(tblReceipts[[#This Row],[PPM limit]])),tblReceipts[[#This Row],[PPM]]-tblReceipts[[#This Row],[PPM limit]],""))</f>
        <v>-1500</v>
      </c>
      <c r="O94" s="39" t="str">
        <f>IF(NOT(ISNUMBER(tblReceipts[[#This Row],[PPM]])),"",IF(tblReceipts[[#This Row],[PPM]]&lt;=tblReceipts[[#This Row],[PPM limit]],"On target",IF(tblReceipts[[#This Row],[PPM]]&lt;=tblReceipts[[#This Row],[PPM limit]]*(1+0.05),"Near target","Above target")))</f>
        <v>On target</v>
      </c>
      <c r="P94" s="40">
        <f>IF(tblReceipts[[#This Row],[Date]]="","",IF(AND(tblReceipts[[#This Row],[Date]]&gt;=FFrom,tblReceipts[[#This Row],[Date]]&lt;=FTo,OR(DashSupplier="",tblReceipts[[#This Row],[Supplier]]=DashSupplier)),tblReceipts[[#This Row],[Date]],""))</f>
        <v>46252</v>
      </c>
      <c r="Q9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4" s="33" t="s">
        <v>136</v>
      </c>
    </row>
    <row r="95" spans="2:18">
      <c r="B95" s="35">
        <v>46253</v>
      </c>
      <c r="C95" s="28" t="s">
        <v>257</v>
      </c>
      <c r="D95" s="28" t="s">
        <v>80</v>
      </c>
      <c r="E95" s="28" t="s">
        <v>150</v>
      </c>
      <c r="F95" s="29">
        <v>280</v>
      </c>
      <c r="G95" s="29">
        <v>0</v>
      </c>
      <c r="H95" s="28" t="s">
        <v>136</v>
      </c>
      <c r="I95" s="28" t="s">
        <v>136</v>
      </c>
      <c r="J95" s="28" t="s">
        <v>136</v>
      </c>
      <c r="K95" s="36">
        <f>IF(tblReceipts[[#This Row],[Date]]="","",IF(tblReceipts[[#This Row],[Received]]&gt;0,tblReceipts[[#This Row],[Rejected]]/tblReceipts[[#This Row],[Received]],""))</f>
        <v>0</v>
      </c>
      <c r="L95" s="37">
        <f>IF(tblReceipts[[#This Row],[Date]]="","",IF(tblReceipts[[#This Row],[Received]]&gt;0,tblReceipts[[#This Row],[Rejected]]/tblReceipts[[#This Row],[Received]]*1000000,""))</f>
        <v>0</v>
      </c>
      <c r="M95" s="37">
        <f>IF(tblReceipts[[#This Row],[Date]]="","",IFERROR(INDEX(tblSuppliers[PPM limit],MATCH(tblReceipts[[#This Row],[Supplier]],tblSuppliers[Supplier],0)),""))</f>
        <v>500</v>
      </c>
      <c r="N95" s="38">
        <f>IF(tblReceipts[[#This Row],[Date]]="","",IF(AND(ISNUMBER(tblReceipts[[#This Row],[PPM]]),ISNUMBER(tblReceipts[[#This Row],[PPM limit]])),tblReceipts[[#This Row],[PPM]]-tblReceipts[[#This Row],[PPM limit]],""))</f>
        <v>-500</v>
      </c>
      <c r="O95" s="39" t="str">
        <f>IF(NOT(ISNUMBER(tblReceipts[[#This Row],[PPM]])),"",IF(tblReceipts[[#This Row],[PPM]]&lt;=tblReceipts[[#This Row],[PPM limit]],"On target",IF(tblReceipts[[#This Row],[PPM]]&lt;=tblReceipts[[#This Row],[PPM limit]]*(1+0.05),"Near target","Above target")))</f>
        <v>On target</v>
      </c>
      <c r="P95" s="40">
        <f>IF(tblReceipts[[#This Row],[Date]]="","",IF(AND(tblReceipts[[#This Row],[Date]]&gt;=FFrom,tblReceipts[[#This Row],[Date]]&lt;=FTo,OR(DashSupplier="",tblReceipts[[#This Row],[Supplier]]=DashSupplier)),tblReceipts[[#This Row],[Date]],""))</f>
        <v>46253</v>
      </c>
      <c r="Q9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5" s="33" t="s">
        <v>136</v>
      </c>
    </row>
    <row r="96" spans="2:18">
      <c r="B96" s="35">
        <v>46255</v>
      </c>
      <c r="C96" s="28" t="s">
        <v>258</v>
      </c>
      <c r="D96" s="28" t="s">
        <v>86</v>
      </c>
      <c r="E96" s="28" t="s">
        <v>146</v>
      </c>
      <c r="F96" s="29">
        <v>36</v>
      </c>
      <c r="G96" s="29">
        <v>0</v>
      </c>
      <c r="H96" s="28" t="s">
        <v>136</v>
      </c>
      <c r="I96" s="28" t="s">
        <v>136</v>
      </c>
      <c r="J96" s="28" t="s">
        <v>136</v>
      </c>
      <c r="K96" s="36">
        <f>IF(tblReceipts[[#This Row],[Date]]="","",IF(tblReceipts[[#This Row],[Received]]&gt;0,tblReceipts[[#This Row],[Rejected]]/tblReceipts[[#This Row],[Received]],""))</f>
        <v>0</v>
      </c>
      <c r="L96" s="37">
        <f>IF(tblReceipts[[#This Row],[Date]]="","",IF(tblReceipts[[#This Row],[Received]]&gt;0,tblReceipts[[#This Row],[Rejected]]/tblReceipts[[#This Row],[Received]]*1000000,""))</f>
        <v>0</v>
      </c>
      <c r="M96" s="37">
        <f>IF(tblReceipts[[#This Row],[Date]]="","",IFERROR(INDEX(tblSuppliers[PPM limit],MATCH(tblReceipts[[#This Row],[Supplier]],tblSuppliers[Supplier],0)),""))</f>
        <v>3000</v>
      </c>
      <c r="N96" s="38">
        <f>IF(tblReceipts[[#This Row],[Date]]="","",IF(AND(ISNUMBER(tblReceipts[[#This Row],[PPM]]),ISNUMBER(tblReceipts[[#This Row],[PPM limit]])),tblReceipts[[#This Row],[PPM]]-tblReceipts[[#This Row],[PPM limit]],""))</f>
        <v>-3000</v>
      </c>
      <c r="O96" s="39" t="str">
        <f>IF(NOT(ISNUMBER(tblReceipts[[#This Row],[PPM]])),"",IF(tblReceipts[[#This Row],[PPM]]&lt;=tblReceipts[[#This Row],[PPM limit]],"On target",IF(tblReceipts[[#This Row],[PPM]]&lt;=tblReceipts[[#This Row],[PPM limit]]*(1+0.05),"Near target","Above target")))</f>
        <v>On target</v>
      </c>
      <c r="P96" s="40">
        <f>IF(tblReceipts[[#This Row],[Date]]="","",IF(AND(tblReceipts[[#This Row],[Date]]&gt;=FFrom,tblReceipts[[#This Row],[Date]]&lt;=FTo,OR(DashSupplier="",tblReceipts[[#This Row],[Supplier]]=DashSupplier)),tblReceipts[[#This Row],[Date]],""))</f>
        <v>46255</v>
      </c>
      <c r="Q9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6" s="33" t="s">
        <v>136</v>
      </c>
    </row>
    <row r="97" spans="2:18">
      <c r="B97" s="35">
        <v>46258</v>
      </c>
      <c r="C97" s="28" t="s">
        <v>259</v>
      </c>
      <c r="D97" s="28" t="s">
        <v>82</v>
      </c>
      <c r="E97" s="28" t="s">
        <v>134</v>
      </c>
      <c r="F97" s="29">
        <v>23000</v>
      </c>
      <c r="G97" s="29">
        <v>2</v>
      </c>
      <c r="H97" s="28" t="s">
        <v>91</v>
      </c>
      <c r="I97" s="28" t="s">
        <v>110</v>
      </c>
      <c r="J97" s="28" t="s">
        <v>260</v>
      </c>
      <c r="K97" s="36">
        <f>IF(tblReceipts[[#This Row],[Date]]="","",IF(tblReceipts[[#This Row],[Received]]&gt;0,tblReceipts[[#This Row],[Rejected]]/tblReceipts[[#This Row],[Received]],""))</f>
        <v>8.69565217391304e-05</v>
      </c>
      <c r="L97" s="37">
        <f>IF(tblReceipts[[#This Row],[Date]]="","",IF(tblReceipts[[#This Row],[Received]]&gt;0,tblReceipts[[#This Row],[Rejected]]/tblReceipts[[#This Row],[Received]]*1000000,""))</f>
        <v>86.9565217391304</v>
      </c>
      <c r="M97" s="37">
        <f>IF(tblReceipts[[#This Row],[Date]]="","",IFERROR(INDEX(tblSuppliers[PPM limit],MATCH(tblReceipts[[#This Row],[Supplier]],tblSuppliers[Supplier],0)),""))</f>
        <v>100</v>
      </c>
      <c r="N97" s="38">
        <f>IF(tblReceipts[[#This Row],[Date]]="","",IF(AND(ISNUMBER(tblReceipts[[#This Row],[PPM]]),ISNUMBER(tblReceipts[[#This Row],[PPM limit]])),tblReceipts[[#This Row],[PPM]]-tblReceipts[[#This Row],[PPM limit]],""))</f>
        <v>-13.0434782608696</v>
      </c>
      <c r="O97" s="39" t="str">
        <f>IF(NOT(ISNUMBER(tblReceipts[[#This Row],[PPM]])),"",IF(tblReceipts[[#This Row],[PPM]]&lt;=tblReceipts[[#This Row],[PPM limit]],"On target",IF(tblReceipts[[#This Row],[PPM]]&lt;=tblReceipts[[#This Row],[PPM limit]]*(1+0.05),"Near target","Above target")))</f>
        <v>On target</v>
      </c>
      <c r="P97" s="40">
        <f>IF(tblReceipts[[#This Row],[Date]]="","",IF(AND(tblReceipts[[#This Row],[Date]]&gt;=FFrom,tblReceipts[[#This Row],[Date]]&lt;=FTo,OR(DashSupplier="",tblReceipts[[#This Row],[Supplier]]=DashSupplier)),tblReceipts[[#This Row],[Date]],""))</f>
        <v>46258</v>
      </c>
      <c r="Q9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7" s="33" t="s">
        <v>136</v>
      </c>
    </row>
    <row r="98" spans="2:18">
      <c r="B98" s="35">
        <v>46259</v>
      </c>
      <c r="C98" s="28" t="s">
        <v>261</v>
      </c>
      <c r="D98" s="28" t="s">
        <v>78</v>
      </c>
      <c r="E98" s="28" t="s">
        <v>138</v>
      </c>
      <c r="F98" s="29">
        <v>190</v>
      </c>
      <c r="G98" s="29">
        <v>0</v>
      </c>
      <c r="H98" s="28" t="s">
        <v>136</v>
      </c>
      <c r="I98" s="28" t="s">
        <v>136</v>
      </c>
      <c r="J98" s="28" t="s">
        <v>136</v>
      </c>
      <c r="K98" s="36">
        <f>IF(tblReceipts[[#This Row],[Date]]="","",IF(tblReceipts[[#This Row],[Received]]&gt;0,tblReceipts[[#This Row],[Rejected]]/tblReceipts[[#This Row],[Received]],""))</f>
        <v>0</v>
      </c>
      <c r="L98" s="37">
        <f>IF(tblReceipts[[#This Row],[Date]]="","",IF(tblReceipts[[#This Row],[Received]]&gt;0,tblReceipts[[#This Row],[Rejected]]/tblReceipts[[#This Row],[Received]]*1000000,""))</f>
        <v>0</v>
      </c>
      <c r="M98" s="37">
        <f>IF(tblReceipts[[#This Row],[Date]]="","",IFERROR(INDEX(tblSuppliers[PPM limit],MATCH(tblReceipts[[#This Row],[Supplier]],tblSuppliers[Supplier],0)),""))</f>
        <v>1500</v>
      </c>
      <c r="N98" s="38">
        <f>IF(tblReceipts[[#This Row],[Date]]="","",IF(AND(ISNUMBER(tblReceipts[[#This Row],[PPM]]),ISNUMBER(tblReceipts[[#This Row],[PPM limit]])),tblReceipts[[#This Row],[PPM]]-tblReceipts[[#This Row],[PPM limit]],""))</f>
        <v>-1500</v>
      </c>
      <c r="O98" s="39" t="str">
        <f>IF(NOT(ISNUMBER(tblReceipts[[#This Row],[PPM]])),"",IF(tblReceipts[[#This Row],[PPM]]&lt;=tblReceipts[[#This Row],[PPM limit]],"On target",IF(tblReceipts[[#This Row],[PPM]]&lt;=tblReceipts[[#This Row],[PPM limit]]*(1+0.05),"Near target","Above target")))</f>
        <v>On target</v>
      </c>
      <c r="P98" s="40">
        <f>IF(tblReceipts[[#This Row],[Date]]="","",IF(AND(tblReceipts[[#This Row],[Date]]&gt;=FFrom,tblReceipts[[#This Row],[Date]]&lt;=FTo,OR(DashSupplier="",tblReceipts[[#This Row],[Supplier]]=DashSupplier)),tblReceipts[[#This Row],[Date]],""))</f>
        <v>46259</v>
      </c>
      <c r="Q9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8" s="33" t="s">
        <v>136</v>
      </c>
    </row>
    <row r="99" spans="2:18">
      <c r="B99" s="35">
        <v>46260</v>
      </c>
      <c r="C99" s="28" t="s">
        <v>262</v>
      </c>
      <c r="D99" s="28" t="s">
        <v>80</v>
      </c>
      <c r="E99" s="28" t="s">
        <v>140</v>
      </c>
      <c r="F99" s="29">
        <v>380</v>
      </c>
      <c r="G99" s="29">
        <v>0</v>
      </c>
      <c r="H99" s="28" t="s">
        <v>136</v>
      </c>
      <c r="I99" s="28" t="s">
        <v>136</v>
      </c>
      <c r="J99" s="28" t="s">
        <v>136</v>
      </c>
      <c r="K99" s="36">
        <f>IF(tblReceipts[[#This Row],[Date]]="","",IF(tblReceipts[[#This Row],[Received]]&gt;0,tblReceipts[[#This Row],[Rejected]]/tblReceipts[[#This Row],[Received]],""))</f>
        <v>0</v>
      </c>
      <c r="L99" s="37">
        <f>IF(tblReceipts[[#This Row],[Date]]="","",IF(tblReceipts[[#This Row],[Received]]&gt;0,tblReceipts[[#This Row],[Rejected]]/tblReceipts[[#This Row],[Received]]*1000000,""))</f>
        <v>0</v>
      </c>
      <c r="M99" s="37">
        <f>IF(tblReceipts[[#This Row],[Date]]="","",IFERROR(INDEX(tblSuppliers[PPM limit],MATCH(tblReceipts[[#This Row],[Supplier]],tblSuppliers[Supplier],0)),""))</f>
        <v>500</v>
      </c>
      <c r="N99" s="38">
        <f>IF(tblReceipts[[#This Row],[Date]]="","",IF(AND(ISNUMBER(tblReceipts[[#This Row],[PPM]]),ISNUMBER(tblReceipts[[#This Row],[PPM limit]])),tblReceipts[[#This Row],[PPM]]-tblReceipts[[#This Row],[PPM limit]],""))</f>
        <v>-500</v>
      </c>
      <c r="O99" s="39" t="str">
        <f>IF(NOT(ISNUMBER(tblReceipts[[#This Row],[PPM]])),"",IF(tblReceipts[[#This Row],[PPM]]&lt;=tblReceipts[[#This Row],[PPM limit]],"On target",IF(tblReceipts[[#This Row],[PPM]]&lt;=tblReceipts[[#This Row],[PPM limit]]*(1+0.05),"Near target","Above target")))</f>
        <v>On target</v>
      </c>
      <c r="P99" s="40">
        <f>IF(tblReceipts[[#This Row],[Date]]="","",IF(AND(tblReceipts[[#This Row],[Date]]&gt;=FFrom,tblReceipts[[#This Row],[Date]]&lt;=FTo,OR(DashSupplier="",tblReceipts[[#This Row],[Supplier]]=DashSupplier)),tblReceipts[[#This Row],[Date]],""))</f>
        <v>46260</v>
      </c>
      <c r="Q9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99" s="33" t="s">
        <v>136</v>
      </c>
    </row>
    <row r="100" spans="2:18">
      <c r="B100" s="35">
        <v>46260</v>
      </c>
      <c r="C100" s="28" t="s">
        <v>263</v>
      </c>
      <c r="D100" s="28" t="s">
        <v>88</v>
      </c>
      <c r="E100" s="28" t="s">
        <v>142</v>
      </c>
      <c r="F100" s="29">
        <v>450</v>
      </c>
      <c r="G100" s="29">
        <v>0</v>
      </c>
      <c r="H100" s="28" t="s">
        <v>136</v>
      </c>
      <c r="I100" s="28" t="s">
        <v>136</v>
      </c>
      <c r="J100" s="28" t="s">
        <v>136</v>
      </c>
      <c r="K100" s="36">
        <f>IF(tblReceipts[[#This Row],[Date]]="","",IF(tblReceipts[[#This Row],[Received]]&gt;0,tblReceipts[[#This Row],[Rejected]]/tblReceipts[[#This Row],[Received]],""))</f>
        <v>0</v>
      </c>
      <c r="L100" s="37">
        <f>IF(tblReceipts[[#This Row],[Date]]="","",IF(tblReceipts[[#This Row],[Received]]&gt;0,tblReceipts[[#This Row],[Rejected]]/tblReceipts[[#This Row],[Received]]*1000000,""))</f>
        <v>0</v>
      </c>
      <c r="M100" s="37">
        <f>IF(tblReceipts[[#This Row],[Date]]="","",IFERROR(INDEX(tblSuppliers[PPM limit],MATCH(tblReceipts[[#This Row],[Supplier]],tblSuppliers[Supplier],0)),""))</f>
        <v>300</v>
      </c>
      <c r="N100" s="38">
        <f>IF(tblReceipts[[#This Row],[Date]]="","",IF(AND(ISNUMBER(tblReceipts[[#This Row],[PPM]]),ISNUMBER(tblReceipts[[#This Row],[PPM limit]])),tblReceipts[[#This Row],[PPM]]-tblReceipts[[#This Row],[PPM limit]],""))</f>
        <v>-300</v>
      </c>
      <c r="O100" s="39" t="str">
        <f>IF(NOT(ISNUMBER(tblReceipts[[#This Row],[PPM]])),"",IF(tblReceipts[[#This Row],[PPM]]&lt;=tblReceipts[[#This Row],[PPM limit]],"On target",IF(tblReceipts[[#This Row],[PPM]]&lt;=tblReceipts[[#This Row],[PPM limit]]*(1+0.05),"Near target","Above target")))</f>
        <v>On target</v>
      </c>
      <c r="P100" s="40">
        <f>IF(tblReceipts[[#This Row],[Date]]="","",IF(AND(tblReceipts[[#This Row],[Date]]&gt;=FFrom,tblReceipts[[#This Row],[Date]]&lt;=FTo,OR(DashSupplier="",tblReceipts[[#This Row],[Supplier]]=DashSupplier)),tblReceipts[[#This Row],[Date]],""))</f>
        <v>46260</v>
      </c>
      <c r="Q10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0" s="33" t="s">
        <v>136</v>
      </c>
    </row>
    <row r="101" spans="2:18">
      <c r="B101" s="35">
        <v>46261</v>
      </c>
      <c r="C101" s="28" t="s">
        <v>264</v>
      </c>
      <c r="D101" s="28" t="s">
        <v>84</v>
      </c>
      <c r="E101" s="28" t="s">
        <v>144</v>
      </c>
      <c r="F101" s="29">
        <v>3500</v>
      </c>
      <c r="G101" s="29">
        <v>0</v>
      </c>
      <c r="H101" s="28" t="s">
        <v>136</v>
      </c>
      <c r="I101" s="28" t="s">
        <v>136</v>
      </c>
      <c r="J101" s="28" t="s">
        <v>136</v>
      </c>
      <c r="K101" s="36">
        <f>IF(tblReceipts[[#This Row],[Date]]="","",IF(tblReceipts[[#This Row],[Received]]&gt;0,tblReceipts[[#This Row],[Rejected]]/tblReceipts[[#This Row],[Received]],""))</f>
        <v>0</v>
      </c>
      <c r="L101" s="37">
        <f>IF(tblReceipts[[#This Row],[Date]]="","",IF(tblReceipts[[#This Row],[Received]]&gt;0,tblReceipts[[#This Row],[Rejected]]/tblReceipts[[#This Row],[Received]]*1000000,""))</f>
        <v>0</v>
      </c>
      <c r="M101" s="37">
        <f>IF(tblReceipts[[#This Row],[Date]]="","",IFERROR(INDEX(tblSuppliers[PPM limit],MATCH(tblReceipts[[#This Row],[Supplier]],tblSuppliers[Supplier],0)),""))</f>
        <v>250</v>
      </c>
      <c r="N101" s="38">
        <f>IF(tblReceipts[[#This Row],[Date]]="","",IF(AND(ISNUMBER(tblReceipts[[#This Row],[PPM]]),ISNUMBER(tblReceipts[[#This Row],[PPM limit]])),tblReceipts[[#This Row],[PPM]]-tblReceipts[[#This Row],[PPM limit]],""))</f>
        <v>-250</v>
      </c>
      <c r="O101" s="39" t="str">
        <f>IF(NOT(ISNUMBER(tblReceipts[[#This Row],[PPM]])),"",IF(tblReceipts[[#This Row],[PPM]]&lt;=tblReceipts[[#This Row],[PPM limit]],"On target",IF(tblReceipts[[#This Row],[PPM]]&lt;=tblReceipts[[#This Row],[PPM limit]]*(1+0.05),"Near target","Above target")))</f>
        <v>On target</v>
      </c>
      <c r="P101" s="40">
        <f>IF(tblReceipts[[#This Row],[Date]]="","",IF(AND(tblReceipts[[#This Row],[Date]]&gt;=FFrom,tblReceipts[[#This Row],[Date]]&lt;=FTo,OR(DashSupplier="",tblReceipts[[#This Row],[Supplier]]=DashSupplier)),tblReceipts[[#This Row],[Date]],""))</f>
        <v>46261</v>
      </c>
      <c r="Q10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1" s="33" t="s">
        <v>136</v>
      </c>
    </row>
    <row r="102" spans="2:18">
      <c r="B102" s="35">
        <v>46262</v>
      </c>
      <c r="C102" s="28" t="s">
        <v>265</v>
      </c>
      <c r="D102" s="28" t="s">
        <v>86</v>
      </c>
      <c r="E102" s="28" t="s">
        <v>146</v>
      </c>
      <c r="F102" s="29">
        <v>60</v>
      </c>
      <c r="G102" s="29">
        <v>0</v>
      </c>
      <c r="H102" s="28" t="s">
        <v>136</v>
      </c>
      <c r="I102" s="28" t="s">
        <v>136</v>
      </c>
      <c r="J102" s="28" t="s">
        <v>136</v>
      </c>
      <c r="K102" s="36">
        <f>IF(tblReceipts[[#This Row],[Date]]="","",IF(tblReceipts[[#This Row],[Received]]&gt;0,tblReceipts[[#This Row],[Rejected]]/tblReceipts[[#This Row],[Received]],""))</f>
        <v>0</v>
      </c>
      <c r="L102" s="37">
        <f>IF(tblReceipts[[#This Row],[Date]]="","",IF(tblReceipts[[#This Row],[Received]]&gt;0,tblReceipts[[#This Row],[Rejected]]/tblReceipts[[#This Row],[Received]]*1000000,""))</f>
        <v>0</v>
      </c>
      <c r="M102" s="37">
        <f>IF(tblReceipts[[#This Row],[Date]]="","",IFERROR(INDEX(tblSuppliers[PPM limit],MATCH(tblReceipts[[#This Row],[Supplier]],tblSuppliers[Supplier],0)),""))</f>
        <v>3000</v>
      </c>
      <c r="N102" s="38">
        <f>IF(tblReceipts[[#This Row],[Date]]="","",IF(AND(ISNUMBER(tblReceipts[[#This Row],[PPM]]),ISNUMBER(tblReceipts[[#This Row],[PPM limit]])),tblReceipts[[#This Row],[PPM]]-tblReceipts[[#This Row],[PPM limit]],""))</f>
        <v>-3000</v>
      </c>
      <c r="O102" s="39" t="str">
        <f>IF(NOT(ISNUMBER(tblReceipts[[#This Row],[PPM]])),"",IF(tblReceipts[[#This Row],[PPM]]&lt;=tblReceipts[[#This Row],[PPM limit]],"On target",IF(tblReceipts[[#This Row],[PPM]]&lt;=tblReceipts[[#This Row],[PPM limit]]*(1+0.05),"Near target","Above target")))</f>
        <v>On target</v>
      </c>
      <c r="P102" s="40">
        <f>IF(tblReceipts[[#This Row],[Date]]="","",IF(AND(tblReceipts[[#This Row],[Date]]&gt;=FFrom,tblReceipts[[#This Row],[Date]]&lt;=FTo,OR(DashSupplier="",tblReceipts[[#This Row],[Supplier]]=DashSupplier)),tblReceipts[[#This Row],[Date]],""))</f>
        <v>46262</v>
      </c>
      <c r="Q10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2" s="33" t="s">
        <v>136</v>
      </c>
    </row>
    <row r="103" spans="2:18">
      <c r="B103" s="35">
        <v>46266</v>
      </c>
      <c r="C103" s="28" t="s">
        <v>266</v>
      </c>
      <c r="D103" s="28" t="s">
        <v>78</v>
      </c>
      <c r="E103" s="28" t="s">
        <v>148</v>
      </c>
      <c r="F103" s="29">
        <v>190</v>
      </c>
      <c r="G103" s="29">
        <v>0</v>
      </c>
      <c r="H103" s="28" t="s">
        <v>136</v>
      </c>
      <c r="I103" s="28" t="s">
        <v>136</v>
      </c>
      <c r="J103" s="28" t="s">
        <v>136</v>
      </c>
      <c r="K103" s="36">
        <f>IF(tblReceipts[[#This Row],[Date]]="","",IF(tblReceipts[[#This Row],[Received]]&gt;0,tblReceipts[[#This Row],[Rejected]]/tblReceipts[[#This Row],[Received]],""))</f>
        <v>0</v>
      </c>
      <c r="L103" s="37">
        <f>IF(tblReceipts[[#This Row],[Date]]="","",IF(tblReceipts[[#This Row],[Received]]&gt;0,tblReceipts[[#This Row],[Rejected]]/tblReceipts[[#This Row],[Received]]*1000000,""))</f>
        <v>0</v>
      </c>
      <c r="M103" s="37">
        <f>IF(tblReceipts[[#This Row],[Date]]="","",IFERROR(INDEX(tblSuppliers[PPM limit],MATCH(tblReceipts[[#This Row],[Supplier]],tblSuppliers[Supplier],0)),""))</f>
        <v>1500</v>
      </c>
      <c r="N103" s="38">
        <f>IF(tblReceipts[[#This Row],[Date]]="","",IF(AND(ISNUMBER(tblReceipts[[#This Row],[PPM]]),ISNUMBER(tblReceipts[[#This Row],[PPM limit]])),tblReceipts[[#This Row],[PPM]]-tblReceipts[[#This Row],[PPM limit]],""))</f>
        <v>-1500</v>
      </c>
      <c r="O103" s="39" t="str">
        <f>IF(NOT(ISNUMBER(tblReceipts[[#This Row],[PPM]])),"",IF(tblReceipts[[#This Row],[PPM]]&lt;=tblReceipts[[#This Row],[PPM limit]],"On target",IF(tblReceipts[[#This Row],[PPM]]&lt;=tblReceipts[[#This Row],[PPM limit]]*(1+0.05),"Near target","Above target")))</f>
        <v>On target</v>
      </c>
      <c r="P103" s="40">
        <f>IF(tblReceipts[[#This Row],[Date]]="","",IF(AND(tblReceipts[[#This Row],[Date]]&gt;=FFrom,tblReceipts[[#This Row],[Date]]&lt;=FTo,OR(DashSupplier="",tblReceipts[[#This Row],[Supplier]]=DashSupplier)),tblReceipts[[#This Row],[Date]],""))</f>
        <v>46266</v>
      </c>
      <c r="Q10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3" s="33" t="s">
        <v>136</v>
      </c>
    </row>
    <row r="104" spans="2:18">
      <c r="B104" s="35">
        <v>46267</v>
      </c>
      <c r="C104" s="28" t="s">
        <v>267</v>
      </c>
      <c r="D104" s="28" t="s">
        <v>80</v>
      </c>
      <c r="E104" s="28" t="s">
        <v>150</v>
      </c>
      <c r="F104" s="29">
        <v>480</v>
      </c>
      <c r="G104" s="29">
        <v>0</v>
      </c>
      <c r="H104" s="28" t="s">
        <v>136</v>
      </c>
      <c r="I104" s="28" t="s">
        <v>136</v>
      </c>
      <c r="J104" s="28" t="s">
        <v>136</v>
      </c>
      <c r="K104" s="36">
        <f>IF(tblReceipts[[#This Row],[Date]]="","",IF(tblReceipts[[#This Row],[Received]]&gt;0,tblReceipts[[#This Row],[Rejected]]/tblReceipts[[#This Row],[Received]],""))</f>
        <v>0</v>
      </c>
      <c r="L104" s="37">
        <f>IF(tblReceipts[[#This Row],[Date]]="","",IF(tblReceipts[[#This Row],[Received]]&gt;0,tblReceipts[[#This Row],[Rejected]]/tblReceipts[[#This Row],[Received]]*1000000,""))</f>
        <v>0</v>
      </c>
      <c r="M104" s="37">
        <f>IF(tblReceipts[[#This Row],[Date]]="","",IFERROR(INDEX(tblSuppliers[PPM limit],MATCH(tblReceipts[[#This Row],[Supplier]],tblSuppliers[Supplier],0)),""))</f>
        <v>500</v>
      </c>
      <c r="N104" s="38">
        <f>IF(tblReceipts[[#This Row],[Date]]="","",IF(AND(ISNUMBER(tblReceipts[[#This Row],[PPM]]),ISNUMBER(tblReceipts[[#This Row],[PPM limit]])),tblReceipts[[#This Row],[PPM]]-tblReceipts[[#This Row],[PPM limit]],""))</f>
        <v>-500</v>
      </c>
      <c r="O104" s="39" t="str">
        <f>IF(NOT(ISNUMBER(tblReceipts[[#This Row],[PPM]])),"",IF(tblReceipts[[#This Row],[PPM]]&lt;=tblReceipts[[#This Row],[PPM limit]],"On target",IF(tblReceipts[[#This Row],[PPM]]&lt;=tblReceipts[[#This Row],[PPM limit]]*(1+0.05),"Near target","Above target")))</f>
        <v>On target</v>
      </c>
      <c r="P104" s="40">
        <f>IF(tblReceipts[[#This Row],[Date]]="","",IF(AND(tblReceipts[[#This Row],[Date]]&gt;=FFrom,tblReceipts[[#This Row],[Date]]&lt;=FTo,OR(DashSupplier="",tblReceipts[[#This Row],[Supplier]]=DashSupplier)),tblReceipts[[#This Row],[Date]],""))</f>
        <v>46267</v>
      </c>
      <c r="Q10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4" s="33" t="s">
        <v>136</v>
      </c>
    </row>
    <row r="105" spans="2:18">
      <c r="B105" s="35">
        <v>46269</v>
      </c>
      <c r="C105" s="28" t="s">
        <v>268</v>
      </c>
      <c r="D105" s="28" t="s">
        <v>86</v>
      </c>
      <c r="E105" s="28" t="s">
        <v>146</v>
      </c>
      <c r="F105" s="29">
        <v>42</v>
      </c>
      <c r="G105" s="29">
        <v>0</v>
      </c>
      <c r="H105" s="28" t="s">
        <v>136</v>
      </c>
      <c r="I105" s="28" t="s">
        <v>136</v>
      </c>
      <c r="J105" s="28" t="s">
        <v>136</v>
      </c>
      <c r="K105" s="36">
        <f>IF(tblReceipts[[#This Row],[Date]]="","",IF(tblReceipts[[#This Row],[Received]]&gt;0,tblReceipts[[#This Row],[Rejected]]/tblReceipts[[#This Row],[Received]],""))</f>
        <v>0</v>
      </c>
      <c r="L105" s="37">
        <f>IF(tblReceipts[[#This Row],[Date]]="","",IF(tblReceipts[[#This Row],[Received]]&gt;0,tblReceipts[[#This Row],[Rejected]]/tblReceipts[[#This Row],[Received]]*1000000,""))</f>
        <v>0</v>
      </c>
      <c r="M105" s="37">
        <f>IF(tblReceipts[[#This Row],[Date]]="","",IFERROR(INDEX(tblSuppliers[PPM limit],MATCH(tblReceipts[[#This Row],[Supplier]],tblSuppliers[Supplier],0)),""))</f>
        <v>3000</v>
      </c>
      <c r="N105" s="38">
        <f>IF(tblReceipts[[#This Row],[Date]]="","",IF(AND(ISNUMBER(tblReceipts[[#This Row],[PPM]]),ISNUMBER(tblReceipts[[#This Row],[PPM limit]])),tblReceipts[[#This Row],[PPM]]-tblReceipts[[#This Row],[PPM limit]],""))</f>
        <v>-3000</v>
      </c>
      <c r="O105" s="39" t="str">
        <f>IF(NOT(ISNUMBER(tblReceipts[[#This Row],[PPM]])),"",IF(tblReceipts[[#This Row],[PPM]]&lt;=tblReceipts[[#This Row],[PPM limit]],"On target",IF(tblReceipts[[#This Row],[PPM]]&lt;=tblReceipts[[#This Row],[PPM limit]]*(1+0.05),"Near target","Above target")))</f>
        <v>On target</v>
      </c>
      <c r="P105" s="40">
        <f>IF(tblReceipts[[#This Row],[Date]]="","",IF(AND(tblReceipts[[#This Row],[Date]]&gt;=FFrom,tblReceipts[[#This Row],[Date]]&lt;=FTo,OR(DashSupplier="",tblReceipts[[#This Row],[Supplier]]=DashSupplier)),tblReceipts[[#This Row],[Date]],""))</f>
        <v>46269</v>
      </c>
      <c r="Q10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5" s="33" t="s">
        <v>136</v>
      </c>
    </row>
    <row r="106" spans="2:18">
      <c r="B106" s="35">
        <v>46272</v>
      </c>
      <c r="C106" s="28" t="s">
        <v>269</v>
      </c>
      <c r="D106" s="28" t="s">
        <v>82</v>
      </c>
      <c r="E106" s="28" t="s">
        <v>153</v>
      </c>
      <c r="F106" s="29">
        <v>19000</v>
      </c>
      <c r="G106" s="29">
        <v>0</v>
      </c>
      <c r="H106" s="28" t="s">
        <v>136</v>
      </c>
      <c r="I106" s="28" t="s">
        <v>136</v>
      </c>
      <c r="J106" s="28" t="s">
        <v>136</v>
      </c>
      <c r="K106" s="36">
        <f>IF(tblReceipts[[#This Row],[Date]]="","",IF(tblReceipts[[#This Row],[Received]]&gt;0,tblReceipts[[#This Row],[Rejected]]/tblReceipts[[#This Row],[Received]],""))</f>
        <v>0</v>
      </c>
      <c r="L106" s="37">
        <f>IF(tblReceipts[[#This Row],[Date]]="","",IF(tblReceipts[[#This Row],[Received]]&gt;0,tblReceipts[[#This Row],[Rejected]]/tblReceipts[[#This Row],[Received]]*1000000,""))</f>
        <v>0</v>
      </c>
      <c r="M106" s="37">
        <f>IF(tblReceipts[[#This Row],[Date]]="","",IFERROR(INDEX(tblSuppliers[PPM limit],MATCH(tblReceipts[[#This Row],[Supplier]],tblSuppliers[Supplier],0)),""))</f>
        <v>100</v>
      </c>
      <c r="N106" s="38">
        <f>IF(tblReceipts[[#This Row],[Date]]="","",IF(AND(ISNUMBER(tblReceipts[[#This Row],[PPM]]),ISNUMBER(tblReceipts[[#This Row],[PPM limit]])),tblReceipts[[#This Row],[PPM]]-tblReceipts[[#This Row],[PPM limit]],""))</f>
        <v>-100</v>
      </c>
      <c r="O106" s="39" t="str">
        <f>IF(NOT(ISNUMBER(tblReceipts[[#This Row],[PPM]])),"",IF(tblReceipts[[#This Row],[PPM]]&lt;=tblReceipts[[#This Row],[PPM limit]],"On target",IF(tblReceipts[[#This Row],[PPM]]&lt;=tblReceipts[[#This Row],[PPM limit]]*(1+0.05),"Near target","Above target")))</f>
        <v>On target</v>
      </c>
      <c r="P106" s="40">
        <f>IF(tblReceipts[[#This Row],[Date]]="","",IF(AND(tblReceipts[[#This Row],[Date]]&gt;=FFrom,tblReceipts[[#This Row],[Date]]&lt;=FTo,OR(DashSupplier="",tblReceipts[[#This Row],[Supplier]]=DashSupplier)),tblReceipts[[#This Row],[Date]],""))</f>
        <v>46272</v>
      </c>
      <c r="Q10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6" s="33" t="s">
        <v>136</v>
      </c>
    </row>
    <row r="107" spans="2:18">
      <c r="B107" s="35">
        <v>46273</v>
      </c>
      <c r="C107" s="28" t="s">
        <v>270</v>
      </c>
      <c r="D107" s="28" t="s">
        <v>78</v>
      </c>
      <c r="E107" s="28" t="s">
        <v>138</v>
      </c>
      <c r="F107" s="29">
        <v>220</v>
      </c>
      <c r="G107" s="29">
        <v>0</v>
      </c>
      <c r="H107" s="28" t="s">
        <v>136</v>
      </c>
      <c r="I107" s="28" t="s">
        <v>136</v>
      </c>
      <c r="J107" s="28" t="s">
        <v>136</v>
      </c>
      <c r="K107" s="36">
        <f>IF(tblReceipts[[#This Row],[Date]]="","",IF(tblReceipts[[#This Row],[Received]]&gt;0,tblReceipts[[#This Row],[Rejected]]/tblReceipts[[#This Row],[Received]],""))</f>
        <v>0</v>
      </c>
      <c r="L107" s="37">
        <f>IF(tblReceipts[[#This Row],[Date]]="","",IF(tblReceipts[[#This Row],[Received]]&gt;0,tblReceipts[[#This Row],[Rejected]]/tblReceipts[[#This Row],[Received]]*1000000,""))</f>
        <v>0</v>
      </c>
      <c r="M107" s="37">
        <f>IF(tblReceipts[[#This Row],[Date]]="","",IFERROR(INDEX(tblSuppliers[PPM limit],MATCH(tblReceipts[[#This Row],[Supplier]],tblSuppliers[Supplier],0)),""))</f>
        <v>1500</v>
      </c>
      <c r="N107" s="38">
        <f>IF(tblReceipts[[#This Row],[Date]]="","",IF(AND(ISNUMBER(tblReceipts[[#This Row],[PPM]]),ISNUMBER(tblReceipts[[#This Row],[PPM limit]])),tblReceipts[[#This Row],[PPM]]-tblReceipts[[#This Row],[PPM limit]],""))</f>
        <v>-1500</v>
      </c>
      <c r="O107" s="39" t="str">
        <f>IF(NOT(ISNUMBER(tblReceipts[[#This Row],[PPM]])),"",IF(tblReceipts[[#This Row],[PPM]]&lt;=tblReceipts[[#This Row],[PPM limit]],"On target",IF(tblReceipts[[#This Row],[PPM]]&lt;=tblReceipts[[#This Row],[PPM limit]]*(1+0.05),"Near target","Above target")))</f>
        <v>On target</v>
      </c>
      <c r="P107" s="40">
        <f>IF(tblReceipts[[#This Row],[Date]]="","",IF(AND(tblReceipts[[#This Row],[Date]]&gt;=FFrom,tblReceipts[[#This Row],[Date]]&lt;=FTo,OR(DashSupplier="",tblReceipts[[#This Row],[Supplier]]=DashSupplier)),tblReceipts[[#This Row],[Date]],""))</f>
        <v>46273</v>
      </c>
      <c r="Q10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7" s="33" t="s">
        <v>136</v>
      </c>
    </row>
    <row r="108" spans="2:18">
      <c r="B108" s="35">
        <v>46274</v>
      </c>
      <c r="C108" s="28" t="s">
        <v>271</v>
      </c>
      <c r="D108" s="28" t="s">
        <v>80</v>
      </c>
      <c r="E108" s="28" t="s">
        <v>140</v>
      </c>
      <c r="F108" s="29">
        <v>360</v>
      </c>
      <c r="G108" s="29">
        <v>0</v>
      </c>
      <c r="H108" s="28" t="s">
        <v>136</v>
      </c>
      <c r="I108" s="28" t="s">
        <v>136</v>
      </c>
      <c r="J108" s="28" t="s">
        <v>136</v>
      </c>
      <c r="K108" s="36">
        <f>IF(tblReceipts[[#This Row],[Date]]="","",IF(tblReceipts[[#This Row],[Received]]&gt;0,tblReceipts[[#This Row],[Rejected]]/tblReceipts[[#This Row],[Received]],""))</f>
        <v>0</v>
      </c>
      <c r="L108" s="37">
        <f>IF(tblReceipts[[#This Row],[Date]]="","",IF(tblReceipts[[#This Row],[Received]]&gt;0,tblReceipts[[#This Row],[Rejected]]/tblReceipts[[#This Row],[Received]]*1000000,""))</f>
        <v>0</v>
      </c>
      <c r="M108" s="37">
        <f>IF(tblReceipts[[#This Row],[Date]]="","",IFERROR(INDEX(tblSuppliers[PPM limit],MATCH(tblReceipts[[#This Row],[Supplier]],tblSuppliers[Supplier],0)),""))</f>
        <v>500</v>
      </c>
      <c r="N108" s="38">
        <f>IF(tblReceipts[[#This Row],[Date]]="","",IF(AND(ISNUMBER(tblReceipts[[#This Row],[PPM]]),ISNUMBER(tblReceipts[[#This Row],[PPM limit]])),tblReceipts[[#This Row],[PPM]]-tblReceipts[[#This Row],[PPM limit]],""))</f>
        <v>-500</v>
      </c>
      <c r="O108" s="39" t="str">
        <f>IF(NOT(ISNUMBER(tblReceipts[[#This Row],[PPM]])),"",IF(tblReceipts[[#This Row],[PPM]]&lt;=tblReceipts[[#This Row],[PPM limit]],"On target",IF(tblReceipts[[#This Row],[PPM]]&lt;=tblReceipts[[#This Row],[PPM limit]]*(1+0.05),"Near target","Above target")))</f>
        <v>On target</v>
      </c>
      <c r="P108" s="40">
        <f>IF(tblReceipts[[#This Row],[Date]]="","",IF(AND(tblReceipts[[#This Row],[Date]]&gt;=FFrom,tblReceipts[[#This Row],[Date]]&lt;=FTo,OR(DashSupplier="",tblReceipts[[#This Row],[Supplier]]=DashSupplier)),tblReceipts[[#This Row],[Date]],""))</f>
        <v>46274</v>
      </c>
      <c r="Q10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8" s="33" t="s">
        <v>136</v>
      </c>
    </row>
    <row r="109" spans="2:18">
      <c r="B109" s="35">
        <v>46274</v>
      </c>
      <c r="C109" s="28" t="s">
        <v>272</v>
      </c>
      <c r="D109" s="28" t="s">
        <v>88</v>
      </c>
      <c r="E109" s="28" t="s">
        <v>142</v>
      </c>
      <c r="F109" s="29">
        <v>400</v>
      </c>
      <c r="G109" s="29">
        <v>0</v>
      </c>
      <c r="H109" s="28" t="s">
        <v>136</v>
      </c>
      <c r="I109" s="28" t="s">
        <v>136</v>
      </c>
      <c r="J109" s="28" t="s">
        <v>136</v>
      </c>
      <c r="K109" s="36">
        <f>IF(tblReceipts[[#This Row],[Date]]="","",IF(tblReceipts[[#This Row],[Received]]&gt;0,tblReceipts[[#This Row],[Rejected]]/tblReceipts[[#This Row],[Received]],""))</f>
        <v>0</v>
      </c>
      <c r="L109" s="37">
        <f>IF(tblReceipts[[#This Row],[Date]]="","",IF(tblReceipts[[#This Row],[Received]]&gt;0,tblReceipts[[#This Row],[Rejected]]/tblReceipts[[#This Row],[Received]]*1000000,""))</f>
        <v>0</v>
      </c>
      <c r="M109" s="37">
        <f>IF(tblReceipts[[#This Row],[Date]]="","",IFERROR(INDEX(tblSuppliers[PPM limit],MATCH(tblReceipts[[#This Row],[Supplier]],tblSuppliers[Supplier],0)),""))</f>
        <v>300</v>
      </c>
      <c r="N109" s="38">
        <f>IF(tblReceipts[[#This Row],[Date]]="","",IF(AND(ISNUMBER(tblReceipts[[#This Row],[PPM]]),ISNUMBER(tblReceipts[[#This Row],[PPM limit]])),tblReceipts[[#This Row],[PPM]]-tblReceipts[[#This Row],[PPM limit]],""))</f>
        <v>-300</v>
      </c>
      <c r="O109" s="39" t="str">
        <f>IF(NOT(ISNUMBER(tblReceipts[[#This Row],[PPM]])),"",IF(tblReceipts[[#This Row],[PPM]]&lt;=tblReceipts[[#This Row],[PPM limit]],"On target",IF(tblReceipts[[#This Row],[PPM]]&lt;=tblReceipts[[#This Row],[PPM limit]]*(1+0.05),"Near target","Above target")))</f>
        <v>On target</v>
      </c>
      <c r="P109" s="40">
        <f>IF(tblReceipts[[#This Row],[Date]]="","",IF(AND(tblReceipts[[#This Row],[Date]]&gt;=FFrom,tblReceipts[[#This Row],[Date]]&lt;=FTo,OR(DashSupplier="",tblReceipts[[#This Row],[Supplier]]=DashSupplier)),tblReceipts[[#This Row],[Date]],""))</f>
        <v>46274</v>
      </c>
      <c r="Q10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09" s="33" t="s">
        <v>136</v>
      </c>
    </row>
    <row r="110" spans="2:18">
      <c r="B110" s="35">
        <v>46275</v>
      </c>
      <c r="C110" s="28" t="s">
        <v>273</v>
      </c>
      <c r="D110" s="28" t="s">
        <v>84</v>
      </c>
      <c r="E110" s="28" t="s">
        <v>159</v>
      </c>
      <c r="F110" s="29">
        <v>6500</v>
      </c>
      <c r="G110" s="29">
        <v>0</v>
      </c>
      <c r="H110" s="28" t="s">
        <v>136</v>
      </c>
      <c r="I110" s="28" t="s">
        <v>136</v>
      </c>
      <c r="J110" s="28" t="s">
        <v>136</v>
      </c>
      <c r="K110" s="36">
        <f>IF(tblReceipts[[#This Row],[Date]]="","",IF(tblReceipts[[#This Row],[Received]]&gt;0,tblReceipts[[#This Row],[Rejected]]/tblReceipts[[#This Row],[Received]],""))</f>
        <v>0</v>
      </c>
      <c r="L110" s="37">
        <f>IF(tblReceipts[[#This Row],[Date]]="","",IF(tblReceipts[[#This Row],[Received]]&gt;0,tblReceipts[[#This Row],[Rejected]]/tblReceipts[[#This Row],[Received]]*1000000,""))</f>
        <v>0</v>
      </c>
      <c r="M110" s="37">
        <f>IF(tblReceipts[[#This Row],[Date]]="","",IFERROR(INDEX(tblSuppliers[PPM limit],MATCH(tblReceipts[[#This Row],[Supplier]],tblSuppliers[Supplier],0)),""))</f>
        <v>250</v>
      </c>
      <c r="N110" s="38">
        <f>IF(tblReceipts[[#This Row],[Date]]="","",IF(AND(ISNUMBER(tblReceipts[[#This Row],[PPM]]),ISNUMBER(tblReceipts[[#This Row],[PPM limit]])),tblReceipts[[#This Row],[PPM]]-tblReceipts[[#This Row],[PPM limit]],""))</f>
        <v>-250</v>
      </c>
      <c r="O110" s="39" t="str">
        <f>IF(NOT(ISNUMBER(tblReceipts[[#This Row],[PPM]])),"",IF(tblReceipts[[#This Row],[PPM]]&lt;=tblReceipts[[#This Row],[PPM limit]],"On target",IF(tblReceipts[[#This Row],[PPM]]&lt;=tblReceipts[[#This Row],[PPM limit]]*(1+0.05),"Near target","Above target")))</f>
        <v>On target</v>
      </c>
      <c r="P110" s="40">
        <f>IF(tblReceipts[[#This Row],[Date]]="","",IF(AND(tblReceipts[[#This Row],[Date]]&gt;=FFrom,tblReceipts[[#This Row],[Date]]&lt;=FTo,OR(DashSupplier="",tblReceipts[[#This Row],[Supplier]]=DashSupplier)),tblReceipts[[#This Row],[Date]],""))</f>
        <v>46275</v>
      </c>
      <c r="Q11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0" s="33" t="s">
        <v>136</v>
      </c>
    </row>
    <row r="111" spans="2:18">
      <c r="B111" s="35">
        <v>46276</v>
      </c>
      <c r="C111" s="28" t="s">
        <v>274</v>
      </c>
      <c r="D111" s="28" t="s">
        <v>86</v>
      </c>
      <c r="E111" s="28" t="s">
        <v>146</v>
      </c>
      <c r="F111" s="29">
        <v>36</v>
      </c>
      <c r="G111" s="29">
        <v>0</v>
      </c>
      <c r="H111" s="28" t="s">
        <v>136</v>
      </c>
      <c r="I111" s="28" t="s">
        <v>136</v>
      </c>
      <c r="J111" s="28" t="s">
        <v>136</v>
      </c>
      <c r="K111" s="36">
        <f>IF(tblReceipts[[#This Row],[Date]]="","",IF(tblReceipts[[#This Row],[Received]]&gt;0,tblReceipts[[#This Row],[Rejected]]/tblReceipts[[#This Row],[Received]],""))</f>
        <v>0</v>
      </c>
      <c r="L111" s="37">
        <f>IF(tblReceipts[[#This Row],[Date]]="","",IF(tblReceipts[[#This Row],[Received]]&gt;0,tblReceipts[[#This Row],[Rejected]]/tblReceipts[[#This Row],[Received]]*1000000,""))</f>
        <v>0</v>
      </c>
      <c r="M111" s="37">
        <f>IF(tblReceipts[[#This Row],[Date]]="","",IFERROR(INDEX(tblSuppliers[PPM limit],MATCH(tblReceipts[[#This Row],[Supplier]],tblSuppliers[Supplier],0)),""))</f>
        <v>3000</v>
      </c>
      <c r="N111" s="38">
        <f>IF(tblReceipts[[#This Row],[Date]]="","",IF(AND(ISNUMBER(tblReceipts[[#This Row],[PPM]]),ISNUMBER(tblReceipts[[#This Row],[PPM limit]])),tblReceipts[[#This Row],[PPM]]-tblReceipts[[#This Row],[PPM limit]],""))</f>
        <v>-3000</v>
      </c>
      <c r="O111" s="39" t="str">
        <f>IF(NOT(ISNUMBER(tblReceipts[[#This Row],[PPM]])),"",IF(tblReceipts[[#This Row],[PPM]]&lt;=tblReceipts[[#This Row],[PPM limit]],"On target",IF(tblReceipts[[#This Row],[PPM]]&lt;=tblReceipts[[#This Row],[PPM limit]]*(1+0.05),"Near target","Above target")))</f>
        <v>On target</v>
      </c>
      <c r="P111" s="40">
        <f>IF(tblReceipts[[#This Row],[Date]]="","",IF(AND(tblReceipts[[#This Row],[Date]]&gt;=FFrom,tblReceipts[[#This Row],[Date]]&lt;=FTo,OR(DashSupplier="",tblReceipts[[#This Row],[Supplier]]=DashSupplier)),tblReceipts[[#This Row],[Date]],""))</f>
        <v>46276</v>
      </c>
      <c r="Q111"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1" s="33" t="s">
        <v>136</v>
      </c>
    </row>
    <row r="112" spans="2:18">
      <c r="B112" s="35">
        <v>46280</v>
      </c>
      <c r="C112" s="28" t="s">
        <v>275</v>
      </c>
      <c r="D112" s="28" t="s">
        <v>78</v>
      </c>
      <c r="E112" s="28" t="s">
        <v>148</v>
      </c>
      <c r="F112" s="29">
        <v>200</v>
      </c>
      <c r="G112" s="29">
        <v>0</v>
      </c>
      <c r="H112" s="28" t="s">
        <v>136</v>
      </c>
      <c r="I112" s="28" t="s">
        <v>136</v>
      </c>
      <c r="J112" s="28" t="s">
        <v>136</v>
      </c>
      <c r="K112" s="36">
        <f>IF(tblReceipts[[#This Row],[Date]]="","",IF(tblReceipts[[#This Row],[Received]]&gt;0,tblReceipts[[#This Row],[Rejected]]/tblReceipts[[#This Row],[Received]],""))</f>
        <v>0</v>
      </c>
      <c r="L112" s="37">
        <f>IF(tblReceipts[[#This Row],[Date]]="","",IF(tblReceipts[[#This Row],[Received]]&gt;0,tblReceipts[[#This Row],[Rejected]]/tblReceipts[[#This Row],[Received]]*1000000,""))</f>
        <v>0</v>
      </c>
      <c r="M112" s="37">
        <f>IF(tblReceipts[[#This Row],[Date]]="","",IFERROR(INDEX(tblSuppliers[PPM limit],MATCH(tblReceipts[[#This Row],[Supplier]],tblSuppliers[Supplier],0)),""))</f>
        <v>1500</v>
      </c>
      <c r="N112" s="38">
        <f>IF(tblReceipts[[#This Row],[Date]]="","",IF(AND(ISNUMBER(tblReceipts[[#This Row],[PPM]]),ISNUMBER(tblReceipts[[#This Row],[PPM limit]])),tblReceipts[[#This Row],[PPM]]-tblReceipts[[#This Row],[PPM limit]],""))</f>
        <v>-1500</v>
      </c>
      <c r="O112" s="39" t="str">
        <f>IF(NOT(ISNUMBER(tblReceipts[[#This Row],[PPM]])),"",IF(tblReceipts[[#This Row],[PPM]]&lt;=tblReceipts[[#This Row],[PPM limit]],"On target",IF(tblReceipts[[#This Row],[PPM]]&lt;=tblReceipts[[#This Row],[PPM limit]]*(1+0.05),"Near target","Above target")))</f>
        <v>On target</v>
      </c>
      <c r="P112" s="40">
        <f>IF(tblReceipts[[#This Row],[Date]]="","",IF(AND(tblReceipts[[#This Row],[Date]]&gt;=FFrom,tblReceipts[[#This Row],[Date]]&lt;=FTo,OR(DashSupplier="",tblReceipts[[#This Row],[Supplier]]=DashSupplier)),tblReceipts[[#This Row],[Date]],""))</f>
        <v>46280</v>
      </c>
      <c r="Q112"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2" s="33" t="s">
        <v>136</v>
      </c>
    </row>
    <row r="113" spans="2:18">
      <c r="B113" s="35">
        <v>46281</v>
      </c>
      <c r="C113" s="28" t="s">
        <v>276</v>
      </c>
      <c r="D113" s="28" t="s">
        <v>80</v>
      </c>
      <c r="E113" s="28" t="s">
        <v>150</v>
      </c>
      <c r="F113" s="29">
        <v>280</v>
      </c>
      <c r="G113" s="29">
        <v>0</v>
      </c>
      <c r="H113" s="28" t="s">
        <v>136</v>
      </c>
      <c r="I113" s="28" t="s">
        <v>136</v>
      </c>
      <c r="J113" s="28" t="s">
        <v>136</v>
      </c>
      <c r="K113" s="36">
        <f>IF(tblReceipts[[#This Row],[Date]]="","",IF(tblReceipts[[#This Row],[Received]]&gt;0,tblReceipts[[#This Row],[Rejected]]/tblReceipts[[#This Row],[Received]],""))</f>
        <v>0</v>
      </c>
      <c r="L113" s="37">
        <f>IF(tblReceipts[[#This Row],[Date]]="","",IF(tblReceipts[[#This Row],[Received]]&gt;0,tblReceipts[[#This Row],[Rejected]]/tblReceipts[[#This Row],[Received]]*1000000,""))</f>
        <v>0</v>
      </c>
      <c r="M113" s="37">
        <f>IF(tblReceipts[[#This Row],[Date]]="","",IFERROR(INDEX(tblSuppliers[PPM limit],MATCH(tblReceipts[[#This Row],[Supplier]],tblSuppliers[Supplier],0)),""))</f>
        <v>500</v>
      </c>
      <c r="N113" s="38">
        <f>IF(tblReceipts[[#This Row],[Date]]="","",IF(AND(ISNUMBER(tblReceipts[[#This Row],[PPM]]),ISNUMBER(tblReceipts[[#This Row],[PPM limit]])),tblReceipts[[#This Row],[PPM]]-tblReceipts[[#This Row],[PPM limit]],""))</f>
        <v>-500</v>
      </c>
      <c r="O113" s="39" t="str">
        <f>IF(NOT(ISNUMBER(tblReceipts[[#This Row],[PPM]])),"",IF(tblReceipts[[#This Row],[PPM]]&lt;=tblReceipts[[#This Row],[PPM limit]],"On target",IF(tblReceipts[[#This Row],[PPM]]&lt;=tblReceipts[[#This Row],[PPM limit]]*(1+0.05),"Near target","Above target")))</f>
        <v>On target</v>
      </c>
      <c r="P113" s="40">
        <f>IF(tblReceipts[[#This Row],[Date]]="","",IF(AND(tblReceipts[[#This Row],[Date]]&gt;=FFrom,tblReceipts[[#This Row],[Date]]&lt;=FTo,OR(DashSupplier="",tblReceipts[[#This Row],[Supplier]]=DashSupplier)),tblReceipts[[#This Row],[Date]],""))</f>
        <v>46281</v>
      </c>
      <c r="Q113"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3" s="33" t="s">
        <v>136</v>
      </c>
    </row>
    <row r="114" spans="2:18">
      <c r="B114" s="35">
        <v>46283</v>
      </c>
      <c r="C114" s="28" t="s">
        <v>277</v>
      </c>
      <c r="D114" s="28" t="s">
        <v>86</v>
      </c>
      <c r="E114" s="28" t="s">
        <v>146</v>
      </c>
      <c r="F114" s="29">
        <v>48</v>
      </c>
      <c r="G114" s="29">
        <v>0</v>
      </c>
      <c r="H114" s="28" t="s">
        <v>136</v>
      </c>
      <c r="I114" s="28" t="s">
        <v>136</v>
      </c>
      <c r="J114" s="28" t="s">
        <v>136</v>
      </c>
      <c r="K114" s="36">
        <f>IF(tblReceipts[[#This Row],[Date]]="","",IF(tblReceipts[[#This Row],[Received]]&gt;0,tblReceipts[[#This Row],[Rejected]]/tblReceipts[[#This Row],[Received]],""))</f>
        <v>0</v>
      </c>
      <c r="L114" s="37">
        <f>IF(tblReceipts[[#This Row],[Date]]="","",IF(tblReceipts[[#This Row],[Received]]&gt;0,tblReceipts[[#This Row],[Rejected]]/tblReceipts[[#This Row],[Received]]*1000000,""))</f>
        <v>0</v>
      </c>
      <c r="M114" s="37">
        <f>IF(tblReceipts[[#This Row],[Date]]="","",IFERROR(INDEX(tblSuppliers[PPM limit],MATCH(tblReceipts[[#This Row],[Supplier]],tblSuppliers[Supplier],0)),""))</f>
        <v>3000</v>
      </c>
      <c r="N114" s="38">
        <f>IF(tblReceipts[[#This Row],[Date]]="","",IF(AND(ISNUMBER(tblReceipts[[#This Row],[PPM]]),ISNUMBER(tblReceipts[[#This Row],[PPM limit]])),tblReceipts[[#This Row],[PPM]]-tblReceipts[[#This Row],[PPM limit]],""))</f>
        <v>-3000</v>
      </c>
      <c r="O114" s="39" t="str">
        <f>IF(NOT(ISNUMBER(tblReceipts[[#This Row],[PPM]])),"",IF(tblReceipts[[#This Row],[PPM]]&lt;=tblReceipts[[#This Row],[PPM limit]],"On target",IF(tblReceipts[[#This Row],[PPM]]&lt;=tblReceipts[[#This Row],[PPM limit]]*(1+0.05),"Near target","Above target")))</f>
        <v>On target</v>
      </c>
      <c r="P114" s="40">
        <f>IF(tblReceipts[[#This Row],[Date]]="","",IF(AND(tblReceipts[[#This Row],[Date]]&gt;=FFrom,tblReceipts[[#This Row],[Date]]&lt;=FTo,OR(DashSupplier="",tblReceipts[[#This Row],[Supplier]]=DashSupplier)),tblReceipts[[#This Row],[Date]],""))</f>
        <v>46283</v>
      </c>
      <c r="Q114"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4" s="33" t="s">
        <v>136</v>
      </c>
    </row>
    <row r="115" spans="2:18">
      <c r="B115" s="35">
        <v>46286</v>
      </c>
      <c r="C115" s="28" t="s">
        <v>278</v>
      </c>
      <c r="D115" s="28" t="s">
        <v>82</v>
      </c>
      <c r="E115" s="28" t="s">
        <v>134</v>
      </c>
      <c r="F115" s="29">
        <v>21000</v>
      </c>
      <c r="G115" s="29">
        <v>4</v>
      </c>
      <c r="H115" s="28" t="s">
        <v>91</v>
      </c>
      <c r="I115" s="28" t="s">
        <v>110</v>
      </c>
      <c r="J115" s="28" t="s">
        <v>279</v>
      </c>
      <c r="K115" s="36">
        <f>IF(tblReceipts[[#This Row],[Date]]="","",IF(tblReceipts[[#This Row],[Received]]&gt;0,tblReceipts[[#This Row],[Rejected]]/tblReceipts[[#This Row],[Received]],""))</f>
        <v>0.00019047619047619</v>
      </c>
      <c r="L115" s="37">
        <f>IF(tblReceipts[[#This Row],[Date]]="","",IF(tblReceipts[[#This Row],[Received]]&gt;0,tblReceipts[[#This Row],[Rejected]]/tblReceipts[[#This Row],[Received]]*1000000,""))</f>
        <v>190.47619047619</v>
      </c>
      <c r="M115" s="37">
        <f>IF(tblReceipts[[#This Row],[Date]]="","",IFERROR(INDEX(tblSuppliers[PPM limit],MATCH(tblReceipts[[#This Row],[Supplier]],tblSuppliers[Supplier],0)),""))</f>
        <v>100</v>
      </c>
      <c r="N115" s="38">
        <f>IF(tblReceipts[[#This Row],[Date]]="","",IF(AND(ISNUMBER(tblReceipts[[#This Row],[PPM]]),ISNUMBER(tblReceipts[[#This Row],[PPM limit]])),tblReceipts[[#This Row],[PPM]]-tblReceipts[[#This Row],[PPM limit]],""))</f>
        <v>90.4761904761905</v>
      </c>
      <c r="O115" s="39" t="str">
        <f>IF(NOT(ISNUMBER(tblReceipts[[#This Row],[PPM]])),"",IF(tblReceipts[[#This Row],[PPM]]&lt;=tblReceipts[[#This Row],[PPM limit]],"On target",IF(tblReceipts[[#This Row],[PPM]]&lt;=tblReceipts[[#This Row],[PPM limit]]*(1+0.05),"Near target","Above target")))</f>
        <v>Above target</v>
      </c>
      <c r="P115" s="40">
        <f>IF(tblReceipts[[#This Row],[Date]]="","",IF(AND(tblReceipts[[#This Row],[Date]]&gt;=FFrom,tblReceipts[[#This Row],[Date]]&lt;=FTo,OR(DashSupplier="",tblReceipts[[#This Row],[Supplier]]=DashSupplier)),tblReceipts[[#This Row],[Date]],""))</f>
        <v>46286</v>
      </c>
      <c r="Q115"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5" s="33" t="s">
        <v>136</v>
      </c>
    </row>
    <row r="116" spans="2:18">
      <c r="B116" s="35">
        <v>46287</v>
      </c>
      <c r="C116" s="28" t="s">
        <v>280</v>
      </c>
      <c r="D116" s="28" t="s">
        <v>78</v>
      </c>
      <c r="E116" s="28" t="s">
        <v>138</v>
      </c>
      <c r="F116" s="29">
        <v>280</v>
      </c>
      <c r="G116" s="29">
        <v>1</v>
      </c>
      <c r="H116" s="28" t="s">
        <v>95</v>
      </c>
      <c r="I116" s="28" t="s">
        <v>108</v>
      </c>
      <c r="J116" s="28" t="s">
        <v>281</v>
      </c>
      <c r="K116" s="36">
        <f>IF(tblReceipts[[#This Row],[Date]]="","",IF(tblReceipts[[#This Row],[Received]]&gt;0,tblReceipts[[#This Row],[Rejected]]/tblReceipts[[#This Row],[Received]],""))</f>
        <v>0.00357142857142857</v>
      </c>
      <c r="L116" s="37">
        <f>IF(tblReceipts[[#This Row],[Date]]="","",IF(tblReceipts[[#This Row],[Received]]&gt;0,tblReceipts[[#This Row],[Rejected]]/tblReceipts[[#This Row],[Received]]*1000000,""))</f>
        <v>3571.42857142857</v>
      </c>
      <c r="M116" s="37">
        <f>IF(tblReceipts[[#This Row],[Date]]="","",IFERROR(INDEX(tblSuppliers[PPM limit],MATCH(tblReceipts[[#This Row],[Supplier]],tblSuppliers[Supplier],0)),""))</f>
        <v>1500</v>
      </c>
      <c r="N116" s="38">
        <f>IF(tblReceipts[[#This Row],[Date]]="","",IF(AND(ISNUMBER(tblReceipts[[#This Row],[PPM]]),ISNUMBER(tblReceipts[[#This Row],[PPM limit]])),tblReceipts[[#This Row],[PPM]]-tblReceipts[[#This Row],[PPM limit]],""))</f>
        <v>2071.42857142857</v>
      </c>
      <c r="O116" s="39" t="str">
        <f>IF(NOT(ISNUMBER(tblReceipts[[#This Row],[PPM]])),"",IF(tblReceipts[[#This Row],[PPM]]&lt;=tblReceipts[[#This Row],[PPM limit]],"On target",IF(tblReceipts[[#This Row],[PPM]]&lt;=tblReceipts[[#This Row],[PPM limit]]*(1+0.05),"Near target","Above target")))</f>
        <v>Above target</v>
      </c>
      <c r="P116" s="40">
        <f>IF(tblReceipts[[#This Row],[Date]]="","",IF(AND(tblReceipts[[#This Row],[Date]]&gt;=FFrom,tblReceipts[[#This Row],[Date]]&lt;=FTo,OR(DashSupplier="",tblReceipts[[#This Row],[Supplier]]=DashSupplier)),tblReceipts[[#This Row],[Date]],""))</f>
        <v>46287</v>
      </c>
      <c r="Q116"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6" s="33" t="s">
        <v>136</v>
      </c>
    </row>
    <row r="117" spans="2:18">
      <c r="B117" s="35">
        <v>46288</v>
      </c>
      <c r="C117" s="28" t="s">
        <v>282</v>
      </c>
      <c r="D117" s="28" t="s">
        <v>80</v>
      </c>
      <c r="E117" s="28" t="s">
        <v>140</v>
      </c>
      <c r="F117" s="29">
        <v>260</v>
      </c>
      <c r="G117" s="29">
        <v>0</v>
      </c>
      <c r="H117" s="28" t="s">
        <v>136</v>
      </c>
      <c r="I117" s="28" t="s">
        <v>136</v>
      </c>
      <c r="J117" s="28" t="s">
        <v>136</v>
      </c>
      <c r="K117" s="36">
        <f>IF(tblReceipts[[#This Row],[Date]]="","",IF(tblReceipts[[#This Row],[Received]]&gt;0,tblReceipts[[#This Row],[Rejected]]/tblReceipts[[#This Row],[Received]],""))</f>
        <v>0</v>
      </c>
      <c r="L117" s="37">
        <f>IF(tblReceipts[[#This Row],[Date]]="","",IF(tblReceipts[[#This Row],[Received]]&gt;0,tblReceipts[[#This Row],[Rejected]]/tblReceipts[[#This Row],[Received]]*1000000,""))</f>
        <v>0</v>
      </c>
      <c r="M117" s="37">
        <f>IF(tblReceipts[[#This Row],[Date]]="","",IFERROR(INDEX(tblSuppliers[PPM limit],MATCH(tblReceipts[[#This Row],[Supplier]],tblSuppliers[Supplier],0)),""))</f>
        <v>500</v>
      </c>
      <c r="N117" s="38">
        <f>IF(tblReceipts[[#This Row],[Date]]="","",IF(AND(ISNUMBER(tblReceipts[[#This Row],[PPM]]),ISNUMBER(tblReceipts[[#This Row],[PPM limit]])),tblReceipts[[#This Row],[PPM]]-tblReceipts[[#This Row],[PPM limit]],""))</f>
        <v>-500</v>
      </c>
      <c r="O117" s="39" t="str">
        <f>IF(NOT(ISNUMBER(tblReceipts[[#This Row],[PPM]])),"",IF(tblReceipts[[#This Row],[PPM]]&lt;=tblReceipts[[#This Row],[PPM limit]],"On target",IF(tblReceipts[[#This Row],[PPM]]&lt;=tblReceipts[[#This Row],[PPM limit]]*(1+0.05),"Near target","Above target")))</f>
        <v>On target</v>
      </c>
      <c r="P117" s="40">
        <f>IF(tblReceipts[[#This Row],[Date]]="","",IF(AND(tblReceipts[[#This Row],[Date]]&gt;=FFrom,tblReceipts[[#This Row],[Date]]&lt;=FTo,OR(DashSupplier="",tblReceipts[[#This Row],[Supplier]]=DashSupplier)),tblReceipts[[#This Row],[Date]],""))</f>
        <v>46288</v>
      </c>
      <c r="Q117"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7" s="33" t="s">
        <v>136</v>
      </c>
    </row>
    <row r="118" spans="2:18">
      <c r="B118" s="35">
        <v>46288</v>
      </c>
      <c r="C118" s="28" t="s">
        <v>283</v>
      </c>
      <c r="D118" s="28" t="s">
        <v>88</v>
      </c>
      <c r="E118" s="28" t="s">
        <v>142</v>
      </c>
      <c r="F118" s="29">
        <v>700</v>
      </c>
      <c r="G118" s="29">
        <v>1</v>
      </c>
      <c r="H118" s="28" t="s">
        <v>99</v>
      </c>
      <c r="I118" s="28" t="s">
        <v>108</v>
      </c>
      <c r="J118" s="28" t="s">
        <v>284</v>
      </c>
      <c r="K118" s="36">
        <f>IF(tblReceipts[[#This Row],[Date]]="","",IF(tblReceipts[[#This Row],[Received]]&gt;0,tblReceipts[[#This Row],[Rejected]]/tblReceipts[[#This Row],[Received]],""))</f>
        <v>0.00142857142857143</v>
      </c>
      <c r="L118" s="37">
        <f>IF(tblReceipts[[#This Row],[Date]]="","",IF(tblReceipts[[#This Row],[Received]]&gt;0,tblReceipts[[#This Row],[Rejected]]/tblReceipts[[#This Row],[Received]]*1000000,""))</f>
        <v>1428.57142857143</v>
      </c>
      <c r="M118" s="37">
        <f>IF(tblReceipts[[#This Row],[Date]]="","",IFERROR(INDEX(tblSuppliers[PPM limit],MATCH(tblReceipts[[#This Row],[Supplier]],tblSuppliers[Supplier],0)),""))</f>
        <v>300</v>
      </c>
      <c r="N118" s="38">
        <f>IF(tblReceipts[[#This Row],[Date]]="","",IF(AND(ISNUMBER(tblReceipts[[#This Row],[PPM]]),ISNUMBER(tblReceipts[[#This Row],[PPM limit]])),tblReceipts[[#This Row],[PPM]]-tblReceipts[[#This Row],[PPM limit]],""))</f>
        <v>1128.57142857143</v>
      </c>
      <c r="O118" s="39" t="str">
        <f>IF(NOT(ISNUMBER(tblReceipts[[#This Row],[PPM]])),"",IF(tblReceipts[[#This Row],[PPM]]&lt;=tblReceipts[[#This Row],[PPM limit]],"On target",IF(tblReceipts[[#This Row],[PPM]]&lt;=tblReceipts[[#This Row],[PPM limit]]*(1+0.05),"Near target","Above target")))</f>
        <v>Above target</v>
      </c>
      <c r="P118" s="40">
        <f>IF(tblReceipts[[#This Row],[Date]]="","",IF(AND(tblReceipts[[#This Row],[Date]]&gt;=FFrom,tblReceipts[[#This Row],[Date]]&lt;=FTo,OR(DashSupplier="",tblReceipts[[#This Row],[Supplier]]=DashSupplier)),tblReceipts[[#This Row],[Date]],""))</f>
        <v>46288</v>
      </c>
      <c r="Q118"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8" s="33" t="s">
        <v>136</v>
      </c>
    </row>
    <row r="119" spans="2:18">
      <c r="B119" s="35">
        <v>46289</v>
      </c>
      <c r="C119" s="28" t="s">
        <v>285</v>
      </c>
      <c r="D119" s="28" t="s">
        <v>84</v>
      </c>
      <c r="E119" s="28" t="s">
        <v>144</v>
      </c>
      <c r="F119" s="29">
        <v>6500</v>
      </c>
      <c r="G119" s="29">
        <v>3</v>
      </c>
      <c r="H119" s="28" t="s">
        <v>91</v>
      </c>
      <c r="I119" s="28" t="s">
        <v>108</v>
      </c>
      <c r="J119" s="28" t="s">
        <v>286</v>
      </c>
      <c r="K119" s="36">
        <f>IF(tblReceipts[[#This Row],[Date]]="","",IF(tblReceipts[[#This Row],[Received]]&gt;0,tblReceipts[[#This Row],[Rejected]]/tblReceipts[[#This Row],[Received]],""))</f>
        <v>0.000461538461538462</v>
      </c>
      <c r="L119" s="37">
        <f>IF(tblReceipts[[#This Row],[Date]]="","",IF(tblReceipts[[#This Row],[Received]]&gt;0,tblReceipts[[#This Row],[Rejected]]/tblReceipts[[#This Row],[Received]]*1000000,""))</f>
        <v>461.538461538462</v>
      </c>
      <c r="M119" s="37">
        <f>IF(tblReceipts[[#This Row],[Date]]="","",IFERROR(INDEX(tblSuppliers[PPM limit],MATCH(tblReceipts[[#This Row],[Supplier]],tblSuppliers[Supplier],0)),""))</f>
        <v>250</v>
      </c>
      <c r="N119" s="38">
        <f>IF(tblReceipts[[#This Row],[Date]]="","",IF(AND(ISNUMBER(tblReceipts[[#This Row],[PPM]]),ISNUMBER(tblReceipts[[#This Row],[PPM limit]])),tblReceipts[[#This Row],[PPM]]-tblReceipts[[#This Row],[PPM limit]],""))</f>
        <v>211.538461538462</v>
      </c>
      <c r="O119" s="39" t="str">
        <f>IF(NOT(ISNUMBER(tblReceipts[[#This Row],[PPM]])),"",IF(tblReceipts[[#This Row],[PPM]]&lt;=tblReceipts[[#This Row],[PPM limit]],"On target",IF(tblReceipts[[#This Row],[PPM]]&lt;=tblReceipts[[#This Row],[PPM limit]]*(1+0.05),"Near target","Above target")))</f>
        <v>Above target</v>
      </c>
      <c r="P119" s="40">
        <f>IF(tblReceipts[[#This Row],[Date]]="","",IF(AND(tblReceipts[[#This Row],[Date]]&gt;=FFrom,tblReceipts[[#This Row],[Date]]&lt;=FTo,OR(DashSupplier="",tblReceipts[[#This Row],[Supplier]]=DashSupplier)),tblReceipts[[#This Row],[Date]],""))</f>
        <v>46289</v>
      </c>
      <c r="Q119"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19" s="33" t="s">
        <v>136</v>
      </c>
    </row>
    <row r="120" spans="2:18">
      <c r="B120" s="35">
        <v>46290</v>
      </c>
      <c r="C120" s="28" t="s">
        <v>287</v>
      </c>
      <c r="D120" s="28" t="s">
        <v>86</v>
      </c>
      <c r="E120" s="28" t="s">
        <v>146</v>
      </c>
      <c r="F120" s="29">
        <v>42</v>
      </c>
      <c r="G120" s="29">
        <v>0</v>
      </c>
      <c r="H120" s="28" t="s">
        <v>136</v>
      </c>
      <c r="I120" s="28" t="s">
        <v>136</v>
      </c>
      <c r="J120" s="28" t="s">
        <v>136</v>
      </c>
      <c r="K120" s="36">
        <f>IF(tblReceipts[[#This Row],[Date]]="","",IF(tblReceipts[[#This Row],[Received]]&gt;0,tblReceipts[[#This Row],[Rejected]]/tblReceipts[[#This Row],[Received]],""))</f>
        <v>0</v>
      </c>
      <c r="L120" s="37">
        <f>IF(tblReceipts[[#This Row],[Date]]="","",IF(tblReceipts[[#This Row],[Received]]&gt;0,tblReceipts[[#This Row],[Rejected]]/tblReceipts[[#This Row],[Received]]*1000000,""))</f>
        <v>0</v>
      </c>
      <c r="M120" s="37">
        <f>IF(tblReceipts[[#This Row],[Date]]="","",IFERROR(INDEX(tblSuppliers[PPM limit],MATCH(tblReceipts[[#This Row],[Supplier]],tblSuppliers[Supplier],0)),""))</f>
        <v>3000</v>
      </c>
      <c r="N120" s="38">
        <f>IF(tblReceipts[[#This Row],[Date]]="","",IF(AND(ISNUMBER(tblReceipts[[#This Row],[PPM]]),ISNUMBER(tblReceipts[[#This Row],[PPM limit]])),tblReceipts[[#This Row],[PPM]]-tblReceipts[[#This Row],[PPM limit]],""))</f>
        <v>-3000</v>
      </c>
      <c r="O120" s="39" t="str">
        <f>IF(NOT(ISNUMBER(tblReceipts[[#This Row],[PPM]])),"",IF(tblReceipts[[#This Row],[PPM]]&lt;=tblReceipts[[#This Row],[PPM limit]],"On target",IF(tblReceipts[[#This Row],[PPM]]&lt;=tblReceipts[[#This Row],[PPM limit]]*(1+0.05),"Near target","Above target")))</f>
        <v>On target</v>
      </c>
      <c r="P120" s="40">
        <f>IF(tblReceipts[[#This Row],[Date]]="","",IF(AND(tblReceipts[[#This Row],[Date]]&gt;=FFrom,tblReceipts[[#This Row],[Date]]&lt;=FTo,OR(DashSupplier="",tblReceipts[[#This Row],[Supplier]]=DashSupplier)),tblReceipts[[#This Row],[Date]],""))</f>
        <v>46290</v>
      </c>
      <c r="Q120" s="41" t="str">
        <f>IF(tblReceipts[[#This Row],[Date]]="","",IF(tblReceipts[[#This Row],[Receipt ID]]="","Missing receipt id",IF(tblReceipts[[#This Row],[Supplier]]="","Missing supplier",IF(tblReceipts[[#This Row],[Received]]="","Missing received",IF(tblReceipts[[#This Row],[Rejected]]="","Missing rejected",IF(tblReceipts[[#This Row],[PPM limit]]="","Supplier not on Setup list",IF(tblReceipts[[#This Row],[Rejected]]&gt;tblReceipts[[#This Row],[Received]],"Rejected &gt; received",IF(AND(tblReceipts[[#This Row],[Rejected]]&gt;0,tblReceipts[[#This Row],[Reject reason]]=""),"Reject reason missing",IF(AND(tblReceipts[[#This Row],[Rejected]]&gt;0,tblReceipts[[#This Row],[Disposition]]=""),"Disposition missing",IF(AND(tblReceipts[[#This Row],[Reject reason]]&lt;&gt;"",COUNTIF(tblReasons[Reason],tblReceipts[[#This Row],[Reject reason]])=0),"Reason not on Setup list",IF(COUNTIF(tblReceipts[Receipt ID],tblReceipts[[#This Row],[Receipt ID]])&gt;1,"Duplicate receipt ID","OK")))))))))))</f>
        <v>OK</v>
      </c>
      <c r="R120" s="33" t="s">
        <v>136</v>
      </c>
    </row>
  </sheetData>
  <mergeCells count="3">
    <mergeCell ref="A1:R1"/>
    <mergeCell ref="B2:Q2"/>
    <mergeCell ref="B4:R4"/>
  </mergeCells>
  <conditionalFormatting sqref="O7:O62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Q7:Q620">
    <cfRule type="expression" dxfId="3" priority="21">
      <formula>$Q7="OK"</formula>
    </cfRule>
    <cfRule type="expression" dxfId="1" priority="22">
      <formula>AND($Q7&lt;&gt;"",$Q7&lt;&gt;"OK")</formula>
    </cfRule>
  </conditionalFormatting>
  <dataValidations count="10">
    <dataValidation type="date" allowBlank="1" showInputMessage="1" showErrorMessage="1" errorTitle="Check this entry" error="Enter a date between 01 Jan 2000 and 31 Dec 2100." promptTitle="Date" prompt="Enter a date between 01 Jan 2000 and 31 Dec 2100." sqref="B7:B620">
      <formula1>36526</formula1>
      <formula2>73415</formula2>
    </dataValidation>
    <dataValidation type="textLength" allowBlank="1" showInputMessage="1" showErrorMessage="1" errorTitle="Check this entry" error="Text up to 40 characters." promptTitle="Receipt ID" prompt="Goods receipt, lot or GRN number. Each receipt once. Text up to 40 characters." sqref="C7:C620">
      <formula1>0</formula1>
      <formula2>40</formula2>
    </dataValidation>
    <dataValidation type="list" allowBlank="1" showInputMessage="1" showErrorMessage="1" errorTitle="Check this entry" error="Pick from the list (edit the list on Setup: Suppliers)." promptTitle="Supplier" prompt="Pick from the list (edit the list on Setup: Suppliers)." sqref="D7:D620">
      <formula1>Suppliers</formula1>
    </dataValidation>
    <dataValidation type="textLength" allowBlank="1" showInputMessage="1" showErrorMessage="1" errorTitle="Check this entry" error="Text up to 40 characters." promptTitle="Part number" prompt="Text up to 40 characters." sqref="E7:E620">
      <formula1>0</formula1>
      <formula2>40</formula2>
    </dataValidation>
    <dataValidation type="whole" allowBlank="1" showInputMessage="1" showErrorMessage="1" errorTitle="Check this entry" error="Enter a whole number of at least 0." promptTitle="Received" prompt="Parts received in the lot (the whole lot, not the sample). Enter a whole number of at least 0." sqref="F7:F620">
      <formula1>0</formula1>
      <formula2>1000000000</formula2>
    </dataValidation>
    <dataValidation type="whole" allowBlank="1" showInputMessage="1" showErrorMessage="1" errorTitle="Check this entry" error="Enter a whole number of at least 0." promptTitle="Rejected" prompt="Nonconforming parts found in the lot: returned, sorted out, reworked, scrapped or used under deviation. 0 for a clean lot. Enter a whole number of at least 0." sqref="G7:G620">
      <formula1>0</formula1>
      <formula2>1000000000</formula2>
    </dataValidation>
    <dataValidation type="list" allowBlank="1" showInputMessage="1" showErrorMessage="1" errorTitle="Check this entry" error="Pick from the list (edit the list on Setup: ReasonList)." promptTitle="Reject reason" prompt="The main reason. Leave blank for a clean lot. Pick from the list (edit the list on Setup: ReasonList)." sqref="H7:H620">
      <formula1>ReasonList</formula1>
    </dataValidation>
    <dataValidation type="list" allowBlank="1" showInputMessage="1" showErrorMessage="1" errorTitle="Check this entry" error="Pick from the list (edit the list on Setup: DispositionList)." promptTitle="Disposition" prompt="What happened to the rejected parts. Leave blank for a clean lot. Pick from the list (edit the list on Setup: DispositionList)." sqref="I7:I620">
      <formula1>DispositionList</formula1>
    </dataValidation>
    <dataValidation type="textLength" allowBlank="1" showInputMessage="1" showErrorMessage="1" errorTitle="Check this entry" error="Text up to 60 characters." promptTitle="SCAR or RMA no." prompt="Your corrective action request and return authorisation references. Text up to 60 characters." sqref="J7:J620">
      <formula1>0</formula1>
      <formula2>60</formula2>
    </dataValidation>
    <dataValidation type="textLength" allowBlank="1" showInputMessage="1" showErrorMessage="1" errorTitle="Check this entry" error="Text up to 255 characters." promptTitle="Notes" prompt="Text up to 255 characters." sqref="R7:R620">
      <formula1>0</formula1>
      <formula2>255</formula2>
    </dataValidation>
  </dataValidations>
  <hyperlinks>
    <hyperlink ref="R2" r:id="rId1" tooltip="Free manufacturing calculators and templates"/>
  </hyperlinks>
  <pageMargins left="0.4" right="0.4" top="0.7" bottom="0.65" header="0.3" footer="0.3"/>
  <pageSetup fitToHeight="0" orientation="landscape"/>
  <headerFooter>
    <oddHeader>&amp;L&amp;8MFG Calcs - Supplier Quality PPM&amp;R&amp;8&amp;A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104"/>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24</v>
      </c>
      <c r="C2" s="2"/>
      <c r="D2" s="2"/>
      <c r="E2" s="2"/>
      <c r="F2" s="2"/>
      <c r="G2" s="2"/>
      <c r="H2" s="2"/>
      <c r="I2" s="2"/>
      <c r="J2" s="2"/>
      <c r="K2" s="3" t="s">
        <v>2</v>
      </c>
      <c r="L2" s="3"/>
    </row>
    <row r="3" spans="1:12" ht="6" customHeight="1" x14ac:dyDescent="0.25"/>
    <row r="4" spans="1:12" x14ac:dyDescent="0.25">
      <c r="B4" s="27" t="s">
        <v>62</v>
      </c>
      <c r="C4" s="28"/>
      <c r="D4" s="28"/>
      <c r="F4" s="27" t="s">
        <v>288</v>
      </c>
      <c r="G4" s="42"/>
      <c r="H4" s="42"/>
      <c r="J4" s="27" t="s">
        <v>289</v>
      </c>
      <c r="K4" s="42"/>
      <c r="L4" s="42"/>
    </row>
    <row r="5" spans="1:12" x14ac:dyDescent="0.25">
      <c r="B5" s="43" t="str">
        <f>"Showing "&amp;COUNTIFS(tblReceipts[View date],"&gt;0")&amp;" lots from "&amp;PlantName&amp;". Leave the filters blank to include everything; dates are inclusive."</f>
        <v>Showing 114 lots from Halden Pump Works (example). Leave the filters blank to include everything; dates are inclusive.</v>
      </c>
      <c r="C5" s="43"/>
      <c r="D5" s="43"/>
      <c r="E5" s="43"/>
      <c r="F5" s="43"/>
      <c r="G5" s="43"/>
      <c r="H5" s="43"/>
      <c r="I5" s="43"/>
      <c r="J5" s="43"/>
      <c r="K5" s="43"/>
      <c r="L5" s="43"/>
    </row>
    <row r="7" spans="1:12" ht="18" customHeight="1" x14ac:dyDescent="0.25">
      <c r="B7" s="44" t="s">
        <v>290</v>
      </c>
      <c r="C7" s="44"/>
      <c r="D7" s="44" t="s">
        <v>291</v>
      </c>
      <c r="E7" s="44"/>
      <c r="F7" s="44"/>
      <c r="G7" s="44" t="s">
        <v>292</v>
      </c>
      <c r="H7" s="44"/>
      <c r="I7" s="44"/>
      <c r="J7" s="44" t="s">
        <v>293</v>
      </c>
      <c r="K7" s="44"/>
      <c r="L7" s="44"/>
    </row>
    <row r="8" spans="1:12" ht="21" customHeight="1" x14ac:dyDescent="0.25">
      <c r="B8" s="45">
        <f>IF((SUMIFS(tblReceipts[Received],tblReceipts[View date],"&gt;0"))=0,"",(SUMIFS(tblReceipts[Rejected],tblReceipts[View date],"&gt;0")*1000000)/(SUMIFS(tblReceipts[Received],tblReceipts[View date],"&gt;0")))</f>
        <v>307.39372314072</v>
      </c>
      <c r="C8" s="45"/>
      <c r="D8" s="45">
        <f>SUMIFS(tblReceipts[Rejected],tblReceipts[View date],"&gt;0")</f>
        <v>102</v>
      </c>
      <c r="E8" s="45"/>
      <c r="F8" s="45"/>
      <c r="G8" s="46">
        <f>IF((COUNTIFS(tblReceipts[View date],"&gt;0"))=0,"",(COUNTIFS(tblReceipts[Rejected],0,tblReceipts[View date],"&gt;0"))/(COUNTIFS(tblReceipts[View date],"&gt;0")))</f>
        <v>0.763157894736842</v>
      </c>
      <c r="H8" s="46"/>
      <c r="I8" s="46"/>
      <c r="J8" s="45">
        <f>COUNTIF($K$54:$K$59,"Above target")</f>
        <v>2</v>
      </c>
      <c r="K8" s="45"/>
      <c r="L8" s="45"/>
    </row>
    <row r="9" spans="1:12" ht="21" customHeight="1" x14ac:dyDescent="0.25">
      <c r="B9" s="45"/>
      <c r="C9" s="45"/>
      <c r="D9" s="45"/>
      <c r="E9" s="45"/>
      <c r="F9" s="45"/>
      <c r="G9" s="46"/>
      <c r="H9" s="46"/>
      <c r="I9" s="46"/>
      <c r="J9" s="45"/>
      <c r="K9" s="45"/>
      <c r="L9" s="45"/>
    </row>
    <row r="10" spans="1:12" x14ac:dyDescent="0.25">
      <c r="B10" s="47">
        <f>TargetPPM</f>
        <v>500</v>
      </c>
      <c r="C10" s="47"/>
      <c r="D10" s="48" t="s">
        <v>294</v>
      </c>
      <c r="E10" s="48"/>
      <c r="F10" s="48"/>
      <c r="G10" s="48" t="s">
        <v>295</v>
      </c>
      <c r="H10" s="48"/>
      <c r="I10" s="48"/>
      <c r="J10" s="49">
        <f>0</f>
        <v>0</v>
      </c>
      <c r="K10" s="49"/>
      <c r="L10" s="49"/>
    </row>
    <row r="11" spans="1:12" ht="18" customHeight="1" x14ac:dyDescent="0.25">
      <c r="B11" s="50" t="str">
        <f>IF(NOT(ISNUMBER(KpiPPM)),"No data",IF(KpiPPM&lt;=(TargetPPM),"On target",IF(KpiPPM&lt;=(TargetPPM)*(1+0.05),"Near target","Above target")))</f>
        <v>On target</v>
      </c>
      <c r="C11" s="50"/>
      <c r="D11" s="50"/>
      <c r="E11" s="50"/>
      <c r="F11" s="50"/>
      <c r="G11" s="50"/>
      <c r="H11" s="50"/>
      <c r="I11" s="50"/>
      <c r="J11" s="50" t="str">
        <f>IF(NOT(ISNUMBER(KpiOver)),"No data",IF(KpiOver&lt;=(0),"On target",IF(KpiOver&lt;=(0)*(1+0.05),"Near target","Above target")))</f>
        <v>Above target</v>
      </c>
      <c r="K11" s="50"/>
      <c r="L11" s="50"/>
    </row>
    <row r="29" spans="2:12" ht="18" customHeight="1" x14ac:dyDescent="0.25">
      <c r="B29" s="44" t="s">
        <v>296</v>
      </c>
      <c r="C29" s="44"/>
      <c r="D29" s="44" t="s">
        <v>297</v>
      </c>
      <c r="E29" s="44"/>
      <c r="F29" s="44"/>
      <c r="G29" s="44" t="s">
        <v>298</v>
      </c>
      <c r="H29" s="44"/>
      <c r="I29" s="44"/>
      <c r="J29" s="44" t="s">
        <v>299</v>
      </c>
      <c r="K29" s="44"/>
      <c r="L29" s="44"/>
    </row>
    <row r="30" spans="2:12" ht="21" customHeight="1" x14ac:dyDescent="0.25">
      <c r="B30" s="45">
        <f>SUMIFS(tblReceipts[Received],tblReceipts[View date],"&gt;0")</f>
        <v>331822</v>
      </c>
      <c r="C30" s="45"/>
      <c r="D30" s="45">
        <f>COUNTIFS(tblReceipts[View date],"&gt;0")</f>
        <v>114</v>
      </c>
      <c r="E30" s="45"/>
      <c r="F30" s="45"/>
      <c r="G30" s="51">
        <f>IF((SUMIFS(tblReceipts[Received],tblReceipts[View date],"&gt;0"))=0,"",(SUMIFS(tblReceipts[Rejected],tblReceipts[View date],"&gt;0"))/(SUMIFS(tblReceipts[Received],tblReceipts[View date],"&gt;0")))</f>
        <v>0.00030739372314072</v>
      </c>
      <c r="H30" s="51"/>
      <c r="I30" s="51"/>
      <c r="J30" s="52" t="str">
        <f>IF(INDEX($E$93:$E$100,1)&gt;0,INDEX($C$93:$C$100,1),"None logged")</f>
        <v>Material defect</v>
      </c>
      <c r="K30" s="52"/>
      <c r="L30" s="52"/>
    </row>
    <row r="31" spans="2:12" ht="21" customHeight="1" x14ac:dyDescent="0.25">
      <c r="B31" s="45"/>
      <c r="C31" s="45"/>
      <c r="D31" s="45"/>
      <c r="E31" s="45"/>
      <c r="F31" s="45"/>
      <c r="G31" s="51"/>
      <c r="H31" s="51"/>
      <c r="I31" s="51"/>
      <c r="J31" s="52"/>
      <c r="K31" s="52"/>
      <c r="L31" s="52"/>
    </row>
    <row r="32" spans="2:12" x14ac:dyDescent="0.25">
      <c r="B32" s="48" t="s">
        <v>300</v>
      </c>
      <c r="C32" s="48"/>
      <c r="D32" s="48" t="s">
        <v>301</v>
      </c>
      <c r="E32" s="48"/>
      <c r="F32" s="48"/>
      <c r="G32" s="48" t="s">
        <v>302</v>
      </c>
      <c r="H32" s="48"/>
      <c r="I32" s="48"/>
      <c r="J32" s="48" t="s">
        <v>303</v>
      </c>
      <c r="K32" s="48"/>
      <c r="L32" s="48"/>
    </row>
    <row r="33" spans="2:12" ht="18" customHeight="1" x14ac:dyDescent="0.25">
      <c r="B33" s="50"/>
      <c r="C33" s="50"/>
      <c r="D33" s="50"/>
      <c r="E33" s="50"/>
      <c r="F33" s="50"/>
      <c r="G33" s="50"/>
      <c r="H33" s="50"/>
      <c r="I33" s="50"/>
      <c r="J33" s="50"/>
      <c r="K33" s="50"/>
      <c r="L33" s="50"/>
    </row>
    <row r="51" spans="2:12" x14ac:dyDescent="0.25">
      <c r="B51" s="30" t="s">
        <v>304</v>
      </c>
      <c r="C51" s="30"/>
      <c r="D51" s="30"/>
      <c r="E51" s="30"/>
      <c r="F51" s="30"/>
      <c r="G51" s="30"/>
      <c r="H51" s="30"/>
      <c r="I51" s="30"/>
      <c r="J51" s="30"/>
      <c r="K51" s="30"/>
      <c r="L51" s="30"/>
    </row>
    <row r="52" spans="2:12" ht="32" customHeight="1" x14ac:dyDescent="0.25">
      <c r="B52" s="53" t="s">
        <v>62</v>
      </c>
      <c r="C52" s="32" t="s">
        <v>121</v>
      </c>
      <c r="D52" s="32" t="s">
        <v>122</v>
      </c>
      <c r="E52" s="32" t="s">
        <v>73</v>
      </c>
      <c r="F52" s="32" t="s">
        <v>305</v>
      </c>
      <c r="G52" s="32" t="s">
        <v>127</v>
      </c>
      <c r="H52" s="32" t="s">
        <v>306</v>
      </c>
      <c r="I52" s="32" t="s">
        <v>307</v>
      </c>
      <c r="J52" s="32" t="s">
        <v>308</v>
      </c>
      <c r="K52" s="32" t="s">
        <v>309</v>
      </c>
      <c r="L52" s="32"/>
    </row>
    <row r="53" spans="2:12" ht="14" customHeight="1" x14ac:dyDescent="0.25">
      <c r="B53" s="31"/>
      <c r="C53" s="31" t="s">
        <v>132</v>
      </c>
      <c r="D53" s="31" t="s">
        <v>132</v>
      </c>
      <c r="E53" s="31" t="s">
        <v>73</v>
      </c>
      <c r="F53" s="31" t="s">
        <v>73</v>
      </c>
      <c r="G53" s="31" t="s">
        <v>310</v>
      </c>
      <c r="H53" s="31" t="s">
        <v>311</v>
      </c>
      <c r="I53" s="31" t="s">
        <v>73</v>
      </c>
      <c r="J53" s="31" t="s">
        <v>312</v>
      </c>
      <c r="K53" s="31"/>
      <c r="L53" s="31"/>
    </row>
    <row r="54" spans="2:12" x14ac:dyDescent="0.25">
      <c r="B54" s="54" t="str">
        <f>IFERROR(INDEX(tblSuppliers[Supplier],1)&amp;"","")</f>
        <v>Brightwater Foundry</v>
      </c>
      <c r="C54" s="37">
        <f>IF($B$54="","",SUMIFS(tblReceipts[Received],tblReceipts[Supplier],$B$54,tblReceipts[View date],"&gt;0"))</f>
        <v>5990</v>
      </c>
      <c r="D54" s="37">
        <f>IF($B$54="","",SUMIFS(tblReceipts[Rejected],tblReceipts[Supplier],$B$54,tblReceipts[View date],"&gt;0"))</f>
        <v>37</v>
      </c>
      <c r="E54" s="37">
        <f>IF($B$54="","",IF((SUMIFS(tblReceipts[Received],tblReceipts[Supplier],$B$54,tblReceipts[View date],"&gt;0"))=0,"",(SUMIFS(tblReceipts[Rejected],tblReceipts[Supplier],$B$54,tblReceipts[View date],"&gt;0")*1000000)/(SUMIFS(tblReceipts[Received],tblReceipts[Supplier],$B$54,tblReceipts[View date],"&gt;0"))))</f>
        <v>6176.96160267112</v>
      </c>
      <c r="F54" s="55">
        <f>IF($B$54="","",INDEX(tblSuppliers[PPM limit],MATCH($B$54,tblSuppliers[Supplier],0)))</f>
        <v>1500</v>
      </c>
      <c r="G54" s="56">
        <f>IF($B$54="","",IF(AND(ISNUMBER($E$54),N($F$54)&gt;0),$E$54/$F$54,""))</f>
        <v>4.11797440178075</v>
      </c>
      <c r="H54" s="37">
        <f>IF($B$54="","",INT(SUMIFS(tblReceipts[Received],tblReceipts[Supplier],$B$54,tblReceipts[View date],"&gt;0")*INDEX(tblSuppliers[PPM limit],MATCH($B$54,tblSuppliers[Supplier],0))/1000000))</f>
        <v>8</v>
      </c>
      <c r="I54" s="37">
        <f>IF($B$54="","",IF((SUMIFS(tblReceipts[Received],tblReceipts[Supplier],$B$54,tblReceipts[View date],"&gt;0",tblReceipts[View date],"&gt;="&amp;DATE(YEAR(MAX(tblReceipts[View date])),MONTH(MAX(tblReceipts[View date]))-2,1)))=0,"",(SUMIFS(tblReceipts[Rejected],tblReceipts[Supplier],$B$54,tblReceipts[View date],"&gt;0",tblReceipts[View date],"&gt;="&amp;DATE(YEAR(MAX(tblReceipts[View date])),MONTH(MAX(tblReceipts[View date]))-2,1))*1000000)/(SUMIFS(tblReceipts[Received],tblReceipts[Supplier],$B$54,tblReceipts[View date],"&gt;0",tblReceipts[View date],"&gt;="&amp;DATE(YEAR(MAX(tblReceipts[View date])),MONTH(MAX(tblReceipts[View date]))-2,1)))))</f>
        <v>3321.0332103321</v>
      </c>
      <c r="J54" s="56">
        <f>IF($B$54="","",IF((COUNTIFS(tblReceipts[Supplier],$B$54,tblReceipts[View date],"&gt;0"))=0,"",(COUNTIFS(tblReceipts[Rejected],0,tblReceipts[Supplier],$B$54,tblReceipts[View date],"&gt;0"))/(COUNTIFS(tblReceipts[Supplier],$B$54,tblReceipts[View date],"&gt;0"))))</f>
        <v>0.6</v>
      </c>
      <c r="K54" s="39" t="str">
        <f>IF($B$54="","",IF(NOT(ISNUMBER($E$54)),"",IF($E$54&lt;=$F$54,"On target",IF($E$54&lt;=$F$54*1.05,"Near target","Above target"))))</f>
        <v>Above target</v>
      </c>
      <c r="L54" s="39"/>
    </row>
    <row r="55" spans="2:12" x14ac:dyDescent="0.25">
      <c r="B55" s="54" t="str">
        <f>IFERROR(INDEX(tblSuppliers[Supplier],2)&amp;"","")</f>
        <v>Kessler Precision</v>
      </c>
      <c r="C55" s="37">
        <f>IF($B$55="","",SUMIFS(tblReceipts[Received],tblReceipts[Supplier],$B$55,tblReceipts[View date],"&gt;0"))</f>
        <v>8860</v>
      </c>
      <c r="D55" s="37">
        <f>IF($B$55="","",SUMIFS(tblReceipts[Rejected],tblReceipts[Supplier],$B$55,tblReceipts[View date],"&gt;0"))</f>
        <v>0</v>
      </c>
      <c r="E55" s="37">
        <f>IF($B$55="","",IF((SUMIFS(tblReceipts[Received],tblReceipts[Supplier],$B$55,tblReceipts[View date],"&gt;0"))=0,"",(SUMIFS(tblReceipts[Rejected],tblReceipts[Supplier],$B$55,tblReceipts[View date],"&gt;0")*1000000)/(SUMIFS(tblReceipts[Received],tblReceipts[Supplier],$B$55,tblReceipts[View date],"&gt;0"))))</f>
        <v>0</v>
      </c>
      <c r="F55" s="55">
        <f>IF($B$55="","",INDEX(tblSuppliers[PPM limit],MATCH($B$55,tblSuppliers[Supplier],0)))</f>
        <v>500</v>
      </c>
      <c r="G55" s="56">
        <f>IF($B$55="","",IF(AND(ISNUMBER($E$55),N($F$55)&gt;0),$E$55/$F$55,""))</f>
        <v>0</v>
      </c>
      <c r="H55" s="37">
        <f>IF($B$55="","",INT(SUMIFS(tblReceipts[Received],tblReceipts[Supplier],$B$55,tblReceipts[View date],"&gt;0")*INDEX(tblSuppliers[PPM limit],MATCH($B$55,tblSuppliers[Supplier],0))/1000000))</f>
        <v>4</v>
      </c>
      <c r="I55" s="37">
        <f>IF($B$55="","",IF((SUMIFS(tblReceipts[Received],tblReceipts[Supplier],$B$55,tblReceipts[View date],"&gt;0",tblReceipts[View date],"&gt;="&amp;DATE(YEAR(MAX(tblReceipts[View date])),MONTH(MAX(tblReceipts[View date]))-2,1)))=0,"",(SUMIFS(tblReceipts[Rejected],tblReceipts[Supplier],$B$55,tblReceipts[View date],"&gt;0",tblReceipts[View date],"&gt;="&amp;DATE(YEAR(MAX(tblReceipts[View date])),MONTH(MAX(tblReceipts[View date]))-2,1))*1000000)/(SUMIFS(tblReceipts[Received],tblReceipts[Supplier],$B$55,tblReceipts[View date],"&gt;0",tblReceipts[View date],"&gt;="&amp;DATE(YEAR(MAX(tblReceipts[View date])),MONTH(MAX(tblReceipts[View date]))-2,1)))))</f>
        <v>0</v>
      </c>
      <c r="J55" s="56">
        <f>IF($B$55="","",IF((COUNTIFS(tblReceipts[Supplier],$B$55,tblReceipts[View date],"&gt;0"))=0,"",(COUNTIFS(tblReceipts[Rejected],0,tblReceipts[Supplier],$B$55,tblReceipts[View date],"&gt;0"))/(COUNTIFS(tblReceipts[Supplier],$B$55,tblReceipts[View date],"&gt;0"))))</f>
        <v>1</v>
      </c>
      <c r="K55" s="39" t="str">
        <f>IF($B$55="","",IF(NOT(ISNUMBER($E$55)),"",IF($E$55&lt;=$F$55,"On target",IF($E$55&lt;=$F$55*1.05,"Near target","Above target"))))</f>
        <v>On target</v>
      </c>
      <c r="L55" s="39"/>
    </row>
    <row r="56" spans="2:12" x14ac:dyDescent="0.25">
      <c r="B56" s="54" t="str">
        <f>IFERROR(INDEX(tblSuppliers[Supplier],3)&amp;"","")</f>
        <v>Northgate Fasteners</v>
      </c>
      <c r="C56" s="37">
        <f>IF($B$56="","",SUMIFS(tblReceipts[Received],tblReceipts[Supplier],$B$56,tblReceipts[View date],"&gt;0"))</f>
        <v>242000</v>
      </c>
      <c r="D56" s="37">
        <f>IF($B$56="","",SUMIFS(tblReceipts[Rejected],tblReceipts[Supplier],$B$56,tblReceipts[View date],"&gt;0"))</f>
        <v>48</v>
      </c>
      <c r="E56" s="37">
        <f>IF($B$56="","",IF((SUMIFS(tblReceipts[Received],tblReceipts[Supplier],$B$56,tblReceipts[View date],"&gt;0"))=0,"",(SUMIFS(tblReceipts[Rejected],tblReceipts[Supplier],$B$56,tblReceipts[View date],"&gt;0")*1000000)/(SUMIFS(tblReceipts[Received],tblReceipts[Supplier],$B$56,tblReceipts[View date],"&gt;0"))))</f>
        <v>198.347107438017</v>
      </c>
      <c r="F56" s="55">
        <f>IF($B$56="","",INDEX(tblSuppliers[PPM limit],MATCH($B$56,tblSuppliers[Supplier],0)))</f>
        <v>100</v>
      </c>
      <c r="G56" s="56">
        <f>IF($B$56="","",IF(AND(ISNUMBER($E$56),N($F$56)&gt;0),$E$56/$F$56,""))</f>
        <v>1.98347107438017</v>
      </c>
      <c r="H56" s="37">
        <f>IF($B$56="","",INT(SUMIFS(tblReceipts[Received],tblReceipts[Supplier],$B$56,tblReceipts[View date],"&gt;0")*INDEX(tblSuppliers[PPM limit],MATCH($B$56,tblSuppliers[Supplier],0))/1000000))</f>
        <v>24</v>
      </c>
      <c r="I56" s="37">
        <f>IF($B$56="","",IF((SUMIFS(tblReceipts[Received],tblReceipts[Supplier],$B$56,tblReceipts[View date],"&gt;0",tblReceipts[View date],"&gt;="&amp;DATE(YEAR(MAX(tblReceipts[View date])),MONTH(MAX(tblReceipts[View date]))-2,1)))=0,"",(SUMIFS(tblReceipts[Rejected],tblReceipts[Supplier],$B$56,tblReceipts[View date],"&gt;0",tblReceipts[View date],"&gt;="&amp;DATE(YEAR(MAX(tblReceipts[View date])),MONTH(MAX(tblReceipts[View date]))-2,1))*1000000)/(SUMIFS(tblReceipts[Received],tblReceipts[Supplier],$B$56,tblReceipts[View date],"&gt;0",tblReceipts[View date],"&gt;="&amp;DATE(YEAR(MAX(tblReceipts[View date])),MONTH(MAX(tblReceipts[View date]))-2,1)))))</f>
        <v>377.19298245614</v>
      </c>
      <c r="J56" s="56">
        <f>IF($B$56="","",IF((COUNTIFS(tblReceipts[Supplier],$B$56,tblReceipts[View date],"&gt;0"))=0,"",(COUNTIFS(tblReceipts[Rejected],0,tblReceipts[Supplier],$B$56,tblReceipts[View date],"&gt;0"))/(COUNTIFS(tblReceipts[Supplier],$B$56,tblReceipts[View date],"&gt;0"))))</f>
        <v>0.384615384615385</v>
      </c>
      <c r="K56" s="39" t="str">
        <f>IF($B$56="","",IF(NOT(ISNUMBER($E$56)),"",IF($E$56&lt;=$F$56,"On target",IF($E$56&lt;=$F$56*1.05,"Near target","Above target"))))</f>
        <v>Above target</v>
      </c>
      <c r="L56" s="39"/>
    </row>
    <row r="57" spans="2:12" x14ac:dyDescent="0.25">
      <c r="B57" s="54" t="str">
        <f>IFERROR(INDEX(tblSuppliers[Supplier],4)&amp;"","")</f>
        <v>Sealtek Elastomers</v>
      </c>
      <c r="C57" s="37">
        <f>IF($B$57="","",SUMIFS(tblReceipts[Received],tblReceipts[Supplier],$B$57,tblReceipts[View date],"&gt;0"))</f>
        <v>66500</v>
      </c>
      <c r="D57" s="37">
        <f>IF($B$57="","",SUMIFS(tblReceipts[Rejected],tblReceipts[Supplier],$B$57,tblReceipts[View date],"&gt;0"))</f>
        <v>14</v>
      </c>
      <c r="E57" s="37">
        <f>IF($B$57="","",IF((SUMIFS(tblReceipts[Received],tblReceipts[Supplier],$B$57,tblReceipts[View date],"&gt;0"))=0,"",(SUMIFS(tblReceipts[Rejected],tblReceipts[Supplier],$B$57,tblReceipts[View date],"&gt;0")*1000000)/(SUMIFS(tblReceipts[Received],tblReceipts[Supplier],$B$57,tblReceipts[View date],"&gt;0"))))</f>
        <v>210.526315789474</v>
      </c>
      <c r="F57" s="55">
        <f>IF($B$57="","",INDEX(tblSuppliers[PPM limit],MATCH($B$57,tblSuppliers[Supplier],0)))</f>
        <v>250</v>
      </c>
      <c r="G57" s="56">
        <f>IF($B$57="","",IF(AND(ISNUMBER($E$57),N($F$57)&gt;0),$E$57/$F$57,""))</f>
        <v>0.842105263157895</v>
      </c>
      <c r="H57" s="37">
        <f>IF($B$57="","",INT(SUMIFS(tblReceipts[Received],tblReceipts[Supplier],$B$57,tblReceipts[View date],"&gt;0")*INDEX(tblSuppliers[PPM limit],MATCH($B$57,tblSuppliers[Supplier],0))/1000000))</f>
        <v>16</v>
      </c>
      <c r="I57" s="37">
        <f>IF($B$57="","",IF((SUMIFS(tblReceipts[Received],tblReceipts[Supplier],$B$57,tblReceipts[View date],"&gt;0",tblReceipts[View date],"&gt;="&amp;DATE(YEAR(MAX(tblReceipts[View date])),MONTH(MAX(tblReceipts[View date]))-2,1)))=0,"",(SUMIFS(tblReceipts[Rejected],tblReceipts[Supplier],$B$57,tblReceipts[View date],"&gt;0",tblReceipts[View date],"&gt;="&amp;DATE(YEAR(MAX(tblReceipts[View date])),MONTH(MAX(tblReceipts[View date]))-2,1))*1000000)/(SUMIFS(tblReceipts[Received],tblReceipts[Supplier],$B$57,tblReceipts[View date],"&gt;0",tblReceipts[View date],"&gt;="&amp;DATE(YEAR(MAX(tblReceipts[View date])),MONTH(MAX(tblReceipts[View date]))-2,1)))))</f>
        <v>238.805970149254</v>
      </c>
      <c r="J57" s="56">
        <f>IF($B$57="","",IF((COUNTIFS(tblReceipts[Supplier],$B$57,tblReceipts[View date],"&gt;0"))=0,"",(COUNTIFS(tblReceipts[Rejected],0,tblReceipts[Supplier],$B$57,tblReceipts[View date],"&gt;0"))/(COUNTIFS(tblReceipts[Supplier],$B$57,tblReceipts[View date],"&gt;0"))))</f>
        <v>0.538461538461538</v>
      </c>
      <c r="K57" s="39" t="str">
        <f>IF($B$57="","",IF(NOT(ISNUMBER($E$57)),"",IF($E$57&lt;=$F$57,"On target",IF($E$57&lt;=$F$57*1.05,"Near target","Above target"))))</f>
        <v>On target</v>
      </c>
      <c r="L57" s="39"/>
    </row>
    <row r="58" spans="2:12" x14ac:dyDescent="0.25">
      <c r="B58" s="54" t="str">
        <f>IFERROR(INDEX(tblSuppliers[Supplier],5)&amp;"","")</f>
        <v>Ardent Motors</v>
      </c>
      <c r="C58" s="37">
        <f>IF($B$58="","",SUMIFS(tblReceipts[Received],tblReceipts[Supplier],$B$58,tblReceipts[View date],"&gt;0"))</f>
        <v>1272</v>
      </c>
      <c r="D58" s="37">
        <f>IF($B$58="","",SUMIFS(tblReceipts[Rejected],tblReceipts[Supplier],$B$58,tblReceipts[View date],"&gt;0"))</f>
        <v>2</v>
      </c>
      <c r="E58" s="37">
        <f>IF($B$58="","",IF((SUMIFS(tblReceipts[Received],tblReceipts[Supplier],$B$58,tblReceipts[View date],"&gt;0"))=0,"",(SUMIFS(tblReceipts[Rejected],tblReceipts[Supplier],$B$58,tblReceipts[View date],"&gt;0")*1000000)/(SUMIFS(tblReceipts[Received],tblReceipts[Supplier],$B$58,tblReceipts[View date],"&gt;0"))))</f>
        <v>1572.32704402516</v>
      </c>
      <c r="F58" s="55">
        <f>IF($B$58="","",INDEX(tblSuppliers[PPM limit],MATCH($B$58,tblSuppliers[Supplier],0)))</f>
        <v>3000</v>
      </c>
      <c r="G58" s="56">
        <f>IF($B$58="","",IF(AND(ISNUMBER($E$58),N($F$58)&gt;0),$E$58/$F$58,""))</f>
        <v>0.524109014675052</v>
      </c>
      <c r="H58" s="37">
        <f>IF($B$58="","",INT(SUMIFS(tblReceipts[Received],tblReceipts[Supplier],$B$58,tblReceipts[View date],"&gt;0")*INDEX(tblSuppliers[PPM limit],MATCH($B$58,tblSuppliers[Supplier],0))/1000000))</f>
        <v>3</v>
      </c>
      <c r="I58" s="37">
        <f>IF($B$58="","",IF((SUMIFS(tblReceipts[Received],tblReceipts[Supplier],$B$58,tblReceipts[View date],"&gt;0",tblReceipts[View date],"&gt;="&amp;DATE(YEAR(MAX(tblReceipts[View date])),MONTH(MAX(tblReceipts[View date]))-2,1)))=0,"",(SUMIFS(tblReceipts[Rejected],tblReceipts[Supplier],$B$58,tblReceipts[View date],"&gt;0",tblReceipts[View date],"&gt;="&amp;DATE(YEAR(MAX(tblReceipts[View date])),MONTH(MAX(tblReceipts[View date]))-2,1))*1000000)/(SUMIFS(tblReceipts[Received],tblReceipts[Supplier],$B$58,tblReceipts[View date],"&gt;0",tblReceipts[View date],"&gt;="&amp;DATE(YEAR(MAX(tblReceipts[View date])),MONTH(MAX(tblReceipts[View date]))-2,1)))))</f>
        <v>0</v>
      </c>
      <c r="J58" s="56">
        <f>IF($B$58="","",IF((COUNTIFS(tblReceipts[Supplier],$B$58,tblReceipts[View date],"&gt;0"))=0,"",(COUNTIFS(tblReceipts[Rejected],0,tblReceipts[Supplier],$B$58,tblReceipts[View date],"&gt;0"))/(COUNTIFS(tblReceipts[Supplier],$B$58,tblReceipts[View date],"&gt;0"))))</f>
        <v>0.92</v>
      </c>
      <c r="K58" s="39" t="str">
        <f>IF($B$58="","",IF(NOT(ISNUMBER($E$58)),"",IF($E$58&lt;=$F$58,"On target",IF($E$58&lt;=$F$58*1.05,"Near target","Above target"))))</f>
        <v>On target</v>
      </c>
      <c r="L58" s="39"/>
    </row>
    <row r="59" spans="2:12" x14ac:dyDescent="0.25">
      <c r="B59" s="54" t="str">
        <f>IFERROR(INDEX(tblSuppliers[Supplier],6)&amp;"","")</f>
        <v>Velo Controls</v>
      </c>
      <c r="C59" s="37">
        <f>IF($B$59="","",SUMIFS(tblReceipts[Received],tblReceipts[Supplier],$B$59,tblReceipts[View date],"&gt;0"))</f>
        <v>7200</v>
      </c>
      <c r="D59" s="37">
        <f>IF($B$59="","",SUMIFS(tblReceipts[Rejected],tblReceipts[Supplier],$B$59,tblReceipts[View date],"&gt;0"))</f>
        <v>1</v>
      </c>
      <c r="E59" s="37">
        <f>IF($B$59="","",IF((SUMIFS(tblReceipts[Received],tblReceipts[Supplier],$B$59,tblReceipts[View date],"&gt;0"))=0,"",(SUMIFS(tblReceipts[Rejected],tblReceipts[Supplier],$B$59,tblReceipts[View date],"&gt;0")*1000000)/(SUMIFS(tblReceipts[Received],tblReceipts[Supplier],$B$59,tblReceipts[View date],"&gt;0"))))</f>
        <v>138.888888888889</v>
      </c>
      <c r="F59" s="55">
        <f>IF($B$59="","",INDEX(tblSuppliers[PPM limit],MATCH($B$59,tblSuppliers[Supplier],0)))</f>
        <v>300</v>
      </c>
      <c r="G59" s="56">
        <f>IF($B$59="","",IF(AND(ISNUMBER($E$59),N($F$59)&gt;0),$E$59/$F$59,""))</f>
        <v>0.462962962962963</v>
      </c>
      <c r="H59" s="37">
        <f>IF($B$59="","",INT(SUMIFS(tblReceipts[Received],tblReceipts[Supplier],$B$59,tblReceipts[View date],"&gt;0")*INDEX(tblSuppliers[PPM limit],MATCH($B$59,tblSuppliers[Supplier],0))/1000000))</f>
        <v>2</v>
      </c>
      <c r="I59" s="37">
        <f>IF($B$59="","",IF((SUMIFS(tblReceipts[Received],tblReceipts[Supplier],$B$59,tblReceipts[View date],"&gt;0",tblReceipts[View date],"&gt;="&amp;DATE(YEAR(MAX(tblReceipts[View date])),MONTH(MAX(tblReceipts[View date]))-2,1)))=0,"",(SUMIFS(tblReceipts[Rejected],tblReceipts[Supplier],$B$59,tblReceipts[View date],"&gt;0",tblReceipts[View date],"&gt;="&amp;DATE(YEAR(MAX(tblReceipts[View date])),MONTH(MAX(tblReceipts[View date]))-2,1))*1000000)/(SUMIFS(tblReceipts[Received],tblReceipts[Supplier],$B$59,tblReceipts[View date],"&gt;0",tblReceipts[View date],"&gt;="&amp;DATE(YEAR(MAX(tblReceipts[View date])),MONTH(MAX(tblReceipts[View date]))-2,1)))))</f>
        <v>263.157894736842</v>
      </c>
      <c r="J59" s="56">
        <f>IF($B$59="","",IF((COUNTIFS(tblReceipts[Supplier],$B$59,tblReceipts[View date],"&gt;0"))=0,"",(COUNTIFS(tblReceipts[Rejected],0,tblReceipts[Supplier],$B$59,tblReceipts[View date],"&gt;0"))/(COUNTIFS(tblReceipts[Supplier],$B$59,tblReceipts[View date],"&gt;0"))))</f>
        <v>0.923076923076923</v>
      </c>
      <c r="K59" s="39" t="str">
        <f>IF($B$59="","",IF(NOT(ISNUMBER($E$59)),"",IF($E$59&lt;=$F$59,"On target",IF($E$59&lt;=$F$59*1.05,"Near target","Above target"))))</f>
        <v>On target</v>
      </c>
      <c r="L59" s="39"/>
    </row>
    <row r="61" spans="2:12" x14ac:dyDescent="0.25">
      <c r="B61" s="30" t="s">
        <v>313</v>
      </c>
      <c r="C61" s="30"/>
      <c r="D61" s="30"/>
      <c r="E61" s="30"/>
      <c r="F61" s="30"/>
      <c r="G61" s="30"/>
      <c r="H61" s="30"/>
      <c r="I61" s="30"/>
      <c r="J61" s="30"/>
      <c r="K61" s="30"/>
      <c r="L61" s="30"/>
    </row>
    <row r="62" spans="2:12" ht="32" customHeight="1" x14ac:dyDescent="0.25">
      <c r="B62" s="53" t="s">
        <v>314</v>
      </c>
      <c r="C62" s="32" t="s">
        <v>315</v>
      </c>
      <c r="D62" s="32" t="s">
        <v>308</v>
      </c>
      <c r="E62" s="32" t="s">
        <v>121</v>
      </c>
      <c r="F62" s="32" t="s">
        <v>122</v>
      </c>
      <c r="G62" s="32" t="s">
        <v>125</v>
      </c>
      <c r="H62" s="32" t="s">
        <v>316</v>
      </c>
      <c r="I62" s="32" t="s">
        <v>317</v>
      </c>
      <c r="J62" s="32" t="s">
        <v>318</v>
      </c>
      <c r="K62" s="32" t="s">
        <v>309</v>
      </c>
      <c r="L62" s="32"/>
    </row>
    <row r="63" spans="2:12" ht="14" customHeight="1" x14ac:dyDescent="0.25">
      <c r="B63" s="31"/>
      <c r="C63" s="31" t="s">
        <v>319</v>
      </c>
      <c r="D63" s="31" t="s">
        <v>312</v>
      </c>
      <c r="E63" s="31" t="s">
        <v>132</v>
      </c>
      <c r="F63" s="31" t="s">
        <v>132</v>
      </c>
      <c r="G63" s="31" t="s">
        <v>320</v>
      </c>
      <c r="H63" s="31" t="s">
        <v>73</v>
      </c>
      <c r="I63" s="31" t="s">
        <v>73</v>
      </c>
      <c r="J63" s="31" t="s">
        <v>73</v>
      </c>
      <c r="K63" s="31"/>
      <c r="L63" s="31"/>
    </row>
    <row r="64" spans="2:12" x14ac:dyDescent="0.25">
      <c r="B64" s="57">
        <f>IF($B$65="","",IF(MIN(tblReceipts[View date])&gt;=$B$65,"",DATE(YEAR($B$65),MONTH($B$65)-1,1)))</f>
        <v>46113</v>
      </c>
      <c r="C64" s="37">
        <f>IF($B$64="","",COUNTIFS(tblReceipts[View date],"&gt;="&amp;$B$64,tblReceipts[View date],"&lt;"&amp;DATE(YEAR($B$64),MONTH($B$64)+1,1)))</f>
        <v>17</v>
      </c>
      <c r="D64" s="58">
        <f>IF($B$64="","",IF((COUNTIFS(tblReceipts[View date],"&gt;="&amp;$B$64,tblReceipts[View date],"&lt;"&amp;DATE(YEAR($B$64),MONTH($B$64)+1,1)))=0,"",(COUNTIFS(tblReceipts[Rejected],0,tblReceipts[View date],"&gt;="&amp;$B$64,tblReceipts[View date],"&lt;"&amp;DATE(YEAR($B$64),MONTH($B$64)+1,1)))/(COUNTIFS(tblReceipts[View date],"&gt;="&amp;$B$64,tblReceipts[View date],"&lt;"&amp;DATE(YEAR($B$64),MONTH($B$64)+1,1)))))</f>
        <v>0.764705882352941</v>
      </c>
      <c r="E64" s="37">
        <f>IF($B$64="","",SUMIFS(tblReceipts[Received],tblReceipts[View date],"&gt;="&amp;$B$64,tblReceipts[View date],"&lt;"&amp;DATE(YEAR($B$64),MONTH($B$64)+1,1)))</f>
        <v>48618</v>
      </c>
      <c r="F64" s="37">
        <f>IF($B$64="","",SUMIFS(tblReceipts[Rejected],tblReceipts[View date],"&gt;="&amp;$B$64,tblReceipts[View date],"&lt;"&amp;DATE(YEAR($B$64),MONTH($B$64)+1,1)))</f>
        <v>6</v>
      </c>
      <c r="G64" s="36">
        <f>IF($B$64="","",IF((SUMIFS(tblReceipts[Received],tblReceipts[View date],"&gt;="&amp;$B$64,tblReceipts[View date],"&lt;"&amp;DATE(YEAR($B$64),MONTH($B$64)+1,1)))=0,"",(SUMIFS(tblReceipts[Rejected],tblReceipts[View date],"&gt;="&amp;$B$64,tblReceipts[View date],"&lt;"&amp;DATE(YEAR($B$64),MONTH($B$64)+1,1)))/(SUMIFS(tblReceipts[Received],tblReceipts[View date],"&gt;="&amp;$B$64,tblReceipts[View date],"&lt;"&amp;DATE(YEAR($B$64),MONTH($B$64)+1,1)))))</f>
        <v>0.000123411082315192</v>
      </c>
      <c r="H64" s="37">
        <f>IF($B$64="","",IF((SUMIFS(tblReceipts[Received],tblReceipts[View date],"&gt;="&amp;$B$64,tblReceipts[View date],"&lt;"&amp;DATE(YEAR($B$64),MONTH($B$64)+1,1)))=0,"",(SUMIFS(tblReceipts[Rejected],tblReceipts[View date],"&gt;="&amp;$B$64,tblReceipts[View date],"&lt;"&amp;DATE(YEAR($B$64),MONTH($B$64)+1,1))*1000000)/(SUMIFS(tblReceipts[Received],tblReceipts[View date],"&gt;="&amp;$B$64,tblReceipts[View date],"&lt;"&amp;DATE(YEAR($B$64),MONTH($B$64)+1,1)))))</f>
        <v>123.411082315192</v>
      </c>
      <c r="I64" s="55">
        <f>TargetPPM</f>
        <v>500</v>
      </c>
      <c r="J64" s="38">
        <f>IF($B$64="","",IF(OR(1=1,NOT(ISNUMBER($H$64))),"",IF(NOT(ISNUMBER(INDEX($H$64:$H$69,1-1))),"",$H$64-INDEX($H$64:$H$69,1-1))))</f>
        <v/>
      </c>
      <c r="K64" s="39" t="str">
        <f>IF($B$64="","",IF(NOT(ISNUMBER($H$64)),"",IF($H$64&lt;=TargetPPM,"On target",IF($H$64&lt;=TargetPPM*1.05,"Near target","Above target"))))</f>
        <v>On target</v>
      </c>
      <c r="L64" s="39"/>
    </row>
    <row r="65" spans="2:12" x14ac:dyDescent="0.25">
      <c r="B65" s="57">
        <f>IF($B$66="","",IF(MIN(tblReceipts[View date])&gt;=$B$66,"",DATE(YEAR($B$66),MONTH($B$66)-1,1)))</f>
        <v>46143</v>
      </c>
      <c r="C65" s="37">
        <f>IF($B$65="","",COUNTIFS(tblReceipts[View date],"&gt;="&amp;$B$65,tblReceipts[View date],"&lt;"&amp;DATE(YEAR($B$65),MONTH($B$65)+1,1)))</f>
        <v>19</v>
      </c>
      <c r="D65" s="58">
        <f>IF($B$65="","",IF((COUNTIFS(tblReceipts[View date],"&gt;="&amp;$B$65,tblReceipts[View date],"&lt;"&amp;DATE(YEAR($B$65),MONTH($B$65)+1,1)))=0,"",(COUNTIFS(tblReceipts[Rejected],0,tblReceipts[View date],"&gt;="&amp;$B$65,tblReceipts[View date],"&lt;"&amp;DATE(YEAR($B$65),MONTH($B$65)+1,1)))/(COUNTIFS(tblReceipts[View date],"&gt;="&amp;$B$65,tblReceipts[View date],"&lt;"&amp;DATE(YEAR($B$65),MONTH($B$65)+1,1)))))</f>
        <v>0.894736842105263</v>
      </c>
      <c r="E65" s="37">
        <f>IF($B$65="","",SUMIFS(tblReceipts[Received],tblReceipts[View date],"&gt;="&amp;$B$65,tblReceipts[View date],"&lt;"&amp;DATE(YEAR($B$65),MONTH($B$65)+1,1)))</f>
        <v>46128</v>
      </c>
      <c r="F65" s="37">
        <f>IF($B$65="","",SUMIFS(tblReceipts[Rejected],tblReceipts[View date],"&gt;="&amp;$B$65,tblReceipts[View date],"&lt;"&amp;DATE(YEAR($B$65),MONTH($B$65)+1,1)))</f>
        <v>2</v>
      </c>
      <c r="G65" s="36">
        <f>IF($B$65="","",IF((SUMIFS(tblReceipts[Received],tblReceipts[View date],"&gt;="&amp;$B$65,tblReceipts[View date],"&lt;"&amp;DATE(YEAR($B$65),MONTH($B$65)+1,1)))=0,"",(SUMIFS(tblReceipts[Rejected],tblReceipts[View date],"&gt;="&amp;$B$65,tblReceipts[View date],"&lt;"&amp;DATE(YEAR($B$65),MONTH($B$65)+1,1)))/(SUMIFS(tblReceipts[Received],tblReceipts[View date],"&gt;="&amp;$B$65,tblReceipts[View date],"&lt;"&amp;DATE(YEAR($B$65),MONTH($B$65)+1,1)))))</f>
        <v>4.33576135969476e-05</v>
      </c>
      <c r="H65" s="37">
        <f>IF($B$65="","",IF((SUMIFS(tblReceipts[Received],tblReceipts[View date],"&gt;="&amp;$B$65,tblReceipts[View date],"&lt;"&amp;DATE(YEAR($B$65),MONTH($B$65)+1,1)))=0,"",(SUMIFS(tblReceipts[Rejected],tblReceipts[View date],"&gt;="&amp;$B$65,tblReceipts[View date],"&lt;"&amp;DATE(YEAR($B$65),MONTH($B$65)+1,1))*1000000)/(SUMIFS(tblReceipts[Received],tblReceipts[View date],"&gt;="&amp;$B$65,tblReceipts[View date],"&lt;"&amp;DATE(YEAR($B$65),MONTH($B$65)+1,1)))))</f>
        <v>43.3576135969476</v>
      </c>
      <c r="I65" s="55">
        <f>TargetPPM</f>
        <v>500</v>
      </c>
      <c r="J65" s="38">
        <f>IF($B$65="","",IF(OR(2=1,NOT(ISNUMBER($H$65))),"",IF(NOT(ISNUMBER(INDEX($H$64:$H$69,2-1))),"",$H$65-INDEX($H$64:$H$69,2-1))))</f>
        <v>-80.0534687182443</v>
      </c>
      <c r="K65" s="39" t="str">
        <f>IF($B$65="","",IF(NOT(ISNUMBER($H$65)),"",IF($H$65&lt;=TargetPPM,"On target",IF($H$65&lt;=TargetPPM*1.05,"Near target","Above target"))))</f>
        <v>On target</v>
      </c>
      <c r="L65" s="39"/>
    </row>
    <row r="66" spans="2:12" x14ac:dyDescent="0.25">
      <c r="B66" s="57">
        <f>IF($B$67="","",IF(MIN(tblReceipts[View date])&gt;=$B$67,"",DATE(YEAR($B$67),MONTH($B$67)-1,1)))</f>
        <v>46174</v>
      </c>
      <c r="C66" s="37">
        <f>IF($B$66="","",COUNTIFS(tblReceipts[View date],"&gt;="&amp;$B$66,tblReceipts[View date],"&lt;"&amp;DATE(YEAR($B$66),MONTH($B$66)+1,1)))</f>
        <v>20</v>
      </c>
      <c r="D66" s="58">
        <f>IF($B$66="","",IF((COUNTIFS(tblReceipts[View date],"&gt;="&amp;$B$66,tblReceipts[View date],"&lt;"&amp;DATE(YEAR($B$66),MONTH($B$66)+1,1)))=0,"",(COUNTIFS(tblReceipts[Rejected],0,tblReceipts[View date],"&gt;="&amp;$B$66,tblReceipts[View date],"&lt;"&amp;DATE(YEAR($B$66),MONTH($B$66)+1,1)))/(COUNTIFS(tblReceipts[View date],"&gt;="&amp;$B$66,tblReceipts[View date],"&lt;"&amp;DATE(YEAR($B$66),MONTH($B$66)+1,1)))))</f>
        <v>0.5</v>
      </c>
      <c r="E66" s="37">
        <f>IF($B$66="","",SUMIFS(tblReceipts[Received],tblReceipts[View date],"&gt;="&amp;$B$66,tblReceipts[View date],"&lt;"&amp;DATE(YEAR($B$66),MONTH($B$66)+1,1)))</f>
        <v>78056</v>
      </c>
      <c r="F66" s="37">
        <f>IF($B$66="","",SUMIFS(tblReceipts[Rejected],tblReceipts[View date],"&gt;="&amp;$B$66,tblReceipts[View date],"&lt;"&amp;DATE(YEAR($B$66),MONTH($B$66)+1,1)))</f>
        <v>33</v>
      </c>
      <c r="G66" s="36">
        <f>IF($B$66="","",IF((SUMIFS(tblReceipts[Received],tblReceipts[View date],"&gt;="&amp;$B$66,tblReceipts[View date],"&lt;"&amp;DATE(YEAR($B$66),MONTH($B$66)+1,1)))=0,"",(SUMIFS(tblReceipts[Rejected],tblReceipts[View date],"&gt;="&amp;$B$66,tblReceipts[View date],"&lt;"&amp;DATE(YEAR($B$66),MONTH($B$66)+1,1)))/(SUMIFS(tblReceipts[Received],tblReceipts[View date],"&gt;="&amp;$B$66,tblReceipts[View date],"&lt;"&amp;DATE(YEAR($B$66),MONTH($B$66)+1,1)))))</f>
        <v>0.000422773393461105</v>
      </c>
      <c r="H66" s="37">
        <f>IF($B$66="","",IF((SUMIFS(tblReceipts[Received],tblReceipts[View date],"&gt;="&amp;$B$66,tblReceipts[View date],"&lt;"&amp;DATE(YEAR($B$66),MONTH($B$66)+1,1)))=0,"",(SUMIFS(tblReceipts[Rejected],tblReceipts[View date],"&gt;="&amp;$B$66,tblReceipts[View date],"&lt;"&amp;DATE(YEAR($B$66),MONTH($B$66)+1,1))*1000000)/(SUMIFS(tblReceipts[Received],tblReceipts[View date],"&gt;="&amp;$B$66,tblReceipts[View date],"&lt;"&amp;DATE(YEAR($B$66),MONTH($B$66)+1,1)))))</f>
        <v>422.773393461105</v>
      </c>
      <c r="I66" s="55">
        <f>TargetPPM</f>
        <v>500</v>
      </c>
      <c r="J66" s="38">
        <f>IF($B$66="","",IF(OR(3=1,NOT(ISNUMBER($H$66))),"",IF(NOT(ISNUMBER(INDEX($H$64:$H$69,3-1))),"",$H$66-INDEX($H$64:$H$69,3-1))))</f>
        <v>379.415779864157</v>
      </c>
      <c r="K66" s="39" t="str">
        <f>IF($B$66="","",IF(NOT(ISNUMBER($H$66)),"",IF($H$66&lt;=TargetPPM,"On target",IF($H$66&lt;=TargetPPM*1.05,"Near target","Above target"))))</f>
        <v>On target</v>
      </c>
      <c r="L66" s="39"/>
    </row>
    <row r="67" spans="2:12" x14ac:dyDescent="0.25">
      <c r="B67" s="57">
        <f>IF($B$68="","",IF(MIN(tblReceipts[View date])&gt;=$B$68,"",DATE(YEAR($B$68),MONTH($B$68)-1,1)))</f>
        <v>46204</v>
      </c>
      <c r="C67" s="37">
        <f>IF($B$67="","",COUNTIFS(tblReceipts[View date],"&gt;="&amp;$B$67,tblReceipts[View date],"&lt;"&amp;DATE(YEAR($B$67),MONTH($B$67)+1,1)))</f>
        <v>22</v>
      </c>
      <c r="D67" s="58">
        <f>IF($B$67="","",IF((COUNTIFS(tblReceipts[View date],"&gt;="&amp;$B$67,tblReceipts[View date],"&lt;"&amp;DATE(YEAR($B$67),MONTH($B$67)+1,1)))=0,"",(COUNTIFS(tblReceipts[Rejected],0,tblReceipts[View date],"&gt;="&amp;$B$67,tblReceipts[View date],"&lt;"&amp;DATE(YEAR($B$67),MONTH($B$67)+1,1)))/(COUNTIFS(tblReceipts[View date],"&gt;="&amp;$B$67,tblReceipts[View date],"&lt;"&amp;DATE(YEAR($B$67),MONTH($B$67)+1,1)))))</f>
        <v>0.772727272727273</v>
      </c>
      <c r="E67" s="37">
        <f>IF($B$67="","",SUMIFS(tblReceipts[Received],tblReceipts[View date],"&gt;="&amp;$B$67,tblReceipts[View date],"&lt;"&amp;DATE(YEAR($B$67),MONTH($B$67)+1,1)))</f>
        <v>54856</v>
      </c>
      <c r="F67" s="37">
        <f>IF($B$67="","",SUMIFS(tblReceipts[Rejected],tblReceipts[View date],"&gt;="&amp;$B$67,tblReceipts[View date],"&lt;"&amp;DATE(YEAR($B$67),MONTH($B$67)+1,1)))</f>
        <v>14</v>
      </c>
      <c r="G67" s="36">
        <f>IF($B$67="","",IF((SUMIFS(tblReceipts[Received],tblReceipts[View date],"&gt;="&amp;$B$67,tblReceipts[View date],"&lt;"&amp;DATE(YEAR($B$67),MONTH($B$67)+1,1)))=0,"",(SUMIFS(tblReceipts[Rejected],tblReceipts[View date],"&gt;="&amp;$B$67,tblReceipts[View date],"&lt;"&amp;DATE(YEAR($B$67),MONTH($B$67)+1,1)))/(SUMIFS(tblReceipts[Received],tblReceipts[View date],"&gt;="&amp;$B$67,tblReceipts[View date],"&lt;"&amp;DATE(YEAR($B$67),MONTH($B$67)+1,1)))))</f>
        <v>0.000255213650284381</v>
      </c>
      <c r="H67" s="37">
        <f>IF($B$67="","",IF((SUMIFS(tblReceipts[Received],tblReceipts[View date],"&gt;="&amp;$B$67,tblReceipts[View date],"&lt;"&amp;DATE(YEAR($B$67),MONTH($B$67)+1,1)))=0,"",(SUMIFS(tblReceipts[Rejected],tblReceipts[View date],"&gt;="&amp;$B$67,tblReceipts[View date],"&lt;"&amp;DATE(YEAR($B$67),MONTH($B$67)+1,1))*1000000)/(SUMIFS(tblReceipts[Received],tblReceipts[View date],"&gt;="&amp;$B$67,tblReceipts[View date],"&lt;"&amp;DATE(YEAR($B$67),MONTH($B$67)+1,1)))))</f>
        <v>255.213650284381</v>
      </c>
      <c r="I67" s="55">
        <f>TargetPPM</f>
        <v>500</v>
      </c>
      <c r="J67" s="38">
        <f>IF($B$67="","",IF(OR(4=1,NOT(ISNUMBER($H$67))),"",IF(NOT(ISNUMBER(INDEX($H$64:$H$69,4-1))),"",$H$67-INDEX($H$64:$H$69,4-1))))</f>
        <v>-167.559743176724</v>
      </c>
      <c r="K67" s="39" t="str">
        <f>IF($B$67="","",IF(NOT(ISNUMBER($H$67)),"",IF($H$67&lt;=TargetPPM,"On target",IF($H$67&lt;=TargetPPM*1.05,"Near target","Above target"))))</f>
        <v>On target</v>
      </c>
      <c r="L67" s="39"/>
    </row>
    <row r="68" spans="2:12" x14ac:dyDescent="0.25">
      <c r="B68" s="57">
        <f>IF($B$69="","",IF(MIN(tblReceipts[View date])&gt;=$B$69,"",DATE(YEAR($B$69),MONTH($B$69)-1,1)))</f>
        <v>46235</v>
      </c>
      <c r="C68" s="37">
        <f>IF($B$68="","",COUNTIFS(tblReceipts[View date],"&gt;="&amp;$B$68,tblReceipts[View date],"&lt;"&amp;DATE(YEAR($B$68),MONTH($B$68)+1,1)))</f>
        <v>18</v>
      </c>
      <c r="D68" s="58">
        <f>IF($B$68="","",IF((COUNTIFS(tblReceipts[View date],"&gt;="&amp;$B$68,tblReceipts[View date],"&lt;"&amp;DATE(YEAR($B$68),MONTH($B$68)+1,1)))=0,"",(COUNTIFS(tblReceipts[Rejected],0,tblReceipts[View date],"&gt;="&amp;$B$68,tblReceipts[View date],"&lt;"&amp;DATE(YEAR($B$68),MONTH($B$68)+1,1)))/(COUNTIFS(tblReceipts[View date],"&gt;="&amp;$B$68,tblReceipts[View date],"&lt;"&amp;DATE(YEAR($B$68),MONTH($B$68)+1,1)))))</f>
        <v>0.888888888888889</v>
      </c>
      <c r="E68" s="37">
        <f>IF($B$68="","",SUMIFS(tblReceipts[Received],tblReceipts[View date],"&gt;="&amp;$B$68,tblReceipts[View date],"&lt;"&amp;DATE(YEAR($B$68),MONTH($B$68)+1,1)))</f>
        <v>47626</v>
      </c>
      <c r="F68" s="37">
        <f>IF($B$68="","",SUMIFS(tblReceipts[Rejected],tblReceipts[View date],"&gt;="&amp;$B$68,tblReceipts[View date],"&lt;"&amp;DATE(YEAR($B$68),MONTH($B$68)+1,1)))</f>
        <v>38</v>
      </c>
      <c r="G68" s="36">
        <f>IF($B$68="","",IF((SUMIFS(tblReceipts[Received],tblReceipts[View date],"&gt;="&amp;$B$68,tblReceipts[View date],"&lt;"&amp;DATE(YEAR($B$68),MONTH($B$68)+1,1)))=0,"",(SUMIFS(tblReceipts[Rejected],tblReceipts[View date],"&gt;="&amp;$B$68,tblReceipts[View date],"&lt;"&amp;DATE(YEAR($B$68),MONTH($B$68)+1,1)))/(SUMIFS(tblReceipts[Received],tblReceipts[View date],"&gt;="&amp;$B$68,tblReceipts[View date],"&lt;"&amp;DATE(YEAR($B$68),MONTH($B$68)+1,1)))))</f>
        <v>0.000797883509007685</v>
      </c>
      <c r="H68" s="37">
        <f>IF($B$68="","",IF((SUMIFS(tblReceipts[Received],tblReceipts[View date],"&gt;="&amp;$B$68,tblReceipts[View date],"&lt;"&amp;DATE(YEAR($B$68),MONTH($B$68)+1,1)))=0,"",(SUMIFS(tblReceipts[Rejected],tblReceipts[View date],"&gt;="&amp;$B$68,tblReceipts[View date],"&lt;"&amp;DATE(YEAR($B$68),MONTH($B$68)+1,1))*1000000)/(SUMIFS(tblReceipts[Received],tblReceipts[View date],"&gt;="&amp;$B$68,tblReceipts[View date],"&lt;"&amp;DATE(YEAR($B$68),MONTH($B$68)+1,1)))))</f>
        <v>797.883509007685</v>
      </c>
      <c r="I68" s="55">
        <f>TargetPPM</f>
        <v>500</v>
      </c>
      <c r="J68" s="38">
        <f>IF($B$68="","",IF(OR(5=1,NOT(ISNUMBER($H$68))),"",IF(NOT(ISNUMBER(INDEX($H$64:$H$69,5-1))),"",$H$68-INDEX($H$64:$H$69,5-1))))</f>
        <v>542.669858723304</v>
      </c>
      <c r="K68" s="39" t="str">
        <f>IF($B$68="","",IF(NOT(ISNUMBER($H$68)),"",IF($H$68&lt;=TargetPPM,"On target",IF($H$68&lt;=TargetPPM*1.05,"Near target","Above target"))))</f>
        <v>Above target</v>
      </c>
      <c r="L68" s="39"/>
    </row>
    <row r="69" spans="2:12" x14ac:dyDescent="0.25">
      <c r="B69" s="57">
        <f>IF(COUNT(tblReceipts[View date])=0,"",DATE(YEAR(MAX(tblReceipts[View date])),MONTH(MAX(tblReceipts[View date])),1))</f>
        <v>46266</v>
      </c>
      <c r="C69" s="37">
        <f>IF($B$69="","",COUNTIFS(tblReceipts[View date],"&gt;="&amp;$B$69,tblReceipts[View date],"&lt;"&amp;DATE(YEAR($B$69),MONTH($B$69)+1,1)))</f>
        <v>18</v>
      </c>
      <c r="D69" s="58">
        <f>IF($B$69="","",IF((COUNTIFS(tblReceipts[View date],"&gt;="&amp;$B$69,tblReceipts[View date],"&lt;"&amp;DATE(YEAR($B$69),MONTH($B$69)+1,1)))=0,"",(COUNTIFS(tblReceipts[Rejected],0,tblReceipts[View date],"&gt;="&amp;$B$69,tblReceipts[View date],"&lt;"&amp;DATE(YEAR($B$69),MONTH($B$69)+1,1)))/(COUNTIFS(tblReceipts[View date],"&gt;="&amp;$B$69,tblReceipts[View date],"&lt;"&amp;DATE(YEAR($B$69),MONTH($B$69)+1,1)))))</f>
        <v>0.777777777777778</v>
      </c>
      <c r="E69" s="37">
        <f>IF($B$69="","",SUMIFS(tblReceipts[Received],tblReceipts[View date],"&gt;="&amp;$B$69,tblReceipts[View date],"&lt;"&amp;DATE(YEAR($B$69),MONTH($B$69)+1,1)))</f>
        <v>56538</v>
      </c>
      <c r="F69" s="37">
        <f>IF($B$69="","",SUMIFS(tblReceipts[Rejected],tblReceipts[View date],"&gt;="&amp;$B$69,tblReceipts[View date],"&lt;"&amp;DATE(YEAR($B$69),MONTH($B$69)+1,1)))</f>
        <v>9</v>
      </c>
      <c r="G69" s="36">
        <f>IF($B$69="","",IF((SUMIFS(tblReceipts[Received],tblReceipts[View date],"&gt;="&amp;$B$69,tblReceipts[View date],"&lt;"&amp;DATE(YEAR($B$69),MONTH($B$69)+1,1)))=0,"",(SUMIFS(tblReceipts[Rejected],tblReceipts[View date],"&gt;="&amp;$B$69,tblReceipts[View date],"&lt;"&amp;DATE(YEAR($B$69),MONTH($B$69)+1,1)))/(SUMIFS(tblReceipts[Received],tblReceipts[View date],"&gt;="&amp;$B$69,tblReceipts[View date],"&lt;"&amp;DATE(YEAR($B$69),MONTH($B$69)+1,1)))))</f>
        <v>0.000159184972938555</v>
      </c>
      <c r="H69" s="37">
        <f>IF($B$69="","",IF((SUMIFS(tblReceipts[Received],tblReceipts[View date],"&gt;="&amp;$B$69,tblReceipts[View date],"&lt;"&amp;DATE(YEAR($B$69),MONTH($B$69)+1,1)))=0,"",(SUMIFS(tblReceipts[Rejected],tblReceipts[View date],"&gt;="&amp;$B$69,tblReceipts[View date],"&lt;"&amp;DATE(YEAR($B$69),MONTH($B$69)+1,1))*1000000)/(SUMIFS(tblReceipts[Received],tblReceipts[View date],"&gt;="&amp;$B$69,tblReceipts[View date],"&lt;"&amp;DATE(YEAR($B$69),MONTH($B$69)+1,1)))))</f>
        <v>159.184972938555</v>
      </c>
      <c r="I69" s="55">
        <f>TargetPPM</f>
        <v>500</v>
      </c>
      <c r="J69" s="38">
        <f>IF($B$69="","",IF(OR(6=1,NOT(ISNUMBER($H$69))),"",IF(NOT(ISNUMBER(INDEX($H$64:$H$69,6-1))),"",$H$69-INDEX($H$64:$H$69,6-1))))</f>
        <v>-638.69853606913</v>
      </c>
      <c r="K69" s="39" t="str">
        <f>IF($B$69="","",IF(NOT(ISNUMBER($H$69)),"",IF($H$69&lt;=TargetPPM,"On target",IF($H$69&lt;=TargetPPM*1.05,"Near target","Above target"))))</f>
        <v>On target</v>
      </c>
      <c r="L69" s="39"/>
    </row>
    <row r="71" spans="2:12" x14ac:dyDescent="0.25">
      <c r="B71" s="30" t="s">
        <v>321</v>
      </c>
      <c r="C71" s="30"/>
      <c r="D71" s="30"/>
      <c r="E71" s="30"/>
      <c r="F71" s="30"/>
      <c r="G71" s="30"/>
      <c r="H71" s="30"/>
    </row>
    <row r="72" spans="2:12" x14ac:dyDescent="0.25">
      <c r="B72" s="53" t="s">
        <v>62</v>
      </c>
      <c r="C72" s="59">
        <f>INDEX($B$64:$B$69,1)</f>
        <v>46113</v>
      </c>
      <c r="D72" s="59">
        <f>INDEX($B$64:$B$69,2)</f>
        <v>46143</v>
      </c>
      <c r="E72" s="59">
        <f>INDEX($B$64:$B$69,3)</f>
        <v>46174</v>
      </c>
      <c r="F72" s="59">
        <f>INDEX($B$64:$B$69,4)</f>
        <v>46204</v>
      </c>
      <c r="G72" s="59">
        <f>INDEX($B$64:$B$69,5)</f>
        <v>46235</v>
      </c>
      <c r="H72" s="59">
        <f>INDEX($B$64:$B$69,6)</f>
        <v>46266</v>
      </c>
    </row>
    <row r="73" spans="2:12" x14ac:dyDescent="0.25">
      <c r="B73" s="54" t="str">
        <f>IFERROR(INDEX(tblSuppliers[Supplier],1)&amp;"","")</f>
        <v>Brightwater Foundry</v>
      </c>
      <c r="C73" s="60">
        <f>IF($B$73="","",IF((SUMIFS(tblReceipts[Received],tblReceipts[Supplier],$B$73,tblReceipts[View date],"&gt;="&amp;$C$72,tblReceipts[View date],"&lt;"&amp;DATE(YEAR($C$72),MONTH($C$72)+1,1)))=0,"",(SUMIFS(tblReceipts[Rejected],tblReceipts[Supplier],$B$73,tblReceipts[View date],"&gt;="&amp;$C$72,tblReceipts[View date],"&lt;"&amp;DATE(YEAR($C$72),MONTH($C$72)+1,1))*1000000)/(SUMIFS(tblReceipts[Received],tblReceipts[Supplier],$B$73,tblReceipts[View date],"&gt;="&amp;$C$72,tblReceipts[View date],"&lt;"&amp;DATE(YEAR($C$72),MONTH($C$72)+1,1)))))</f>
        <v>0</v>
      </c>
      <c r="D73" s="60">
        <f>IF($B$73="","",IF((SUMIFS(tblReceipts[Received],tblReceipts[Supplier],$B$73,tblReceipts[View date],"&gt;="&amp;$D$72,tblReceipts[View date],"&lt;"&amp;DATE(YEAR($D$72),MONTH($D$72)+1,1)))=0,"",(SUMIFS(tblReceipts[Rejected],tblReceipts[Supplier],$B$73,tblReceipts[View date],"&gt;="&amp;$D$72,tblReceipts[View date],"&lt;"&amp;DATE(YEAR($D$72),MONTH($D$72)+1,1))*1000000)/(SUMIFS(tblReceipts[Received],tblReceipts[Supplier],$B$73,tblReceipts[View date],"&gt;="&amp;$D$72,tblReceipts[View date],"&lt;"&amp;DATE(YEAR($D$72),MONTH($D$72)+1,1)))))</f>
        <v>2020.20202020202</v>
      </c>
      <c r="E73" s="60">
        <f>IF($B$73="","",IF((SUMIFS(tblReceipts[Received],tblReceipts[Supplier],$B$73,tblReceipts[View date],"&gt;="&amp;$E$72,tblReceipts[View date],"&lt;"&amp;DATE(YEAR($E$72),MONTH($E$72)+1,1)))=0,"",(SUMIFS(tblReceipts[Rejected],tblReceipts[Supplier],$B$73,tblReceipts[View date],"&gt;="&amp;$E$72,tblReceipts[View date],"&lt;"&amp;DATE(YEAR($E$72),MONTH($E$72)+1,1))*1000000)/(SUMIFS(tblReceipts[Received],tblReceipts[Supplier],$B$73,tblReceipts[View date],"&gt;="&amp;$E$72,tblReceipts[View date],"&lt;"&amp;DATE(YEAR($E$72),MONTH($E$72)+1,1)))))</f>
        <v>19117.6470588235</v>
      </c>
      <c r="F73" s="60">
        <f>IF($B$73="","",IF((SUMIFS(tblReceipts[Received],tblReceipts[Supplier],$B$73,tblReceipts[View date],"&gt;="&amp;$F$72,tblReceipts[View date],"&lt;"&amp;DATE(YEAR($F$72),MONTH($F$72)+1,1)))=0,"",(SUMIFS(tblReceipts[Rejected],tblReceipts[Supplier],$B$73,tblReceipts[View date],"&gt;="&amp;$F$72,tblReceipts[View date],"&lt;"&amp;DATE(YEAR($F$72),MONTH($F$72)+1,1))*1000000)/(SUMIFS(tblReceipts[Received],tblReceipts[Supplier],$B$73,tblReceipts[View date],"&gt;="&amp;$F$72,tblReceipts[View date],"&lt;"&amp;DATE(YEAR($F$72),MONTH($F$72)+1,1)))))</f>
        <v>8510.63829787234</v>
      </c>
      <c r="G73" s="60">
        <f>IF($B$73="","",IF((SUMIFS(tblReceipts[Received],tblReceipts[Supplier],$B$73,tblReceipts[View date],"&gt;="&amp;$G$72,tblReceipts[View date],"&lt;"&amp;DATE(YEAR($G$72),MONTH($G$72)+1,1)))=0,"",(SUMIFS(tblReceipts[Rejected],tblReceipts[Supplier],$B$73,tblReceipts[View date],"&gt;="&amp;$G$72,tblReceipts[View date],"&lt;"&amp;DATE(YEAR($G$72),MONTH($G$72)+1,1))*1000000)/(SUMIFS(tblReceipts[Received],tblReceipts[Supplier],$B$73,tblReceipts[View date],"&gt;="&amp;$G$72,tblReceipts[View date],"&lt;"&amp;DATE(YEAR($G$72),MONTH($G$72)+1,1)))))</f>
        <v>0</v>
      </c>
      <c r="H73" s="60">
        <f>IF($B$73="","",IF((SUMIFS(tblReceipts[Received],tblReceipts[Supplier],$B$73,tblReceipts[View date],"&gt;="&amp;$H$72,tblReceipts[View date],"&lt;"&amp;DATE(YEAR($H$72),MONTH($H$72)+1,1)))=0,"",(SUMIFS(tblReceipts[Rejected],tblReceipts[Supplier],$B$73,tblReceipts[View date],"&gt;="&amp;$H$72,tblReceipts[View date],"&lt;"&amp;DATE(YEAR($H$72),MONTH($H$72)+1,1))*1000000)/(SUMIFS(tblReceipts[Received],tblReceipts[Supplier],$B$73,tblReceipts[View date],"&gt;="&amp;$H$72,tblReceipts[View date],"&lt;"&amp;DATE(YEAR($H$72),MONTH($H$72)+1,1)))))</f>
        <v>1123.59550561798</v>
      </c>
    </row>
    <row r="74" spans="2:12" x14ac:dyDescent="0.25">
      <c r="B74" s="54" t="str">
        <f>IFERROR(INDEX(tblSuppliers[Supplier],2)&amp;"","")</f>
        <v>Kessler Precision</v>
      </c>
      <c r="C74" s="60">
        <f>IF($B$74="","",IF((SUMIFS(tblReceipts[Received],tblReceipts[Supplier],$B$74,tblReceipts[View date],"&gt;="&amp;$C$72,tblReceipts[View date],"&lt;"&amp;DATE(YEAR($C$72),MONTH($C$72)+1,1)))=0,"",(SUMIFS(tblReceipts[Rejected],tblReceipts[Supplier],$B$74,tblReceipts[View date],"&gt;="&amp;$C$72,tblReceipts[View date],"&lt;"&amp;DATE(YEAR($C$72),MONTH($C$72)+1,1))*1000000)/(SUMIFS(tblReceipts[Received],tblReceipts[Supplier],$B$74,tblReceipts[View date],"&gt;="&amp;$C$72,tblReceipts[View date],"&lt;"&amp;DATE(YEAR($C$72),MONTH($C$72)+1,1)))))</f>
        <v>0</v>
      </c>
      <c r="D74" s="60">
        <f>IF($B$74="","",IF((SUMIFS(tblReceipts[Received],tblReceipts[Supplier],$B$74,tblReceipts[View date],"&gt;="&amp;$D$72,tblReceipts[View date],"&lt;"&amp;DATE(YEAR($D$72),MONTH($D$72)+1,1)))=0,"",(SUMIFS(tblReceipts[Rejected],tblReceipts[Supplier],$B$74,tblReceipts[View date],"&gt;="&amp;$D$72,tblReceipts[View date],"&lt;"&amp;DATE(YEAR($D$72),MONTH($D$72)+1,1))*1000000)/(SUMIFS(tblReceipts[Received],tblReceipts[Supplier],$B$74,tblReceipts[View date],"&gt;="&amp;$D$72,tblReceipts[View date],"&lt;"&amp;DATE(YEAR($D$72),MONTH($D$72)+1,1)))))</f>
        <v>0</v>
      </c>
      <c r="E74" s="60">
        <f>IF($B$74="","",IF((SUMIFS(tblReceipts[Received],tblReceipts[Supplier],$B$74,tblReceipts[View date],"&gt;="&amp;$E$72,tblReceipts[View date],"&lt;"&amp;DATE(YEAR($E$72),MONTH($E$72)+1,1)))=0,"",(SUMIFS(tblReceipts[Rejected],tblReceipts[Supplier],$B$74,tblReceipts[View date],"&gt;="&amp;$E$72,tblReceipts[View date],"&lt;"&amp;DATE(YEAR($E$72),MONTH($E$72)+1,1))*1000000)/(SUMIFS(tblReceipts[Received],tblReceipts[Supplier],$B$74,tblReceipts[View date],"&gt;="&amp;$E$72,tblReceipts[View date],"&lt;"&amp;DATE(YEAR($E$72),MONTH($E$72)+1,1)))))</f>
        <v>0</v>
      </c>
      <c r="F74" s="60">
        <f>IF($B$74="","",IF((SUMIFS(tblReceipts[Received],tblReceipts[Supplier],$B$74,tblReceipts[View date],"&gt;="&amp;$F$72,tblReceipts[View date],"&lt;"&amp;DATE(YEAR($F$72),MONTH($F$72)+1,1)))=0,"",(SUMIFS(tblReceipts[Rejected],tblReceipts[Supplier],$B$74,tblReceipts[View date],"&gt;="&amp;$F$72,tblReceipts[View date],"&lt;"&amp;DATE(YEAR($F$72),MONTH($F$72)+1,1))*1000000)/(SUMIFS(tblReceipts[Received],tblReceipts[Supplier],$B$74,tblReceipts[View date],"&gt;="&amp;$F$72,tblReceipts[View date],"&lt;"&amp;DATE(YEAR($F$72),MONTH($F$72)+1,1)))))</f>
        <v>0</v>
      </c>
      <c r="G74" s="60">
        <f>IF($B$74="","",IF((SUMIFS(tblReceipts[Received],tblReceipts[Supplier],$B$74,tblReceipts[View date],"&gt;="&amp;$G$72,tblReceipts[View date],"&lt;"&amp;DATE(YEAR($G$72),MONTH($G$72)+1,1)))=0,"",(SUMIFS(tblReceipts[Rejected],tblReceipts[Supplier],$B$74,tblReceipts[View date],"&gt;="&amp;$G$72,tblReceipts[View date],"&lt;"&amp;DATE(YEAR($G$72),MONTH($G$72)+1,1))*1000000)/(SUMIFS(tblReceipts[Received],tblReceipts[Supplier],$B$74,tblReceipts[View date],"&gt;="&amp;$G$72,tblReceipts[View date],"&lt;"&amp;DATE(YEAR($G$72),MONTH($G$72)+1,1)))))</f>
        <v>0</v>
      </c>
      <c r="H74" s="60">
        <f>IF($B$74="","",IF((SUMIFS(tblReceipts[Received],tblReceipts[Supplier],$B$74,tblReceipts[View date],"&gt;="&amp;$H$72,tblReceipts[View date],"&lt;"&amp;DATE(YEAR($H$72),MONTH($H$72)+1,1)))=0,"",(SUMIFS(tblReceipts[Rejected],tblReceipts[Supplier],$B$74,tblReceipts[View date],"&gt;="&amp;$H$72,tblReceipts[View date],"&lt;"&amp;DATE(YEAR($H$72),MONTH($H$72)+1,1))*1000000)/(SUMIFS(tblReceipts[Received],tblReceipts[Supplier],$B$74,tblReceipts[View date],"&gt;="&amp;$H$72,tblReceipts[View date],"&lt;"&amp;DATE(YEAR($H$72),MONTH($H$72)+1,1)))))</f>
        <v>0</v>
      </c>
    </row>
    <row r="75" spans="2:12" x14ac:dyDescent="0.25">
      <c r="B75" s="54" t="str">
        <f>IFERROR(INDEX(tblSuppliers[Supplier],3)&amp;"","")</f>
        <v>Northgate Fasteners</v>
      </c>
      <c r="C75" s="60">
        <f>IF($B$75="","",IF((SUMIFS(tblReceipts[Received],tblReceipts[Supplier],$B$75,tblReceipts[View date],"&gt;="&amp;$C$72,tblReceipts[View date],"&lt;"&amp;DATE(YEAR($C$72),MONTH($C$72)+1,1)))=0,"",(SUMIFS(tblReceipts[Rejected],tblReceipts[Supplier],$B$75,tblReceipts[View date],"&gt;="&amp;$C$72,tblReceipts[View date],"&lt;"&amp;DATE(YEAR($C$72),MONTH($C$72)+1,1))*1000000)/(SUMIFS(tblReceipts[Received],tblReceipts[Supplier],$B$75,tblReceipts[View date],"&gt;="&amp;$C$72,tblReceipts[View date],"&lt;"&amp;DATE(YEAR($C$72),MONTH($C$72)+1,1)))))</f>
        <v>88.2352941176471</v>
      </c>
      <c r="D75" s="60">
        <f>IF($B$75="","",IF((SUMIFS(tblReceipts[Received],tblReceipts[Supplier],$B$75,tblReceipts[View date],"&gt;="&amp;$D$72,tblReceipts[View date],"&lt;"&amp;DATE(YEAR($D$72),MONTH($D$72)+1,1)))=0,"",(SUMIFS(tblReceipts[Rejected],tblReceipts[Supplier],$B$75,tblReceipts[View date],"&gt;="&amp;$D$72,tblReceipts[View date],"&lt;"&amp;DATE(YEAR($D$72),MONTH($D$72)+1,1))*1000000)/(SUMIFS(tblReceipts[Received],tblReceipts[Supplier],$B$75,tblReceipts[View date],"&gt;="&amp;$D$72,tblReceipts[View date],"&lt;"&amp;DATE(YEAR($D$72),MONTH($D$72)+1,1)))))</f>
        <v>0</v>
      </c>
      <c r="E75" s="60">
        <f>IF($B$75="","",IF((SUMIFS(tblReceipts[Received],tblReceipts[Supplier],$B$75,tblReceipts[View date],"&gt;="&amp;$E$72,tblReceipts[View date],"&lt;"&amp;DATE(YEAR($E$72),MONTH($E$72)+1,1)))=0,"",(SUMIFS(tblReceipts[Rejected],tblReceipts[Supplier],$B$75,tblReceipts[View date],"&gt;="&amp;$E$72,tblReceipts[View date],"&lt;"&amp;DATE(YEAR($E$72),MONTH($E$72)+1,1))*1000000)/(SUMIFS(tblReceipts[Received],tblReceipts[Supplier],$B$75,tblReceipts[View date],"&gt;="&amp;$E$72,tblReceipts[View date],"&lt;"&amp;DATE(YEAR($E$72),MONTH($E$72)+1,1)))))</f>
        <v>33.8983050847458</v>
      </c>
      <c r="F75" s="60">
        <f>IF($B$75="","",IF((SUMIFS(tblReceipts[Received],tblReceipts[Supplier],$B$75,tblReceipts[View date],"&gt;="&amp;$F$72,tblReceipts[View date],"&lt;"&amp;DATE(YEAR($F$72),MONTH($F$72)+1,1)))=0,"",(SUMIFS(tblReceipts[Rejected],tblReceipts[Supplier],$B$75,tblReceipts[View date],"&gt;="&amp;$F$72,tblReceipts[View date],"&lt;"&amp;DATE(YEAR($F$72),MONTH($F$72)+1,1))*1000000)/(SUMIFS(tblReceipts[Received],tblReceipts[Supplier],$B$75,tblReceipts[View date],"&gt;="&amp;$F$72,tblReceipts[View date],"&lt;"&amp;DATE(YEAR($F$72),MONTH($F$72)+1,1)))))</f>
        <v>27.027027027027</v>
      </c>
      <c r="G75" s="60">
        <f>IF($B$75="","",IF((SUMIFS(tblReceipts[Received],tblReceipts[Supplier],$B$75,tblReceipts[View date],"&gt;="&amp;$G$72,tblReceipts[View date],"&lt;"&amp;DATE(YEAR($G$72),MONTH($G$72)+1,1)))=0,"",(SUMIFS(tblReceipts[Rejected],tblReceipts[Supplier],$B$75,tblReceipts[View date],"&gt;="&amp;$G$72,tblReceipts[View date],"&lt;"&amp;DATE(YEAR($G$72),MONTH($G$72)+1,1))*1000000)/(SUMIFS(tblReceipts[Received],tblReceipts[Supplier],$B$75,tblReceipts[View date],"&gt;="&amp;$G$72,tblReceipts[View date],"&lt;"&amp;DATE(YEAR($G$72),MONTH($G$72)+1,1)))))</f>
        <v>1027.02702702703</v>
      </c>
      <c r="H75" s="60">
        <f>IF($B$75="","",IF((SUMIFS(tblReceipts[Received],tblReceipts[Supplier],$B$75,tblReceipts[View date],"&gt;="&amp;$H$72,tblReceipts[View date],"&lt;"&amp;DATE(YEAR($H$72),MONTH($H$72)+1,1)))=0,"",(SUMIFS(tblReceipts[Rejected],tblReceipts[Supplier],$B$75,tblReceipts[View date],"&gt;="&amp;$H$72,tblReceipts[View date],"&lt;"&amp;DATE(YEAR($H$72),MONTH($H$72)+1,1))*1000000)/(SUMIFS(tblReceipts[Received],tblReceipts[Supplier],$B$75,tblReceipts[View date],"&gt;="&amp;$H$72,tblReceipts[View date],"&lt;"&amp;DATE(YEAR($H$72),MONTH($H$72)+1,1)))))</f>
        <v>100</v>
      </c>
    </row>
    <row r="76" spans="2:12" x14ac:dyDescent="0.25">
      <c r="B76" s="54" t="str">
        <f>IFERROR(INDEX(tblSuppliers[Supplier],4)&amp;"","")</f>
        <v>Sealtek Elastomers</v>
      </c>
      <c r="C76" s="60">
        <f>IF($B$76="","",IF((SUMIFS(tblReceipts[Received],tblReceipts[Supplier],$B$76,tblReceipts[View date],"&gt;="&amp;$C$72,tblReceipts[View date],"&lt;"&amp;DATE(YEAR($C$72),MONTH($C$72)+1,1)))=0,"",(SUMIFS(tblReceipts[Rejected],tblReceipts[Supplier],$B$76,tblReceipts[View date],"&gt;="&amp;$C$72,tblReceipts[View date],"&lt;"&amp;DATE(YEAR($C$72),MONTH($C$72)+1,1))*1000000)/(SUMIFS(tblReceipts[Received],tblReceipts[Supplier],$B$76,tblReceipts[View date],"&gt;="&amp;$C$72,tblReceipts[View date],"&lt;"&amp;DATE(YEAR($C$72),MONTH($C$72)+1,1)))))</f>
        <v>181.818181818182</v>
      </c>
      <c r="D76" s="60">
        <f>IF($B$76="","",IF((SUMIFS(tblReceipts[Received],tblReceipts[Supplier],$B$76,tblReceipts[View date],"&gt;="&amp;$D$72,tblReceipts[View date],"&lt;"&amp;DATE(YEAR($D$72),MONTH($D$72)+1,1)))=0,"",(SUMIFS(tblReceipts[Rejected],tblReceipts[Supplier],$B$76,tblReceipts[View date],"&gt;="&amp;$D$72,tblReceipts[View date],"&lt;"&amp;DATE(YEAR($D$72),MONTH($D$72)+1,1))*1000000)/(SUMIFS(tblReceipts[Received],tblReceipts[Supplier],$B$76,tblReceipts[View date],"&gt;="&amp;$D$72,tblReceipts[View date],"&lt;"&amp;DATE(YEAR($D$72),MONTH($D$72)+1,1)))))</f>
        <v>0</v>
      </c>
      <c r="E76" s="60">
        <f>IF($B$76="","",IF((SUMIFS(tblReceipts[Received],tblReceipts[Supplier],$B$76,tblReceipts[View date],"&gt;="&amp;$E$72,tblReceipts[View date],"&lt;"&amp;DATE(YEAR($E$72),MONTH($E$72)+1,1)))=0,"",(SUMIFS(tblReceipts[Rejected],tblReceipts[Supplier],$B$76,tblReceipts[View date],"&gt;="&amp;$E$72,tblReceipts[View date],"&lt;"&amp;DATE(YEAR($E$72),MONTH($E$72)+1,1))*1000000)/(SUMIFS(tblReceipts[Received],tblReceipts[Supplier],$B$76,tblReceipts[View date],"&gt;="&amp;$E$72,tblReceipts[View date],"&lt;"&amp;DATE(YEAR($E$72),MONTH($E$72)+1,1)))))</f>
        <v>275.862068965517</v>
      </c>
      <c r="F76" s="60">
        <f>IF($B$76="","",IF((SUMIFS(tblReceipts[Received],tblReceipts[Supplier],$B$76,tblReceipts[View date],"&gt;="&amp;$F$72,tblReceipts[View date],"&lt;"&amp;DATE(YEAR($F$72),MONTH($F$72)+1,1)))=0,"",(SUMIFS(tblReceipts[Rejected],tblReceipts[Supplier],$B$76,tblReceipts[View date],"&gt;="&amp;$F$72,tblReceipts[View date],"&lt;"&amp;DATE(YEAR($F$72),MONTH($F$72)+1,1))*1000000)/(SUMIFS(tblReceipts[Received],tblReceipts[Supplier],$B$76,tblReceipts[View date],"&gt;="&amp;$F$72,tblReceipts[View date],"&lt;"&amp;DATE(YEAR($F$72),MONTH($F$72)+1,1)))))</f>
        <v>370.37037037037</v>
      </c>
      <c r="G76" s="60">
        <f>IF($B$76="","",IF((SUMIFS(tblReceipts[Received],tblReceipts[Supplier],$B$76,tblReceipts[View date],"&gt;="&amp;$G$72,tblReceipts[View date],"&lt;"&amp;DATE(YEAR($G$72),MONTH($G$72)+1,1)))=0,"",(SUMIFS(tblReceipts[Rejected],tblReceipts[Supplier],$B$76,tblReceipts[View date],"&gt;="&amp;$G$72,tblReceipts[View date],"&lt;"&amp;DATE(YEAR($G$72),MONTH($G$72)+1,1))*1000000)/(SUMIFS(tblReceipts[Received],tblReceipts[Supplier],$B$76,tblReceipts[View date],"&gt;="&amp;$G$72,tblReceipts[View date],"&lt;"&amp;DATE(YEAR($G$72),MONTH($G$72)+1,1)))))</f>
        <v>0</v>
      </c>
      <c r="H76" s="60">
        <f>IF($B$76="","",IF((SUMIFS(tblReceipts[Received],tblReceipts[Supplier],$B$76,tblReceipts[View date],"&gt;="&amp;$H$72,tblReceipts[View date],"&lt;"&amp;DATE(YEAR($H$72),MONTH($H$72)+1,1)))=0,"",(SUMIFS(tblReceipts[Rejected],tblReceipts[Supplier],$B$76,tblReceipts[View date],"&gt;="&amp;$H$72,tblReceipts[View date],"&lt;"&amp;DATE(YEAR($H$72),MONTH($H$72)+1,1))*1000000)/(SUMIFS(tblReceipts[Received],tblReceipts[Supplier],$B$76,tblReceipts[View date],"&gt;="&amp;$H$72,tblReceipts[View date],"&lt;"&amp;DATE(YEAR($H$72),MONTH($H$72)+1,1)))))</f>
        <v>230.769230769231</v>
      </c>
    </row>
    <row r="77" spans="2:12" x14ac:dyDescent="0.25">
      <c r="B77" s="54" t="str">
        <f>IFERROR(INDEX(tblSuppliers[Supplier],5)&amp;"","")</f>
        <v>Ardent Motors</v>
      </c>
      <c r="C77" s="60">
        <f>IF($B$77="","",IF((SUMIFS(tblReceipts[Received],tblReceipts[Supplier],$B$77,tblReceipts[View date],"&gt;="&amp;$C$72,tblReceipts[View date],"&lt;"&amp;DATE(YEAR($C$72),MONTH($C$72)+1,1)))=0,"",(SUMIFS(tblReceipts[Rejected],tblReceipts[Supplier],$B$77,tblReceipts[View date],"&gt;="&amp;$C$72,tblReceipts[View date],"&lt;"&amp;DATE(YEAR($C$72),MONTH($C$72)+1,1))*1000000)/(SUMIFS(tblReceipts[Received],tblReceipts[Supplier],$B$77,tblReceipts[View date],"&gt;="&amp;$C$72,tblReceipts[View date],"&lt;"&amp;DATE(YEAR($C$72),MONTH($C$72)+1,1)))))</f>
        <v>7246.3768115942</v>
      </c>
      <c r="D77" s="60">
        <f>IF($B$77="","",IF((SUMIFS(tblReceipts[Received],tblReceipts[Supplier],$B$77,tblReceipts[View date],"&gt;="&amp;$D$72,tblReceipts[View date],"&lt;"&amp;DATE(YEAR($D$72),MONTH($D$72)+1,1)))=0,"",(SUMIFS(tblReceipts[Rejected],tblReceipts[Supplier],$B$77,tblReceipts[View date],"&gt;="&amp;$D$72,tblReceipts[View date],"&lt;"&amp;DATE(YEAR($D$72),MONTH($D$72)+1,1))*1000000)/(SUMIFS(tblReceipts[Received],tblReceipts[Supplier],$B$77,tblReceipts[View date],"&gt;="&amp;$D$72,tblReceipts[View date],"&lt;"&amp;DATE(YEAR($D$72),MONTH($D$72)+1,1)))))</f>
        <v>0</v>
      </c>
      <c r="E77" s="60">
        <f>IF($B$77="","",IF((SUMIFS(tblReceipts[Received],tblReceipts[Supplier],$B$77,tblReceipts[View date],"&gt;="&amp;$E$72,tblReceipts[View date],"&lt;"&amp;DATE(YEAR($E$72),MONTH($E$72)+1,1)))=0,"",(SUMIFS(tblReceipts[Rejected],tblReceipts[Supplier],$B$77,tblReceipts[View date],"&gt;="&amp;$E$72,tblReceipts[View date],"&lt;"&amp;DATE(YEAR($E$72),MONTH($E$72)+1,1))*1000000)/(SUMIFS(tblReceipts[Received],tblReceipts[Supplier],$B$77,tblReceipts[View date],"&gt;="&amp;$E$72,tblReceipts[View date],"&lt;"&amp;DATE(YEAR($E$72),MONTH($E$72)+1,1)))))</f>
        <v>5376.34408602151</v>
      </c>
      <c r="F77" s="60">
        <f>IF($B$77="","",IF((SUMIFS(tblReceipts[Received],tblReceipts[Supplier],$B$77,tblReceipts[View date],"&gt;="&amp;$F$72,tblReceipts[View date],"&lt;"&amp;DATE(YEAR($F$72),MONTH($F$72)+1,1)))=0,"",(SUMIFS(tblReceipts[Rejected],tblReceipts[Supplier],$B$77,tblReceipts[View date],"&gt;="&amp;$F$72,tblReceipts[View date],"&lt;"&amp;DATE(YEAR($F$72),MONTH($F$72)+1,1))*1000000)/(SUMIFS(tblReceipts[Received],tblReceipts[Supplier],$B$77,tblReceipts[View date],"&gt;="&amp;$F$72,tblReceipts[View date],"&lt;"&amp;DATE(YEAR($F$72),MONTH($F$72)+1,1)))))</f>
        <v>0</v>
      </c>
      <c r="G77" s="60">
        <f>IF($B$77="","",IF((SUMIFS(tblReceipts[Received],tblReceipts[Supplier],$B$77,tblReceipts[View date],"&gt;="&amp;$G$72,tblReceipts[View date],"&lt;"&amp;DATE(YEAR($G$72),MONTH($G$72)+1,1)))=0,"",(SUMIFS(tblReceipts[Rejected],tblReceipts[Supplier],$B$77,tblReceipts[View date],"&gt;="&amp;$G$72,tblReceipts[View date],"&lt;"&amp;DATE(YEAR($G$72),MONTH($G$72)+1,1))*1000000)/(SUMIFS(tblReceipts[Received],tblReceipts[Supplier],$B$77,tblReceipts[View date],"&gt;="&amp;$G$72,tblReceipts[View date],"&lt;"&amp;DATE(YEAR($G$72),MONTH($G$72)+1,1)))))</f>
        <v>0</v>
      </c>
      <c r="H77" s="60">
        <f>IF($B$77="","",IF((SUMIFS(tblReceipts[Received],tblReceipts[Supplier],$B$77,tblReceipts[View date],"&gt;="&amp;$H$72,tblReceipts[View date],"&lt;"&amp;DATE(YEAR($H$72),MONTH($H$72)+1,1)))=0,"",(SUMIFS(tblReceipts[Rejected],tblReceipts[Supplier],$B$77,tblReceipts[View date],"&gt;="&amp;$H$72,tblReceipts[View date],"&lt;"&amp;DATE(YEAR($H$72),MONTH($H$72)+1,1))*1000000)/(SUMIFS(tblReceipts[Received],tblReceipts[Supplier],$B$77,tblReceipts[View date],"&gt;="&amp;$H$72,tblReceipts[View date],"&lt;"&amp;DATE(YEAR($H$72),MONTH($H$72)+1,1)))))</f>
        <v>0</v>
      </c>
    </row>
    <row r="78" spans="2:12" x14ac:dyDescent="0.25">
      <c r="B78" s="54" t="str">
        <f>IFERROR(INDEX(tblSuppliers[Supplier],6)&amp;"","")</f>
        <v>Velo Controls</v>
      </c>
      <c r="C78" s="60">
        <f>IF($B$78="","",IF((SUMIFS(tblReceipts[Received],tblReceipts[Supplier],$B$78,tblReceipts[View date],"&gt;="&amp;$C$72,tblReceipts[View date],"&lt;"&amp;DATE(YEAR($C$72),MONTH($C$72)+1,1)))=0,"",(SUMIFS(tblReceipts[Rejected],tblReceipts[Supplier],$B$78,tblReceipts[View date],"&gt;="&amp;$C$72,tblReceipts[View date],"&lt;"&amp;DATE(YEAR($C$72),MONTH($C$72)+1,1))*1000000)/(SUMIFS(tblReceipts[Received],tblReceipts[Supplier],$B$78,tblReceipts[View date],"&gt;="&amp;$C$72,tblReceipts[View date],"&lt;"&amp;DATE(YEAR($C$72),MONTH($C$72)+1,1)))))</f>
        <v>0</v>
      </c>
      <c r="D78" s="60">
        <f>IF($B$78="","",IF((SUMIFS(tblReceipts[Received],tblReceipts[Supplier],$B$78,tblReceipts[View date],"&gt;="&amp;$D$72,tblReceipts[View date],"&lt;"&amp;DATE(YEAR($D$72),MONTH($D$72)+1,1)))=0,"",(SUMIFS(tblReceipts[Rejected],tblReceipts[Supplier],$B$78,tblReceipts[View date],"&gt;="&amp;$D$72,tblReceipts[View date],"&lt;"&amp;DATE(YEAR($D$72),MONTH($D$72)+1,1))*1000000)/(SUMIFS(tblReceipts[Received],tblReceipts[Supplier],$B$78,tblReceipts[View date],"&gt;="&amp;$D$72,tblReceipts[View date],"&lt;"&amp;DATE(YEAR($D$72),MONTH($D$72)+1,1)))))</f>
        <v>0</v>
      </c>
      <c r="E78" s="60">
        <f>IF($B$78="","",IF((SUMIFS(tblReceipts[Received],tblReceipts[Supplier],$B$78,tblReceipts[View date],"&gt;="&amp;$E$72,tblReceipts[View date],"&lt;"&amp;DATE(YEAR($E$72),MONTH($E$72)+1,1)))=0,"",(SUMIFS(tblReceipts[Rejected],tblReceipts[Supplier],$B$78,tblReceipts[View date],"&gt;="&amp;$E$72,tblReceipts[View date],"&lt;"&amp;DATE(YEAR($E$72),MONTH($E$72)+1,1))*1000000)/(SUMIFS(tblReceipts[Received],tblReceipts[Supplier],$B$78,tblReceipts[View date],"&gt;="&amp;$E$72,tblReceipts[View date],"&lt;"&amp;DATE(YEAR($E$72),MONTH($E$72)+1,1)))))</f>
        <v>0</v>
      </c>
      <c r="F78" s="60">
        <f>IF($B$78="","",IF((SUMIFS(tblReceipts[Received],tblReceipts[Supplier],$B$78,tblReceipts[View date],"&gt;="&amp;$F$72,tblReceipts[View date],"&lt;"&amp;DATE(YEAR($F$72),MONTH($F$72)+1,1)))=0,"",(SUMIFS(tblReceipts[Rejected],tblReceipts[Supplier],$B$78,tblReceipts[View date],"&gt;="&amp;$F$72,tblReceipts[View date],"&lt;"&amp;DATE(YEAR($F$72),MONTH($F$72)+1,1))*1000000)/(SUMIFS(tblReceipts[Received],tblReceipts[Supplier],$B$78,tblReceipts[View date],"&gt;="&amp;$F$72,tblReceipts[View date],"&lt;"&amp;DATE(YEAR($F$72),MONTH($F$72)+1,1)))))</f>
        <v>0</v>
      </c>
      <c r="G78" s="60">
        <f>IF($B$78="","",IF((SUMIFS(tblReceipts[Received],tblReceipts[Supplier],$B$78,tblReceipts[View date],"&gt;="&amp;$G$72,tblReceipts[View date],"&lt;"&amp;DATE(YEAR($G$72),MONTH($G$72)+1,1)))=0,"",(SUMIFS(tblReceipts[Rejected],tblReceipts[Supplier],$B$78,tblReceipts[View date],"&gt;="&amp;$G$72,tblReceipts[View date],"&lt;"&amp;DATE(YEAR($G$72),MONTH($G$72)+1,1))*1000000)/(SUMIFS(tblReceipts[Received],tblReceipts[Supplier],$B$78,tblReceipts[View date],"&gt;="&amp;$G$72,tblReceipts[View date],"&lt;"&amp;DATE(YEAR($G$72),MONTH($G$72)+1,1)))))</f>
        <v>0</v>
      </c>
      <c r="H78" s="60">
        <f>IF($B$78="","",IF((SUMIFS(tblReceipts[Received],tblReceipts[Supplier],$B$78,tblReceipts[View date],"&gt;="&amp;$H$72,tblReceipts[View date],"&lt;"&amp;DATE(YEAR($H$72),MONTH($H$72)+1,1)))=0,"",(SUMIFS(tblReceipts[Rejected],tblReceipts[Supplier],$B$78,tblReceipts[View date],"&gt;="&amp;$H$72,tblReceipts[View date],"&lt;"&amp;DATE(YEAR($H$72),MONTH($H$72)+1,1))*1000000)/(SUMIFS(tblReceipts[Received],tblReceipts[Supplier],$B$78,tblReceipts[View date],"&gt;="&amp;$H$72,tblReceipts[View date],"&lt;"&amp;DATE(YEAR($H$72),MONTH($H$72)+1,1)))))</f>
        <v>909.090909090909</v>
      </c>
    </row>
    <row r="80" spans="2:12" x14ac:dyDescent="0.25">
      <c r="B80" s="30" t="s">
        <v>322</v>
      </c>
      <c r="C80" s="30"/>
      <c r="D80" s="30"/>
      <c r="E80" s="30"/>
      <c r="F80" s="30"/>
      <c r="G80" s="30"/>
      <c r="H80" s="30"/>
      <c r="I80" s="30"/>
    </row>
    <row r="81" spans="2:43" x14ac:dyDescent="0.25">
      <c r="B81" s="53" t="s">
        <v>62</v>
      </c>
      <c r="C81" s="59">
        <f>INDEX($B$64:$B$69,1)</f>
        <v>46113</v>
      </c>
      <c r="D81" s="59">
        <f>INDEX($B$64:$B$69,2)</f>
        <v>46143</v>
      </c>
      <c r="E81" s="59">
        <f>INDEX($B$64:$B$69,3)</f>
        <v>46174</v>
      </c>
      <c r="F81" s="59">
        <f>INDEX($B$64:$B$69,4)</f>
        <v>46204</v>
      </c>
      <c r="G81" s="59">
        <f>INDEX($B$64:$B$69,5)</f>
        <v>46235</v>
      </c>
      <c r="H81" s="59">
        <f>INDEX($B$64:$B$69,6)</f>
        <v>46266</v>
      </c>
      <c r="I81" s="32" t="s">
        <v>323</v>
      </c>
    </row>
    <row r="82" spans="2:43" x14ac:dyDescent="0.25">
      <c r="B82" s="54" t="str">
        <f>IFERROR(INDEX(tblSuppliers[Supplier],1)&amp;"","")</f>
        <v>Brightwater Foundry</v>
      </c>
      <c r="C82" s="60">
        <f>IF($B$82="","",SUMIFS(tblReceipts[Rejected],tblReceipts[Supplier],$B$82,tblReceipts[View date],"&gt;="&amp;$C$81,tblReceipts[View date],"&lt;"&amp;DATE(YEAR($C$81),MONTH($C$81)+1,1)))</f>
        <v>0</v>
      </c>
      <c r="D82" s="60">
        <f>IF($B$82="","",SUMIFS(tblReceipts[Rejected],tblReceipts[Supplier],$B$82,tblReceipts[View date],"&gt;="&amp;$D$81,tblReceipts[View date],"&lt;"&amp;DATE(YEAR($D$81),MONTH($D$81)+1,1)))</f>
        <v>2</v>
      </c>
      <c r="E82" s="60">
        <f>IF($B$82="","",SUMIFS(tblReceipts[Rejected],tblReceipts[Supplier],$B$82,tblReceipts[View date],"&gt;="&amp;$E$81,tblReceipts[View date],"&lt;"&amp;DATE(YEAR($E$81),MONTH($E$81)+1,1)))</f>
        <v>26</v>
      </c>
      <c r="F82" s="60">
        <f>IF($B$82="","",SUMIFS(tblReceipts[Rejected],tblReceipts[Supplier],$B$82,tblReceipts[View date],"&gt;="&amp;$F$81,tblReceipts[View date],"&lt;"&amp;DATE(YEAR($F$81),MONTH($F$81)+1,1)))</f>
        <v>8</v>
      </c>
      <c r="G82" s="60">
        <f>IF($B$82="","",SUMIFS(tblReceipts[Rejected],tblReceipts[Supplier],$B$82,tblReceipts[View date],"&gt;="&amp;$G$81,tblReceipts[View date],"&lt;"&amp;DATE(YEAR($G$81),MONTH($G$81)+1,1)))</f>
        <v>0</v>
      </c>
      <c r="H82" s="60">
        <f>IF($B$82="","",SUMIFS(tblReceipts[Rejected],tblReceipts[Supplier],$B$82,tblReceipts[View date],"&gt;="&amp;$H$81,tblReceipts[View date],"&lt;"&amp;DATE(YEAR($H$81),MONTH($H$81)+1,1)))</f>
        <v>1</v>
      </c>
      <c r="I82" s="61">
        <f>IF($B$82="","",SUM($C$82:$H$82))</f>
        <v>37</v>
      </c>
    </row>
    <row r="83" spans="2:43" x14ac:dyDescent="0.25">
      <c r="B83" s="54" t="str">
        <f>IFERROR(INDEX(tblSuppliers[Supplier],2)&amp;"","")</f>
        <v>Kessler Precision</v>
      </c>
      <c r="C83" s="60">
        <f>IF($B$83="","",SUMIFS(tblReceipts[Rejected],tblReceipts[Supplier],$B$83,tblReceipts[View date],"&gt;="&amp;$C$81,tblReceipts[View date],"&lt;"&amp;DATE(YEAR($C$81),MONTH($C$81)+1,1)))</f>
        <v>0</v>
      </c>
      <c r="D83" s="60">
        <f>IF($B$83="","",SUMIFS(tblReceipts[Rejected],tblReceipts[Supplier],$B$83,tblReceipts[View date],"&gt;="&amp;$D$81,tblReceipts[View date],"&lt;"&amp;DATE(YEAR($D$81),MONTH($D$81)+1,1)))</f>
        <v>0</v>
      </c>
      <c r="E83" s="60">
        <f>IF($B$83="","",SUMIFS(tblReceipts[Rejected],tblReceipts[Supplier],$B$83,tblReceipts[View date],"&gt;="&amp;$E$81,tblReceipts[View date],"&lt;"&amp;DATE(YEAR($E$81),MONTH($E$81)+1,1)))</f>
        <v>0</v>
      </c>
      <c r="F83" s="60">
        <f>IF($B$83="","",SUMIFS(tblReceipts[Rejected],tblReceipts[Supplier],$B$83,tblReceipts[View date],"&gt;="&amp;$F$81,tblReceipts[View date],"&lt;"&amp;DATE(YEAR($F$81),MONTH($F$81)+1,1)))</f>
        <v>0</v>
      </c>
      <c r="G83" s="60">
        <f>IF($B$83="","",SUMIFS(tblReceipts[Rejected],tblReceipts[Supplier],$B$83,tblReceipts[View date],"&gt;="&amp;$G$81,tblReceipts[View date],"&lt;"&amp;DATE(YEAR($G$81),MONTH($G$81)+1,1)))</f>
        <v>0</v>
      </c>
      <c r="H83" s="60">
        <f>IF($B$83="","",SUMIFS(tblReceipts[Rejected],tblReceipts[Supplier],$B$83,tblReceipts[View date],"&gt;="&amp;$H$81,tblReceipts[View date],"&lt;"&amp;DATE(YEAR($H$81),MONTH($H$81)+1,1)))</f>
        <v>0</v>
      </c>
      <c r="I83" s="61">
        <f>IF($B$83="","",SUM($C$83:$H$83))</f>
        <v>0</v>
      </c>
    </row>
    <row r="84" spans="2:43" x14ac:dyDescent="0.25">
      <c r="B84" s="54" t="str">
        <f>IFERROR(INDEX(tblSuppliers[Supplier],3)&amp;"","")</f>
        <v>Northgate Fasteners</v>
      </c>
      <c r="C84" s="60">
        <f>IF($B$84="","",SUMIFS(tblReceipts[Rejected],tblReceipts[Supplier],$B$84,tblReceipts[View date],"&gt;="&amp;$C$81,tblReceipts[View date],"&lt;"&amp;DATE(YEAR($C$81),MONTH($C$81)+1,1)))</f>
        <v>3</v>
      </c>
      <c r="D84" s="60">
        <f>IF($B$84="","",SUMIFS(tblReceipts[Rejected],tblReceipts[Supplier],$B$84,tblReceipts[View date],"&gt;="&amp;$D$81,tblReceipts[View date],"&lt;"&amp;DATE(YEAR($D$81),MONTH($D$81)+1,1)))</f>
        <v>0</v>
      </c>
      <c r="E84" s="60">
        <f>IF($B$84="","",SUMIFS(tblReceipts[Rejected],tblReceipts[Supplier],$B$84,tblReceipts[View date],"&gt;="&amp;$E$81,tblReceipts[View date],"&lt;"&amp;DATE(YEAR($E$81),MONTH($E$81)+1,1)))</f>
        <v>2</v>
      </c>
      <c r="F84" s="60">
        <f>IF($B$84="","",SUMIFS(tblReceipts[Rejected],tblReceipts[Supplier],$B$84,tblReceipts[View date],"&gt;="&amp;$F$81,tblReceipts[View date],"&lt;"&amp;DATE(YEAR($F$81),MONTH($F$81)+1,1)))</f>
        <v>1</v>
      </c>
      <c r="G84" s="60">
        <f>IF($B$84="","",SUMIFS(tblReceipts[Rejected],tblReceipts[Supplier],$B$84,tblReceipts[View date],"&gt;="&amp;$G$81,tblReceipts[View date],"&lt;"&amp;DATE(YEAR($G$81),MONTH($G$81)+1,1)))</f>
        <v>38</v>
      </c>
      <c r="H84" s="60">
        <f>IF($B$84="","",SUMIFS(tblReceipts[Rejected],tblReceipts[Supplier],$B$84,tblReceipts[View date],"&gt;="&amp;$H$81,tblReceipts[View date],"&lt;"&amp;DATE(YEAR($H$81),MONTH($H$81)+1,1)))</f>
        <v>4</v>
      </c>
      <c r="I84" s="61">
        <f>IF($B$84="","",SUM($C$84:$H$84))</f>
        <v>48</v>
      </c>
    </row>
    <row r="85" spans="2:43" x14ac:dyDescent="0.25">
      <c r="B85" s="54" t="str">
        <f>IFERROR(INDEX(tblSuppliers[Supplier],4)&amp;"","")</f>
        <v>Sealtek Elastomers</v>
      </c>
      <c r="C85" s="60">
        <f>IF($B$85="","",SUMIFS(tblReceipts[Rejected],tblReceipts[Supplier],$B$85,tblReceipts[View date],"&gt;="&amp;$C$81,tblReceipts[View date],"&lt;"&amp;DATE(YEAR($C$81),MONTH($C$81)+1,1)))</f>
        <v>2</v>
      </c>
      <c r="D85" s="60">
        <f>IF($B$85="","",SUMIFS(tblReceipts[Rejected],tblReceipts[Supplier],$B$85,tblReceipts[View date],"&gt;="&amp;$D$81,tblReceipts[View date],"&lt;"&amp;DATE(YEAR($D$81),MONTH($D$81)+1,1)))</f>
        <v>0</v>
      </c>
      <c r="E85" s="60">
        <f>IF($B$85="","",SUMIFS(tblReceipts[Rejected],tblReceipts[Supplier],$B$85,tblReceipts[View date],"&gt;="&amp;$E$81,tblReceipts[View date],"&lt;"&amp;DATE(YEAR($E$81),MONTH($E$81)+1,1)))</f>
        <v>4</v>
      </c>
      <c r="F85" s="60">
        <f>IF($B$85="","",SUMIFS(tblReceipts[Rejected],tblReceipts[Supplier],$B$85,tblReceipts[View date],"&gt;="&amp;$F$81,tblReceipts[View date],"&lt;"&amp;DATE(YEAR($F$81),MONTH($F$81)+1,1)))</f>
        <v>5</v>
      </c>
      <c r="G85" s="60">
        <f>IF($B$85="","",SUMIFS(tblReceipts[Rejected],tblReceipts[Supplier],$B$85,tblReceipts[View date],"&gt;="&amp;$G$81,tblReceipts[View date],"&lt;"&amp;DATE(YEAR($G$81),MONTH($G$81)+1,1)))</f>
        <v>0</v>
      </c>
      <c r="H85" s="60">
        <f>IF($B$85="","",SUMIFS(tblReceipts[Rejected],tblReceipts[Supplier],$B$85,tblReceipts[View date],"&gt;="&amp;$H$81,tblReceipts[View date],"&lt;"&amp;DATE(YEAR($H$81),MONTH($H$81)+1,1)))</f>
        <v>3</v>
      </c>
      <c r="I85" s="61">
        <f>IF($B$85="","",SUM($C$85:$H$85))</f>
        <v>14</v>
      </c>
    </row>
    <row r="86" spans="2:43" x14ac:dyDescent="0.25">
      <c r="B86" s="54" t="str">
        <f>IFERROR(INDEX(tblSuppliers[Supplier],5)&amp;"","")</f>
        <v>Ardent Motors</v>
      </c>
      <c r="C86" s="60">
        <f>IF($B$86="","",SUMIFS(tblReceipts[Rejected],tblReceipts[Supplier],$B$86,tblReceipts[View date],"&gt;="&amp;$C$81,tblReceipts[View date],"&lt;"&amp;DATE(YEAR($C$81),MONTH($C$81)+1,1)))</f>
        <v>1</v>
      </c>
      <c r="D86" s="60">
        <f>IF($B$86="","",SUMIFS(tblReceipts[Rejected],tblReceipts[Supplier],$B$86,tblReceipts[View date],"&gt;="&amp;$D$81,tblReceipts[View date],"&lt;"&amp;DATE(YEAR($D$81),MONTH($D$81)+1,1)))</f>
        <v>0</v>
      </c>
      <c r="E86" s="60">
        <f>IF($B$86="","",SUMIFS(tblReceipts[Rejected],tblReceipts[Supplier],$B$86,tblReceipts[View date],"&gt;="&amp;$E$81,tblReceipts[View date],"&lt;"&amp;DATE(YEAR($E$81),MONTH($E$81)+1,1)))</f>
        <v>1</v>
      </c>
      <c r="F86" s="60">
        <f>IF($B$86="","",SUMIFS(tblReceipts[Rejected],tblReceipts[Supplier],$B$86,tblReceipts[View date],"&gt;="&amp;$F$81,tblReceipts[View date],"&lt;"&amp;DATE(YEAR($F$81),MONTH($F$81)+1,1)))</f>
        <v>0</v>
      </c>
      <c r="G86" s="60">
        <f>IF($B$86="","",SUMIFS(tblReceipts[Rejected],tblReceipts[Supplier],$B$86,tblReceipts[View date],"&gt;="&amp;$G$81,tblReceipts[View date],"&lt;"&amp;DATE(YEAR($G$81),MONTH($G$81)+1,1)))</f>
        <v>0</v>
      </c>
      <c r="H86" s="60">
        <f>IF($B$86="","",SUMIFS(tblReceipts[Rejected],tblReceipts[Supplier],$B$86,tblReceipts[View date],"&gt;="&amp;$H$81,tblReceipts[View date],"&lt;"&amp;DATE(YEAR($H$81),MONTH($H$81)+1,1)))</f>
        <v>0</v>
      </c>
      <c r="I86" s="61">
        <f>IF($B$86="","",SUM($C$86:$H$86))</f>
        <v>2</v>
      </c>
    </row>
    <row r="87" spans="2:43" x14ac:dyDescent="0.25">
      <c r="B87" s="54" t="str">
        <f>IFERROR(INDEX(tblSuppliers[Supplier],6)&amp;"","")</f>
        <v>Velo Controls</v>
      </c>
      <c r="C87" s="60">
        <f>IF($B$87="","",SUMIFS(tblReceipts[Rejected],tblReceipts[Supplier],$B$87,tblReceipts[View date],"&gt;="&amp;$C$81,tblReceipts[View date],"&lt;"&amp;DATE(YEAR($C$81),MONTH($C$81)+1,1)))</f>
        <v>0</v>
      </c>
      <c r="D87" s="60">
        <f>IF($B$87="","",SUMIFS(tblReceipts[Rejected],tblReceipts[Supplier],$B$87,tblReceipts[View date],"&gt;="&amp;$D$81,tblReceipts[View date],"&lt;"&amp;DATE(YEAR($D$81),MONTH($D$81)+1,1)))</f>
        <v>0</v>
      </c>
      <c r="E87" s="60">
        <f>IF($B$87="","",SUMIFS(tblReceipts[Rejected],tblReceipts[Supplier],$B$87,tblReceipts[View date],"&gt;="&amp;$E$81,tblReceipts[View date],"&lt;"&amp;DATE(YEAR($E$81),MONTH($E$81)+1,1)))</f>
        <v>0</v>
      </c>
      <c r="F87" s="60">
        <f>IF($B$87="","",SUMIFS(tblReceipts[Rejected],tblReceipts[Supplier],$B$87,tblReceipts[View date],"&gt;="&amp;$F$81,tblReceipts[View date],"&lt;"&amp;DATE(YEAR($F$81),MONTH($F$81)+1,1)))</f>
        <v>0</v>
      </c>
      <c r="G87" s="60">
        <f>IF($B$87="","",SUMIFS(tblReceipts[Rejected],tblReceipts[Supplier],$B$87,tblReceipts[View date],"&gt;="&amp;$G$81,tblReceipts[View date],"&lt;"&amp;DATE(YEAR($G$81),MONTH($G$81)+1,1)))</f>
        <v>0</v>
      </c>
      <c r="H87" s="60">
        <f>IF($B$87="","",SUMIFS(tblReceipts[Rejected],tblReceipts[Supplier],$B$87,tblReceipts[View date],"&gt;="&amp;$H$81,tblReceipts[View date],"&lt;"&amp;DATE(YEAR($H$81),MONTH($H$81)+1,1)))</f>
        <v>1</v>
      </c>
      <c r="I87" s="61">
        <f>IF($B$87="","",SUM($C$87:$H$87))</f>
        <v>1</v>
      </c>
    </row>
    <row r="88" spans="2:43" x14ac:dyDescent="0.25">
      <c r="B88" s="62" t="s">
        <v>323</v>
      </c>
      <c r="C88" s="63">
        <f>SUM($C$82:$C$87)</f>
        <v>6</v>
      </c>
      <c r="D88" s="63">
        <f>SUM($D$82:$D$87)</f>
        <v>2</v>
      </c>
      <c r="E88" s="63">
        <f>SUM($E$82:$E$87)</f>
        <v>33</v>
      </c>
      <c r="F88" s="63">
        <f>SUM($F$82:$F$87)</f>
        <v>14</v>
      </c>
      <c r="G88" s="63">
        <f>SUM($G$82:$G$87)</f>
        <v>38</v>
      </c>
      <c r="H88" s="63">
        <f>SUM($H$82:$H$87)</f>
        <v>9</v>
      </c>
      <c r="I88" s="62"/>
    </row>
    <row r="90" spans="2:43" x14ac:dyDescent="0.25">
      <c r="B90" s="30" t="s">
        <v>324</v>
      </c>
      <c r="C90" s="30"/>
      <c r="D90" s="30"/>
      <c r="E90" s="30"/>
      <c r="F90" s="30"/>
      <c r="G90" s="30"/>
    </row>
    <row r="91" spans="2:43" ht="20" customHeight="1" x14ac:dyDescent="0.25">
      <c r="B91" s="32" t="s">
        <v>325</v>
      </c>
      <c r="C91" s="53" t="s">
        <v>123</v>
      </c>
      <c r="D91" s="53"/>
      <c r="E91" s="32" t="s">
        <v>326</v>
      </c>
      <c r="F91" s="32" t="s">
        <v>327</v>
      </c>
      <c r="G91" s="32" t="s">
        <v>328</v>
      </c>
      <c r="AO91" s="7" t="s">
        <v>329</v>
      </c>
      <c r="AP91" s="7" t="s">
        <v>330</v>
      </c>
      <c r="AQ91" s="7" t="s">
        <v>331</v>
      </c>
    </row>
    <row r="92" spans="2:43" x14ac:dyDescent="0.25">
      <c r="B92" s="31"/>
      <c r="C92" s="31"/>
      <c r="D92" s="31"/>
      <c r="E92" s="31" t="s">
        <v>132</v>
      </c>
      <c r="F92" s="31" t="s">
        <v>320</v>
      </c>
      <c r="G92" s="31" t="s">
        <v>320</v>
      </c>
    </row>
    <row r="93" spans="2:43" x14ac:dyDescent="0.25">
      <c r="B93" s="64">
        <v>1</v>
      </c>
      <c r="C93" s="65" t="str">
        <f>IF(INDEX($AP$93:$AP$100,MATCH(1,$AQ$93:$AQ$100,0))&lt;0,"",INDEX($AO$93:$AO$100,MATCH(1,$AQ$93:$AQ$100,0)))</f>
        <v>Material defect</v>
      </c>
      <c r="D93" s="65"/>
      <c r="E93" s="37">
        <f>IF($C$93="","",INDEX($AP$93:$AP$100,MATCH(1,$AQ$93:$AQ$100,0)))</f>
        <v>36</v>
      </c>
      <c r="F93" s="58">
        <f>IF(OR($C$93="",$E$101=0),"",$E$93/$E$101)</f>
        <v>0.352941176470588</v>
      </c>
      <c r="G93" s="58">
        <f>IF(OR($C$93="",$E$101=0),"",SUM($E$93:$E$93)/$E$101)</f>
        <v>0.352941176470588</v>
      </c>
      <c r="AO93" s="11" t="str">
        <f>IFERROR(INDEX(tblReasons[Reason],1)&amp;"","")</f>
        <v>Dimensional</v>
      </c>
      <c r="AP93" s="66">
        <f>IF($AO$93="",-1,SUMIFS(tblReceipts[Rejected],tblReceipts[Reject reason],$AO$93,tblReceipts[View date],"&gt;0"))</f>
        <v>17</v>
      </c>
      <c r="AQ93" s="66">
        <f>COUNTIF($AP$93:$AP$100,"&gt;"&amp;$AP$93)+COUNTIF($AP$93:$AP$93,$AP$93)</f>
        <v>3</v>
      </c>
    </row>
    <row r="94" spans="2:43" x14ac:dyDescent="0.25">
      <c r="B94" s="64">
        <v>2</v>
      </c>
      <c r="C94" s="65" t="str">
        <f>IF(INDEX($AP$93:$AP$100,MATCH(2,$AQ$93:$AQ$100,0))&lt;0,"",INDEX($AO$93:$AO$100,MATCH(2,$AQ$93:$AQ$100,0)))</f>
        <v>Wrong or mixed part</v>
      </c>
      <c r="D94" s="65"/>
      <c r="E94" s="37">
        <f>IF($C$94="","",INDEX($AP$93:$AP$100,MATCH(2,$AQ$93:$AQ$100,0)))</f>
        <v>36</v>
      </c>
      <c r="F94" s="58">
        <f>IF(OR($C$94="",$E$101=0),"",$E$94/$E$101)</f>
        <v>0.352941176470588</v>
      </c>
      <c r="G94" s="58">
        <f>IF(OR($C$94="",$E$101=0),"",SUM($E$93:$E$94)/$E$101)</f>
        <v>0.705882352941177</v>
      </c>
      <c r="AO94" s="11" t="str">
        <f>IFERROR(INDEX(tblReasons[Reason],2)&amp;"","")</f>
        <v>Material defect</v>
      </c>
      <c r="AP94" s="66">
        <f>IF($AO$94="",-1,SUMIFS(tblReceipts[Rejected],tblReceipts[Reject reason],$AO$94,tblReceipts[View date],"&gt;0"))</f>
        <v>36</v>
      </c>
      <c r="AQ94" s="66">
        <f>COUNTIF($AP$93:$AP$100,"&gt;"&amp;$AP$94)+COUNTIF($AP$93:$AP$94,$AP$94)</f>
        <v>1</v>
      </c>
    </row>
    <row r="95" spans="2:43" x14ac:dyDescent="0.25">
      <c r="B95" s="64">
        <v>3</v>
      </c>
      <c r="C95" s="65" t="str">
        <f>IF(INDEX($AP$93:$AP$100,MATCH(3,$AQ$93:$AQ$100,0))&lt;0,"",INDEX($AO$93:$AO$100,MATCH(3,$AQ$93:$AQ$100,0)))</f>
        <v>Dimensional</v>
      </c>
      <c r="D95" s="65"/>
      <c r="E95" s="37">
        <f>IF($C$95="","",INDEX($AP$93:$AP$100,MATCH(3,$AQ$93:$AQ$100,0)))</f>
        <v>17</v>
      </c>
      <c r="F95" s="58">
        <f>IF(OR($C$95="",$E$101=0),"",$E$95/$E$101)</f>
        <v>0.166666666666667</v>
      </c>
      <c r="G95" s="58">
        <f>IF(OR($C$95="",$E$101=0),"",SUM($E$93:$E$95)/$E$101)</f>
        <v>0.872549019607843</v>
      </c>
      <c r="AO95" s="11" t="str">
        <f>IFERROR(INDEX(tblReasons[Reason],3)&amp;"","")</f>
        <v>Surface or cosmetic</v>
      </c>
      <c r="AP95" s="66">
        <f>IF($AO$95="",-1,SUMIFS(tblReceipts[Rejected],tblReceipts[Reject reason],$AO$95,tblReceipts[View date],"&gt;0"))</f>
        <v>10</v>
      </c>
      <c r="AQ95" s="66">
        <f>COUNTIF($AP$93:$AP$100,"&gt;"&amp;$AP$95)+COUNTIF($AP$93:$AP$95,$AP$95)</f>
        <v>4</v>
      </c>
    </row>
    <row r="96" spans="2:43" x14ac:dyDescent="0.25">
      <c r="B96" s="64">
        <v>4</v>
      </c>
      <c r="C96" s="65" t="str">
        <f>IF(INDEX($AP$93:$AP$100,MATCH(4,$AQ$93:$AQ$100,0))&lt;0,"",INDEX($AO$93:$AO$100,MATCH(4,$AQ$93:$AQ$100,0)))</f>
        <v>Surface or cosmetic</v>
      </c>
      <c r="D96" s="65"/>
      <c r="E96" s="37">
        <f>IF($C$96="","",INDEX($AP$93:$AP$100,MATCH(4,$AQ$93:$AQ$100,0)))</f>
        <v>10</v>
      </c>
      <c r="F96" s="58">
        <f>IF(OR($C$96="",$E$101=0),"",$E$96/$E$101)</f>
        <v>0.0980392156862745</v>
      </c>
      <c r="G96" s="58">
        <f>IF(OR($C$96="",$E$101=0),"",SUM($E$93:$E$96)/$E$101)</f>
        <v>0.970588235294118</v>
      </c>
      <c r="AO96" s="11" t="str">
        <f>IFERROR(INDEX(tblReasons[Reason],4)&amp;"","")</f>
        <v>Wrong or mixed part</v>
      </c>
      <c r="AP96" s="66">
        <f>IF($AO$96="",-1,SUMIFS(tblReceipts[Rejected],tblReceipts[Reject reason],$AO$96,tblReceipts[View date],"&gt;0"))</f>
        <v>36</v>
      </c>
      <c r="AQ96" s="66">
        <f>COUNTIF($AP$93:$AP$100,"&gt;"&amp;$AP$96)+COUNTIF($AP$93:$AP$96,$AP$96)</f>
        <v>2</v>
      </c>
    </row>
    <row r="97" spans="2:43" x14ac:dyDescent="0.25">
      <c r="B97" s="64">
        <v>5</v>
      </c>
      <c r="C97" s="65" t="str">
        <f>IF(INDEX($AP$93:$AP$100,MATCH(5,$AQ$93:$AQ$100,0))&lt;0,"",INDEX($AO$93:$AO$100,MATCH(5,$AQ$93:$AQ$100,0)))</f>
        <v>Damaged in transit</v>
      </c>
      <c r="D97" s="65"/>
      <c r="E97" s="37">
        <f>IF($C$97="","",INDEX($AP$93:$AP$100,MATCH(5,$AQ$93:$AQ$100,0)))</f>
        <v>2</v>
      </c>
      <c r="F97" s="58">
        <f>IF(OR($C$97="",$E$101=0),"",$E$97/$E$101)</f>
        <v>0.0196078431372549</v>
      </c>
      <c r="G97" s="58">
        <f>IF(OR($C$97="",$E$101=0),"",SUM($E$93:$E$97)/$E$101)</f>
        <v>0.990196078431373</v>
      </c>
      <c r="AO97" s="11" t="str">
        <f>IFERROR(INDEX(tblReasons[Reason],5)&amp;"","")</f>
        <v>Functional failure</v>
      </c>
      <c r="AP97" s="66">
        <f>IF($AO$97="",-1,SUMIFS(tblReceipts[Rejected],tblReceipts[Reject reason],$AO$97,tblReceipts[View date],"&gt;0"))</f>
        <v>1</v>
      </c>
      <c r="AQ97" s="66">
        <f>COUNTIF($AP$93:$AP$100,"&gt;"&amp;$AP$97)+COUNTIF($AP$93:$AP$97,$AP$97)</f>
        <v>6</v>
      </c>
    </row>
    <row r="98" spans="2:43" x14ac:dyDescent="0.25">
      <c r="B98" s="64">
        <v>6</v>
      </c>
      <c r="C98" s="65" t="str">
        <f>IF(INDEX($AP$93:$AP$100,MATCH(6,$AQ$93:$AQ$100,0))&lt;0,"",INDEX($AO$93:$AO$100,MATCH(6,$AQ$93:$AQ$100,0)))</f>
        <v>Functional failure</v>
      </c>
      <c r="D98" s="65"/>
      <c r="E98" s="37">
        <f>IF($C$98="","",INDEX($AP$93:$AP$100,MATCH(6,$AQ$93:$AQ$100,0)))</f>
        <v>1</v>
      </c>
      <c r="F98" s="58">
        <f>IF(OR($C$98="",$E$101=0),"",$E$98/$E$101)</f>
        <v>0.00980392156862745</v>
      </c>
      <c r="G98" s="58">
        <f>IF(OR($C$98="",$E$101=0),"",SUM($E$93:$E$98)/$E$101)</f>
        <v>1</v>
      </c>
      <c r="AO98" s="11" t="str">
        <f>IFERROR(INDEX(tblReasons[Reason],6)&amp;"","")</f>
        <v>Damaged in transit</v>
      </c>
      <c r="AP98" s="66">
        <f>IF($AO$98="",-1,SUMIFS(tblReceipts[Rejected],tblReceipts[Reject reason],$AO$98,tblReceipts[View date],"&gt;0"))</f>
        <v>2</v>
      </c>
      <c r="AQ98" s="66">
        <f>COUNTIF($AP$93:$AP$100,"&gt;"&amp;$AP$98)+COUNTIF($AP$93:$AP$98,$AP$98)</f>
        <v>5</v>
      </c>
    </row>
    <row r="99" spans="2:43" x14ac:dyDescent="0.25">
      <c r="B99" s="64">
        <v>7</v>
      </c>
      <c r="C99" s="65" t="str">
        <f>IF(INDEX($AP$93:$AP$100,MATCH(7,$AQ$93:$AQ$100,0))&lt;0,"",INDEX($AO$93:$AO$100,MATCH(7,$AQ$93:$AQ$100,0)))</f>
        <v>Documents or certs</v>
      </c>
      <c r="D99" s="65"/>
      <c r="E99" s="37">
        <f>IF($C$99="","",INDEX($AP$93:$AP$100,MATCH(7,$AQ$93:$AQ$100,0)))</f>
        <v>0</v>
      </c>
      <c r="F99" s="58">
        <f>IF(OR($C$99="",$E$101=0),"",$E$99/$E$101)</f>
        <v>0</v>
      </c>
      <c r="G99" s="58">
        <f>IF(OR($C$99="",$E$101=0),"",SUM($E$93:$E$99)/$E$101)</f>
        <v>1</v>
      </c>
      <c r="AO99" s="11" t="str">
        <f>IFERROR(INDEX(tblReasons[Reason],7)&amp;"","")</f>
        <v>Documents or certs</v>
      </c>
      <c r="AP99" s="66">
        <f>IF($AO$99="",-1,SUMIFS(tblReceipts[Rejected],tblReceipts[Reject reason],$AO$99,tblReceipts[View date],"&gt;0"))</f>
        <v>0</v>
      </c>
      <c r="AQ99" s="66">
        <f>COUNTIF($AP$93:$AP$100,"&gt;"&amp;$AP$99)+COUNTIF($AP$93:$AP$99,$AP$99)</f>
        <v>7</v>
      </c>
    </row>
    <row r="100" spans="2:43" x14ac:dyDescent="0.25">
      <c r="B100" s="64">
        <v>8</v>
      </c>
      <c r="C100" s="65" t="str">
        <f>IF(INDEX($AP$93:$AP$100,MATCH(8,$AQ$93:$AQ$100,0))&lt;0,"",INDEX($AO$93:$AO$100,MATCH(8,$AQ$93:$AQ$100,0)))</f>
        <v>Other</v>
      </c>
      <c r="D100" s="65"/>
      <c r="E100" s="37">
        <f>IF($C$100="","",INDEX($AP$93:$AP$100,MATCH(8,$AQ$93:$AQ$100,0)))</f>
        <v>0</v>
      </c>
      <c r="F100" s="58">
        <f>IF(OR($C$100="",$E$101=0),"",$E$100/$E$101)</f>
        <v>0</v>
      </c>
      <c r="G100" s="58">
        <f>IF(OR($C$100="",$E$101=0),"",SUM($E$93:$E$100)/$E$101)</f>
        <v>1</v>
      </c>
      <c r="AO100" s="11" t="str">
        <f>IFERROR(INDEX(tblReasons[Reason],8)&amp;"","")</f>
        <v>Other</v>
      </c>
      <c r="AP100" s="66">
        <f>IF($AO$100="",-1,SUMIFS(tblReceipts[Rejected],tblReceipts[Reject reason],$AO$100,tblReceipts[View date],"&gt;0"))</f>
        <v>0</v>
      </c>
      <c r="AQ100" s="66">
        <f>COUNTIF($AP$93:$AP$100,"&gt;"&amp;$AP$100)+COUNTIF($AP$93:$AP$100,$AP$100)</f>
        <v>8</v>
      </c>
    </row>
    <row r="101" spans="2:43" x14ac:dyDescent="0.25">
      <c r="B101" s="62"/>
      <c r="C101" s="62" t="s">
        <v>323</v>
      </c>
      <c r="D101" s="62"/>
      <c r="E101" s="63">
        <f>SUMIF($AP$93:$AP$100,"&gt;0")</f>
        <v>102</v>
      </c>
      <c r="F101" s="62"/>
      <c r="G101" s="62"/>
    </row>
    <row r="102" spans="2:43" ht="8" customHeight="1" x14ac:dyDescent="0.25"/>
    <row r="103" spans="2:43" ht="26.76" customHeight="1" x14ac:dyDescent="0.25">
      <c r="B103" s="21" t="s">
        <v>332</v>
      </c>
      <c r="C103" s="21"/>
      <c r="D103" s="21"/>
      <c r="E103" s="21"/>
      <c r="F103" s="21"/>
      <c r="G103" s="21"/>
      <c r="H103" s="21"/>
      <c r="I103" s="21"/>
      <c r="J103" s="21"/>
      <c r="K103" s="21"/>
      <c r="L103" s="21"/>
    </row>
    <row r="104" spans="2:43" x14ac:dyDescent="0.25">
      <c r="B104" s="67">
        <f>IF(OR(COUNTA(tblSuppliers[Supplier])&gt;6,COUNTA(tblReasons[Reason])&gt;8),"Setup lists are longer than the Dashboard blocks: some suppliers or reasons are not shown.","")</f>
        <v/>
      </c>
      <c r="C104" s="67"/>
      <c r="D104" s="67"/>
      <c r="E104" s="67"/>
      <c r="F104" s="67"/>
      <c r="G104" s="67"/>
      <c r="H104" s="67"/>
      <c r="I104" s="67"/>
      <c r="J104" s="67"/>
      <c r="K104" s="67"/>
      <c r="L104" s="67"/>
    </row>
  </sheetData>
  <sheetProtection sheet="1" formatColumns="0" formatRows="0"/>
  <mergeCells count="73">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L51"/>
    <mergeCell ref="K52:L52"/>
    <mergeCell ref="K53:L53"/>
    <mergeCell ref="K54:L54"/>
    <mergeCell ref="K55:L55"/>
    <mergeCell ref="K56:L56"/>
    <mergeCell ref="K57:L57"/>
    <mergeCell ref="K58:L58"/>
    <mergeCell ref="K59:L59"/>
    <mergeCell ref="B61:L61"/>
    <mergeCell ref="K62:L62"/>
    <mergeCell ref="K63:L63"/>
    <mergeCell ref="K64:L64"/>
    <mergeCell ref="K65:L65"/>
    <mergeCell ref="K66:L66"/>
    <mergeCell ref="K67:L67"/>
    <mergeCell ref="K68:L68"/>
    <mergeCell ref="K69:L69"/>
    <mergeCell ref="B71:H71"/>
    <mergeCell ref="B80:I80"/>
    <mergeCell ref="B90:G90"/>
    <mergeCell ref="C91:D91"/>
    <mergeCell ref="C92:D92"/>
    <mergeCell ref="C93:D93"/>
    <mergeCell ref="C94:D94"/>
    <mergeCell ref="C95:D95"/>
    <mergeCell ref="C96:D96"/>
    <mergeCell ref="C97:D97"/>
    <mergeCell ref="C98:D98"/>
    <mergeCell ref="C99:D99"/>
    <mergeCell ref="C100:D100"/>
    <mergeCell ref="C101:D101"/>
    <mergeCell ref="B103:L103"/>
    <mergeCell ref="B104:L104"/>
  </mergeCells>
  <conditionalFormatting sqref="B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93:E100">
    <cfRule type="dataBar" priority="87">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G54:G59">
    <cfRule type="expression" dxfId="3" priority="41" stopIfTrue="1">
      <formula>AND(ISNUMBER(G54),G54&lt;=(1))</formula>
    </cfRule>
    <cfRule type="expression" dxfId="4" priority="42" stopIfTrue="1">
      <formula>AND(ISNUMBER(G54),G54&lt;=(1)*(1+0.05))</formula>
    </cfRule>
    <cfRule type="expression" dxfId="5" priority="43">
      <formula>ISNUMBER(G54)</formula>
    </cfRule>
  </conditionalFormatting>
  <conditionalFormatting sqref="H64:H69">
    <cfRule type="expression" dxfId="3" priority="64" stopIfTrue="1">
      <formula>AND(ISNUMBER(H64),H64&lt;=(TargetPPM))</formula>
    </cfRule>
    <cfRule type="expression" dxfId="4" priority="65" stopIfTrue="1">
      <formula>AND(ISNUMBER(H64),H64&lt;=(TargetPPM)*(1+0.05))</formula>
    </cfRule>
    <cfRule type="expression" dxfId="5" priority="66">
      <formula>ISNUMBER(H64)</formula>
    </cfRule>
  </conditionalFormatting>
  <conditionalFormatting sqref="J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54:K59">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conditionalFormatting sqref="K64:K69">
    <cfRule type="cellIs" dxfId="0" priority="67" operator="equal">
      <formula>"On target"</formula>
    </cfRule>
    <cfRule type="cellIs" dxfId="0" priority="68" operator="equal">
      <formula>"PASS"</formula>
    </cfRule>
    <cfRule type="cellIs" dxfId="0" priority="69" operator="equal">
      <formula>"OK"</formula>
    </cfRule>
    <cfRule type="cellIs" dxfId="0" priority="70" operator="equal">
      <formula>"Within limits"</formula>
    </cfRule>
    <cfRule type="cellIs" dxfId="0" priority="71" operator="equal">
      <formula>"Under capacity"</formula>
    </cfRule>
    <cfRule type="cellIs" dxfId="0" priority="72" operator="equal">
      <formula>"Complete"</formula>
    </cfRule>
    <cfRule type="cellIs" dxfId="0" priority="73" operator="equal">
      <formula>"Yes"</formula>
    </cfRule>
    <cfRule type="cellIs" dxfId="1" priority="74" operator="equal">
      <formula>"Near target"</formula>
    </cfRule>
    <cfRule type="cellIs" dxfId="1" priority="75" operator="equal">
      <formula>"Check"</formula>
    </cfRule>
    <cfRule type="cellIs" dxfId="1" priority="76" operator="equal">
      <formula>"Due soon"</formula>
    </cfRule>
    <cfRule type="cellIs" dxfId="1" priority="77" operator="equal">
      <formula>"Near capacity"</formula>
    </cfRule>
    <cfRule type="cellIs" dxfId="1" priority="78" operator="equal">
      <formula>"In progress"</formula>
    </cfRule>
    <cfRule type="cellIs" dxfId="1" priority="79" operator="equal">
      <formula>"Partial"</formula>
    </cfRule>
    <cfRule type="cellIs" dxfId="2" priority="80" operator="equal">
      <formula>"Below target"</formula>
    </cfRule>
    <cfRule type="cellIs" dxfId="2" priority="81" operator="equal">
      <formula>"Above target"</formula>
    </cfRule>
    <cfRule type="cellIs" dxfId="2" priority="82" operator="equal">
      <formula>"FAIL"</formula>
    </cfRule>
    <cfRule type="cellIs" dxfId="2" priority="83" operator="equal">
      <formula>"Over capacity"</formula>
    </cfRule>
    <cfRule type="cellIs" dxfId="2" priority="84" operator="equal">
      <formula>"Overdue"</formula>
    </cfRule>
    <cfRule type="cellIs" dxfId="2" priority="85" operator="equal">
      <formula>"Out of limits"</formula>
    </cfRule>
    <cfRule type="cellIs" dxfId="2" priority="86" operator="equal">
      <formula>"No"</formula>
    </cfRule>
  </conditionalFormatting>
  <dataValidations count="3">
    <dataValidation type="list" allowBlank="1" showInputMessage="1" showErrorMessage="1" errorTitle="Check this entry" error="Pick from the list (edit the list on Setup: Suppliers)." promptTitle="Supplier" prompt="Leave blank for all suppliers. Pick from the list (edit the list on Setup: Suppliers)." sqref="C4">
      <formula1>Suppliers</formula1>
    </dataValidation>
    <dataValidation type="date" allowBlank="1" showInputMessage="1" showErrorMessage="1" errorTitle="Check this entry" error="Enter a date between 01 Jan 2000 and 31 Dec 2100." promptTitle="From" prompt="First receipt date to include. Leave blank to start at the first receipt.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receipt date to include. Leave blank to end at the latest receipt.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Supplier Quality PPM&amp;R&amp;8&amp;A</oddHeader>
    <oddFooter>&amp;L&amp;8mfgcalcs.com - free manufacturing templates&amp;R&amp;8Page &amp;P of &amp;N</oddFooter>
  </headerFooter>
  <rowBreaks count="3" manualBreakCount="3">
    <brk id="28" max="16383" man="1"/>
    <brk id="50" max="16383" man="1"/>
    <brk id="7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E93:E100</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333</v>
      </c>
      <c r="C4" s="8"/>
      <c r="D4" s="8"/>
    </row>
    <row r="5" spans="1:4" ht="5" customHeight="1"/>
    <row r="6" spans="1:4" ht="42.6" customHeight="1">
      <c r="B6" s="10" t="s">
        <v>334</v>
      </c>
      <c r="C6" s="10"/>
      <c r="D6" s="10"/>
    </row>
    <row r="8" spans="1:4" ht="21" customHeight="1">
      <c r="B8" s="8" t="s">
        <v>335</v>
      </c>
      <c r="C8" s="8"/>
      <c r="D8" s="8"/>
    </row>
    <row r="9" spans="1:4" ht="5" customHeight="1"/>
    <row r="10" spans="1:4" ht="20" customHeight="1">
      <c r="B10" s="53" t="s">
        <v>336</v>
      </c>
      <c r="C10" s="53" t="s">
        <v>337</v>
      </c>
      <c r="D10" s="32" t="s">
        <v>338</v>
      </c>
    </row>
    <row r="11" spans="1:4" ht="30.4" customHeight="1">
      <c r="B11" s="68" t="s">
        <v>339</v>
      </c>
      <c r="C11" s="69" t="s">
        <v>340</v>
      </c>
      <c r="D11" s="70" t="s">
        <v>341</v>
      </c>
    </row>
    <row r="12" spans="1:4" ht="17.2" customHeight="1">
      <c r="B12" s="68" t="s">
        <v>64</v>
      </c>
      <c r="C12" s="69" t="s">
        <v>342</v>
      </c>
      <c r="D12" s="70" t="s">
        <v>73</v>
      </c>
    </row>
    <row r="13" spans="1:4" ht="17.2" customHeight="1">
      <c r="B13" s="68" t="s">
        <v>126</v>
      </c>
      <c r="C13" s="69" t="s">
        <v>343</v>
      </c>
      <c r="D13" s="70" t="s">
        <v>73</v>
      </c>
    </row>
    <row r="14" spans="1:4" ht="30.4" customHeight="1">
      <c r="B14" s="68" t="s">
        <v>344</v>
      </c>
      <c r="C14" s="69" t="s">
        <v>345</v>
      </c>
      <c r="D14" s="70" t="s">
        <v>346</v>
      </c>
    </row>
    <row r="15" spans="1:4" ht="30.4" customHeight="1">
      <c r="B15" s="68" t="s">
        <v>347</v>
      </c>
      <c r="C15" s="69" t="s">
        <v>348</v>
      </c>
      <c r="D15" s="70" t="s">
        <v>349</v>
      </c>
    </row>
    <row r="16" spans="1:4" ht="17.2" customHeight="1">
      <c r="B16" s="68" t="s">
        <v>127</v>
      </c>
      <c r="C16" s="69" t="s">
        <v>350</v>
      </c>
      <c r="D16" s="70" t="s">
        <v>310</v>
      </c>
    </row>
    <row r="17" spans="2:4" ht="30.4" customHeight="1">
      <c r="B17" s="68" t="s">
        <v>306</v>
      </c>
      <c r="C17" s="69" t="s">
        <v>351</v>
      </c>
      <c r="D17" s="70" t="s">
        <v>132</v>
      </c>
    </row>
    <row r="18" spans="2:4" ht="30.4" customHeight="1">
      <c r="B18" s="68" t="s">
        <v>307</v>
      </c>
      <c r="C18" s="69" t="s">
        <v>352</v>
      </c>
      <c r="D18" s="70" t="s">
        <v>73</v>
      </c>
    </row>
    <row r="19" spans="2:4" ht="17.2" customHeight="1">
      <c r="B19" s="68" t="s">
        <v>308</v>
      </c>
      <c r="C19" s="69" t="s">
        <v>353</v>
      </c>
      <c r="D19" s="70" t="s">
        <v>354</v>
      </c>
    </row>
    <row r="20" spans="2:4" ht="30.4" customHeight="1">
      <c r="B20" s="68" t="s">
        <v>355</v>
      </c>
      <c r="C20" s="69" t="s">
        <v>356</v>
      </c>
      <c r="D20" s="70" t="s">
        <v>357</v>
      </c>
    </row>
    <row r="22" spans="2:4" ht="21" customHeight="1">
      <c r="B22" s="8" t="s">
        <v>358</v>
      </c>
      <c r="C22" s="8"/>
      <c r="D22" s="8"/>
    </row>
    <row r="23" spans="2:4" ht="5" customHeight="1"/>
    <row r="24" spans="2:4" ht="29.4" customHeight="1">
      <c r="B24" s="26" t="s">
        <v>55</v>
      </c>
      <c r="C24" s="10" t="s">
        <v>359</v>
      </c>
      <c r="D24" s="10"/>
    </row>
    <row r="25" spans="2:4" ht="29.4" customHeight="1">
      <c r="B25" s="26" t="s">
        <v>55</v>
      </c>
      <c r="C25" s="10" t="s">
        <v>360</v>
      </c>
      <c r="D25" s="10"/>
    </row>
    <row r="26" spans="2:4" ht="16.2" customHeight="1">
      <c r="B26" s="26" t="s">
        <v>55</v>
      </c>
      <c r="C26" s="10" t="s">
        <v>361</v>
      </c>
      <c r="D26" s="10"/>
    </row>
    <row r="28" spans="2:4" ht="21" customHeight="1">
      <c r="B28" s="8" t="s">
        <v>362</v>
      </c>
      <c r="C28" s="8"/>
      <c r="D28" s="8"/>
    </row>
    <row r="29" spans="2:4" ht="5" customHeight="1"/>
    <row r="30" spans="2:4" ht="29.4" customHeight="1">
      <c r="B30" s="26" t="s">
        <v>55</v>
      </c>
      <c r="C30" s="10" t="s">
        <v>363</v>
      </c>
      <c r="D30" s="10"/>
    </row>
    <row r="31" spans="2:4" ht="29.4" customHeight="1">
      <c r="B31" s="26" t="s">
        <v>55</v>
      </c>
      <c r="C31" s="10" t="s">
        <v>364</v>
      </c>
      <c r="D31" s="10"/>
    </row>
    <row r="32" spans="2:4" ht="29.4" customHeight="1">
      <c r="B32" s="26" t="s">
        <v>55</v>
      </c>
      <c r="C32" s="10" t="s">
        <v>365</v>
      </c>
      <c r="D32" s="10"/>
    </row>
    <row r="34" spans="2:4" ht="21" customHeight="1">
      <c r="B34" s="8" t="s">
        <v>366</v>
      </c>
      <c r="C34" s="8"/>
      <c r="D34" s="8"/>
    </row>
    <row r="35" spans="2:4" ht="5" customHeight="1"/>
    <row r="36" spans="2:4" ht="55.8" customHeight="1">
      <c r="B36" s="10" t="s">
        <v>367</v>
      </c>
      <c r="C36" s="10"/>
      <c r="D36" s="10"/>
    </row>
    <row r="37" spans="2:4">
      <c r="B37" s="24" t="s">
        <v>368</v>
      </c>
      <c r="C37" s="24"/>
      <c r="D37" s="24"/>
    </row>
    <row r="39" spans="2:4" ht="21" customHeight="1">
      <c r="B39" s="8" t="s">
        <v>42</v>
      </c>
      <c r="C39" s="8"/>
      <c r="D39" s="8"/>
    </row>
    <row r="40" spans="2:4" ht="5" customHeight="1"/>
    <row r="41" spans="2:4" ht="42.6" customHeight="1">
      <c r="B41" s="10" t="s">
        <v>369</v>
      </c>
      <c r="C41" s="10"/>
      <c r="D41" s="10"/>
    </row>
    <row r="43" spans="2:4" ht="21" customHeight="1">
      <c r="B43" s="8" t="s">
        <v>370</v>
      </c>
      <c r="C43" s="8"/>
      <c r="D43" s="8"/>
    </row>
    <row r="44" spans="2:4" ht="5" customHeight="1"/>
    <row r="45" spans="2:4" ht="16.2" customHeight="1">
      <c r="B45" s="26" t="s">
        <v>55</v>
      </c>
      <c r="C45" s="10" t="s">
        <v>371</v>
      </c>
      <c r="D45" s="10"/>
    </row>
    <row r="46" spans="2:4" ht="29.4" customHeight="1">
      <c r="B46" s="26" t="s">
        <v>55</v>
      </c>
      <c r="C46" s="10" t="s">
        <v>372</v>
      </c>
      <c r="D46" s="10"/>
    </row>
    <row r="47" spans="2:4" ht="16.2" customHeight="1">
      <c r="B47" s="26" t="s">
        <v>55</v>
      </c>
      <c r="C47" s="10" t="s">
        <v>373</v>
      </c>
      <c r="D47" s="10"/>
    </row>
    <row r="48" spans="2:4">
      <c r="B48" s="21" t="s">
        <v>374</v>
      </c>
      <c r="C48" s="21"/>
      <c r="D48" s="21"/>
    </row>
    <row r="50" spans="2:4" ht="21" customHeight="1">
      <c r="B50" s="8" t="s">
        <v>375</v>
      </c>
      <c r="C50" s="8"/>
      <c r="D50" s="8"/>
    </row>
    <row r="51" spans="2:4" ht="5" customHeight="1"/>
    <row r="52" spans="2:4">
      <c r="B52" s="53" t="s">
        <v>50</v>
      </c>
      <c r="C52" s="53" t="s">
        <v>376</v>
      </c>
      <c r="D52" s="32" t="s">
        <v>118</v>
      </c>
    </row>
    <row r="53" spans="2:4" ht="16.2" customHeight="1">
      <c r="B53" s="71" t="s">
        <v>377</v>
      </c>
      <c r="C53" s="72" t="s">
        <v>378</v>
      </c>
      <c r="D53" s="73" t="s">
        <v>379</v>
      </c>
    </row>
    <row r="55" spans="2:4">
      <c r="B55" s="21" t="s">
        <v>61</v>
      </c>
      <c r="C55" s="21"/>
      <c r="D55" s="21"/>
    </row>
  </sheetData>
  <sheetProtection sheet="1" formatColumns="0" formatRows="0"/>
  <mergeCells count="25">
    <mergeCell ref="A1:D1"/>
    <mergeCell ref="B2:C2"/>
    <mergeCell ref="B4:D4"/>
    <mergeCell ref="B6:D6"/>
    <mergeCell ref="B8:D8"/>
    <mergeCell ref="B22:D22"/>
    <mergeCell ref="C24:D24"/>
    <mergeCell ref="C25:D25"/>
    <mergeCell ref="C26:D26"/>
    <mergeCell ref="B28:D28"/>
    <mergeCell ref="C30:D30"/>
    <mergeCell ref="C31:D31"/>
    <mergeCell ref="C32:D32"/>
    <mergeCell ref="B34:D34"/>
    <mergeCell ref="B36:D36"/>
    <mergeCell ref="B37:D37"/>
    <mergeCell ref="B39:D39"/>
    <mergeCell ref="B41:D41"/>
    <mergeCell ref="B43:D43"/>
    <mergeCell ref="C45:D45"/>
    <mergeCell ref="C46:D46"/>
    <mergeCell ref="C47:D47"/>
    <mergeCell ref="B48:D48"/>
    <mergeCell ref="B50:D50"/>
    <mergeCell ref="B55:D55"/>
  </mergeCells>
  <hyperlinks>
    <hyperlink ref="D2" r:id="rId1" tooltip="Free manufacturing calculators and templates"/>
    <hyperlink ref="B37" r:id="rId2"/>
  </hyperlinks>
  <printOptions horizontalCentered="1"/>
  <pageMargins left="0.4" right="0.4" top="0.7" bottom="0.65" header="0.3" footer="0.3"/>
  <pageSetup fitToHeight="0" orientation="portrait"/>
  <headerFooter>
    <oddHeader>&amp;L&amp;8MFG Calcs - Supplier Quality PPM&amp;R&amp;8&amp;A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R54"/>
  <sheetViews>
    <sheetView showGridLines="0" workbookViewId="0"/>
  </sheetViews>
  <sheetFormatPr defaultRowHeight="15"/>
  <cols>
    <col min="1" max="1" width="2.7109375" customWidth="1"/>
    <col min="2" max="19" width="12.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28</v>
      </c>
      <c r="C2" s="2"/>
      <c r="D2" s="2"/>
      <c r="E2" s="2"/>
      <c r="F2" s="2"/>
      <c r="G2" s="2"/>
      <c r="H2" s="2"/>
      <c r="I2" s="2"/>
      <c r="J2" s="2"/>
      <c r="K2" s="2"/>
      <c r="L2" s="2"/>
      <c r="M2" s="2"/>
      <c r="N2" s="2"/>
      <c r="O2" s="2"/>
      <c r="P2" s="2"/>
      <c r="Q2" s="2"/>
      <c r="R2" s="3" t="s">
        <v>2</v>
      </c>
    </row>
    <row r="3" spans="1:18" ht="6" customHeight="1"/>
    <row r="4" spans="1:18" ht="30" customHeight="1">
      <c r="B4" s="74" t="s">
        <v>380</v>
      </c>
      <c r="C4" s="74"/>
      <c r="D4" s="22" t="str">
        <f>IF(COUNTIF($K$11:$K$26,"PASS")=16,"PASS","FAIL")</f>
        <v>PASS</v>
      </c>
      <c r="E4" s="22"/>
      <c r="F4" s="23" t="str">
        <f>COUNTIF($K$11:$K$26,"PASS")&amp;" of 16 checks pass"</f>
        <v>16 of 16 checks pass</v>
      </c>
      <c r="G4" s="23"/>
      <c r="H4" s="23"/>
      <c r="I4" s="23"/>
      <c r="J4" s="23"/>
    </row>
    <row r="6" spans="1:18" ht="29.4" customHeight="1">
      <c r="B6" s="10" t="s">
        <v>381</v>
      </c>
      <c r="C6" s="10"/>
      <c r="D6" s="10"/>
      <c r="E6" s="10"/>
      <c r="F6" s="10"/>
      <c r="G6" s="10"/>
      <c r="H6" s="10"/>
      <c r="I6" s="10"/>
      <c r="J6" s="10"/>
      <c r="K6" s="10"/>
      <c r="L6" s="10"/>
    </row>
    <row r="8" spans="1:18" ht="21" customHeight="1">
      <c r="B8" s="8" t="s">
        <v>382</v>
      </c>
      <c r="C8" s="8"/>
      <c r="D8" s="8"/>
      <c r="E8" s="8"/>
      <c r="F8" s="8"/>
      <c r="G8" s="8"/>
      <c r="H8" s="8"/>
      <c r="I8" s="8"/>
      <c r="J8" s="8"/>
      <c r="K8" s="8"/>
      <c r="L8" s="8"/>
    </row>
    <row r="9" spans="1:18" ht="5" customHeight="1"/>
    <row r="10" spans="1:18" ht="30" customHeight="1">
      <c r="B10" s="32" t="s">
        <v>383</v>
      </c>
      <c r="C10" s="53" t="s">
        <v>129</v>
      </c>
      <c r="D10" s="53"/>
      <c r="E10" s="53"/>
      <c r="F10" s="53"/>
      <c r="G10" s="32" t="s">
        <v>384</v>
      </c>
      <c r="H10" s="32" t="s">
        <v>385</v>
      </c>
      <c r="I10" s="32" t="s">
        <v>386</v>
      </c>
      <c r="J10" s="32" t="s">
        <v>387</v>
      </c>
      <c r="K10" s="32" t="s">
        <v>388</v>
      </c>
    </row>
    <row r="11" spans="1:18" ht="16.2" customHeight="1">
      <c r="B11" s="64">
        <v>1</v>
      </c>
      <c r="C11" s="72" t="s">
        <v>389</v>
      </c>
      <c r="D11" s="72"/>
      <c r="E11" s="72"/>
      <c r="F11" s="72"/>
      <c r="G11" s="75">
        <v>400</v>
      </c>
      <c r="H11" s="76">
        <f>$L$51</f>
        <v>400</v>
      </c>
      <c r="I11" s="77">
        <f>IF(AND(ISNUMBER($G$11),ISNUMBER($H$11)),ABS($H$11-$G$11),"")</f>
        <v>0</v>
      </c>
      <c r="J11" s="78">
        <v>1E-09</v>
      </c>
      <c r="K11" s="39" t="str">
        <f>IF(AND(ISNUMBER($G$11),ISNUMBER($H$11)),IF(ABS($H$11-$G$11)&lt;=$J$11,"PASS","FAIL"),"FAIL")</f>
        <v>PASS</v>
      </c>
    </row>
    <row r="12" spans="1:18" ht="16.2" customHeight="1">
      <c r="B12" s="64">
        <v>2</v>
      </c>
      <c r="C12" s="72" t="s">
        <v>390</v>
      </c>
      <c r="D12" s="72"/>
      <c r="E12" s="72"/>
      <c r="F12" s="72"/>
      <c r="G12" s="79">
        <v>-100</v>
      </c>
      <c r="H12" s="38">
        <f>$N$51</f>
        <v>-100</v>
      </c>
      <c r="I12" s="77">
        <f>IF(AND(ISNUMBER($G$12),ISNUMBER($H$12)),ABS($H$12-$G$12),"")</f>
        <v>0</v>
      </c>
      <c r="J12" s="78">
        <v>1E-09</v>
      </c>
      <c r="K12" s="39" t="str">
        <f>IF(AND(ISNUMBER($G$12),ISNUMBER($H$12)),IF(ABS($H$12-$G$12)&lt;=$J$12,"PASS","FAIL"),"FAIL")</f>
        <v>PASS</v>
      </c>
    </row>
    <row r="13" spans="1:18" ht="16.2" customHeight="1">
      <c r="B13" s="64">
        <v>3</v>
      </c>
      <c r="C13" s="72" t="s">
        <v>391</v>
      </c>
      <c r="D13" s="72"/>
      <c r="E13" s="72"/>
      <c r="F13" s="72"/>
      <c r="G13" s="71" t="s">
        <v>392</v>
      </c>
      <c r="H13" s="65" t="str">
        <f>$O$51</f>
        <v>On target</v>
      </c>
      <c r="I13" s="65"/>
      <c r="J13" s="73" t="s">
        <v>393</v>
      </c>
      <c r="K13" s="39" t="str">
        <f>IF($H$13&amp;""=$G$13&amp;"","PASS","FAIL")</f>
        <v>PASS</v>
      </c>
    </row>
    <row r="14" spans="1:18" ht="16.2" customHeight="1">
      <c r="B14" s="64">
        <v>4</v>
      </c>
      <c r="C14" s="72" t="s">
        <v>394</v>
      </c>
      <c r="D14" s="72"/>
      <c r="E14" s="72"/>
      <c r="F14" s="72"/>
      <c r="G14" s="75">
        <v>2000</v>
      </c>
      <c r="H14" s="76">
        <f>$L$52</f>
        <v>2000</v>
      </c>
      <c r="I14" s="77">
        <f>IF(AND(ISNUMBER($G$14),ISNUMBER($H$14)),ABS($H$14-$G$14),"")</f>
        <v>0</v>
      </c>
      <c r="J14" s="78">
        <v>1E-09</v>
      </c>
      <c r="K14" s="39" t="str">
        <f>IF(AND(ISNUMBER($G$14),ISNUMBER($H$14)),IF(ABS($H$14-$G$14)&lt;=$J$14,"PASS","FAIL"),"FAIL")</f>
        <v>PASS</v>
      </c>
    </row>
    <row r="15" spans="1:18" ht="16.2" customHeight="1">
      <c r="B15" s="64">
        <v>5</v>
      </c>
      <c r="C15" s="72" t="s">
        <v>395</v>
      </c>
      <c r="D15" s="72"/>
      <c r="E15" s="72"/>
      <c r="F15" s="72"/>
      <c r="G15" s="71" t="s">
        <v>392</v>
      </c>
      <c r="H15" s="65" t="str">
        <f>$O$52</f>
        <v>On target</v>
      </c>
      <c r="I15" s="65"/>
      <c r="J15" s="73" t="s">
        <v>393</v>
      </c>
      <c r="K15" s="39" t="str">
        <f>IF($H$15&amp;""=$G$15&amp;"","PASS","FAIL")</f>
        <v>PASS</v>
      </c>
    </row>
    <row r="16" spans="1:18" ht="16.2" customHeight="1">
      <c r="B16" s="64">
        <v>6</v>
      </c>
      <c r="C16" s="72" t="s">
        <v>396</v>
      </c>
      <c r="D16" s="72"/>
      <c r="E16" s="72"/>
      <c r="F16" s="72"/>
      <c r="G16" s="55">
        <v>0</v>
      </c>
      <c r="H16" s="37">
        <f>$L$53</f>
        <v>0</v>
      </c>
      <c r="I16" s="77">
        <f>IF(AND(ISNUMBER($G$16),ISNUMBER($H$16)),ABS($H$16-$G$16),"")</f>
        <v>0</v>
      </c>
      <c r="J16" s="78">
        <v>1E-09</v>
      </c>
      <c r="K16" s="39" t="str">
        <f>IF(AND(ISNUMBER($G$16),ISNUMBER($H$16)),IF(ABS($H$16-$G$16)&lt;=$J$16,"PASS","FAIL"),"FAIL")</f>
        <v>PASS</v>
      </c>
    </row>
    <row r="17" spans="2:12" ht="16.2" customHeight="1">
      <c r="B17" s="64">
        <v>7</v>
      </c>
      <c r="C17" s="72" t="s">
        <v>397</v>
      </c>
      <c r="D17" s="72"/>
      <c r="E17" s="72"/>
      <c r="F17" s="72"/>
      <c r="G17" s="71" t="s">
        <v>398</v>
      </c>
      <c r="H17" s="65" t="str">
        <f>$O$54</f>
        <v>Above target</v>
      </c>
      <c r="I17" s="65"/>
      <c r="J17" s="73" t="s">
        <v>393</v>
      </c>
      <c r="K17" s="39" t="str">
        <f>IF($H$17&amp;""=$G$17&amp;"","PASS","FAIL")</f>
        <v>PASS</v>
      </c>
    </row>
    <row r="18" spans="2:12" ht="16.2" customHeight="1">
      <c r="B18" s="64">
        <v>8</v>
      </c>
      <c r="C18" s="72" t="s">
        <v>399</v>
      </c>
      <c r="D18" s="72"/>
      <c r="E18" s="72"/>
      <c r="F18" s="72"/>
      <c r="G18" s="71" t="s">
        <v>400</v>
      </c>
      <c r="H18" s="65" t="str">
        <f>$Q$54</f>
        <v>Reject reason missing</v>
      </c>
      <c r="I18" s="65"/>
      <c r="J18" s="73" t="s">
        <v>393</v>
      </c>
      <c r="K18" s="39" t="str">
        <f>IF($H$18&amp;""=$G$18&amp;"","PASS","FAIL")</f>
        <v>PASS</v>
      </c>
    </row>
    <row r="19" spans="2:12" ht="16.2" customHeight="1">
      <c r="B19" s="64">
        <v>9</v>
      </c>
      <c r="C19" s="72" t="s">
        <v>401</v>
      </c>
      <c r="D19" s="72"/>
      <c r="E19" s="72"/>
      <c r="F19" s="72"/>
      <c r="G19" s="71" t="s">
        <v>402</v>
      </c>
      <c r="H19" s="65" t="str">
        <f>$Q$51</f>
        <v>OK</v>
      </c>
      <c r="I19" s="65"/>
      <c r="J19" s="73" t="s">
        <v>393</v>
      </c>
      <c r="K19" s="39" t="str">
        <f>IF($H$19&amp;""=$G$19&amp;"","PASS","FAIL")</f>
        <v>PASS</v>
      </c>
    </row>
    <row r="20" spans="2:12" ht="16.2" customHeight="1">
      <c r="B20" s="64">
        <v>10</v>
      </c>
      <c r="C20" s="72" t="s">
        <v>403</v>
      </c>
      <c r="D20" s="72"/>
      <c r="E20" s="72"/>
      <c r="F20" s="72"/>
      <c r="G20" s="75">
        <v>334.2036553524804</v>
      </c>
      <c r="H20" s="76">
        <f>IF((SUMIFS(tblVerifyReceipts[Received],tblVerifyReceipts[View date],"&gt;0"))=0,"",(SUMIFS(tblVerifyReceipts[Rejected],tblVerifyReceipts[View date],"&gt;0")*1000000)/(SUMIFS(tblVerifyReceipts[Received],tblVerifyReceipts[View date],"&gt;0")))</f>
        <v>334.20365535248</v>
      </c>
      <c r="I20" s="77">
        <f>IF(AND(ISNUMBER($G$20),ISNUMBER($H$20)),ABS($H$20-$G$20),"")</f>
        <v>0</v>
      </c>
      <c r="J20" s="78">
        <v>1E-06</v>
      </c>
      <c r="K20" s="39" t="str">
        <f>IF(AND(ISNUMBER($G$20),ISNUMBER($H$20)),IF(ABS($H$20-$G$20)&lt;=$J$20,"PASS","FAIL"),"FAIL")</f>
        <v>PASS</v>
      </c>
    </row>
    <row r="21" spans="2:12" ht="16.2" customHeight="1">
      <c r="B21" s="64">
        <v>11</v>
      </c>
      <c r="C21" s="72" t="s">
        <v>404</v>
      </c>
      <c r="D21" s="72"/>
      <c r="E21" s="72"/>
      <c r="F21" s="72"/>
      <c r="G21" s="80">
        <v>0.0003342036553524804</v>
      </c>
      <c r="H21" s="36">
        <f>IF((SUMIFS(tblVerifyReceipts[Received],tblVerifyReceipts[View date],"&gt;0"))=0,"",(SUMIFS(tblVerifyReceipts[Rejected],tblVerifyReceipts[View date],"&gt;0"))/(SUMIFS(tblVerifyReceipts[Received],tblVerifyReceipts[View date],"&gt;0")))</f>
        <v>0.00033420365535248</v>
      </c>
      <c r="I21" s="77">
        <f>IF(AND(ISNUMBER($G$21),ISNUMBER($H$21)),ABS($H$21-$G$21),"")</f>
        <v>0</v>
      </c>
      <c r="J21" s="78">
        <v>1E-09</v>
      </c>
      <c r="K21" s="39" t="str">
        <f>IF(AND(ISNUMBER($G$21),ISNUMBER($H$21)),IF(ABS($H$21-$G$21)&lt;=$J$21,"PASS","FAIL"),"FAIL")</f>
        <v>PASS</v>
      </c>
    </row>
    <row r="22" spans="2:12" ht="16.2" customHeight="1">
      <c r="B22" s="64">
        <v>12</v>
      </c>
      <c r="C22" s="72" t="s">
        <v>405</v>
      </c>
      <c r="D22" s="72"/>
      <c r="E22" s="72"/>
      <c r="F22" s="72"/>
      <c r="G22" s="81">
        <v>0.25</v>
      </c>
      <c r="H22" s="58">
        <f>IF((COUNTIFS(tblVerifyReceipts[View date],"&gt;0"))=0,"",(COUNTIFS(tblVerifyReceipts[Rejected],0,tblVerifyReceipts[View date],"&gt;0"))/(COUNTIFS(tblVerifyReceipts[View date],"&gt;0")))</f>
        <v>0.25</v>
      </c>
      <c r="I22" s="77">
        <f>IF(AND(ISNUMBER($G$22),ISNUMBER($H$22)),ABS($H$22-$G$22),"")</f>
        <v>0</v>
      </c>
      <c r="J22" s="78">
        <v>1E-09</v>
      </c>
      <c r="K22" s="39" t="str">
        <f>IF(AND(ISNUMBER($G$22),ISNUMBER($H$22)),IF(ABS($H$22-$G$22)&lt;=$J$22,"PASS","FAIL"),"FAIL")</f>
        <v>PASS</v>
      </c>
    </row>
    <row r="23" spans="2:12" ht="16.2" customHeight="1">
      <c r="B23" s="64">
        <v>13</v>
      </c>
      <c r="C23" s="72" t="s">
        <v>406</v>
      </c>
      <c r="D23" s="72"/>
      <c r="E23" s="72"/>
      <c r="F23" s="72"/>
      <c r="G23" s="75">
        <v>315.7894736842105</v>
      </c>
      <c r="H23" s="76">
        <f>IF((SUMIFS(tblVerifyReceipts[Received],tblVerifyReceipts[Supplier],"Supplier A",tblVerifyReceipts[View date],"&gt;0"))=0,"",(SUMIFS(tblVerifyReceipts[Rejected],tblVerifyReceipts[Supplier],"Supplier A",tblVerifyReceipts[View date],"&gt;0")*1000000)/(SUMIFS(tblVerifyReceipts[Received],tblVerifyReceipts[Supplier],"Supplier A",tblVerifyReceipts[View date],"&gt;0")))</f>
        <v>315.789473684211</v>
      </c>
      <c r="I23" s="77">
        <f>IF(AND(ISNUMBER($G$23),ISNUMBER($H$23)),ABS($H$23-$G$23),"")</f>
        <v>0</v>
      </c>
      <c r="J23" s="78">
        <v>1E-06</v>
      </c>
      <c r="K23" s="39" t="str">
        <f>IF(AND(ISNUMBER($G$23),ISNUMBER($H$23)),IF(ABS($H$23-$G$23)&lt;=$J$23,"PASS","FAIL"),"FAIL")</f>
        <v>PASS</v>
      </c>
    </row>
    <row r="24" spans="2:12" ht="16.2" customHeight="1">
      <c r="B24" s="64">
        <v>14</v>
      </c>
      <c r="C24" s="72" t="s">
        <v>407</v>
      </c>
      <c r="D24" s="72"/>
      <c r="E24" s="72"/>
      <c r="F24" s="72"/>
      <c r="G24" s="55">
        <v>95</v>
      </c>
      <c r="H24" s="37">
        <f>INT(SUMIFS(tblVerifyReceipts[Received],tblVerifyReceipts[Supplier],"Supplier A",tblVerifyReceipts[View date],"&gt;0")*INDEX(tblVerifySuppliers[PPM limit],MATCH("Supplier A",tblVerifySuppliers[Supplier],0))/1000000)</f>
        <v>95</v>
      </c>
      <c r="I24" s="77">
        <f>IF(AND(ISNUMBER($G$24),ISNUMBER($H$24)),ABS($H$24-$G$24),"")</f>
        <v>0</v>
      </c>
      <c r="J24" s="78">
        <v>1E-09</v>
      </c>
      <c r="K24" s="39" t="str">
        <f>IF(AND(ISNUMBER($G$24),ISNUMBER($H$24)),IF(ABS($H$24-$G$24)&lt;=$J$24,"PASS","FAIL"),"FAIL")</f>
        <v>PASS</v>
      </c>
    </row>
    <row r="25" spans="2:12" ht="16.2" customHeight="1">
      <c r="B25" s="64">
        <v>15</v>
      </c>
      <c r="C25" s="72" t="s">
        <v>408</v>
      </c>
      <c r="D25" s="72"/>
      <c r="E25" s="72"/>
      <c r="F25" s="72"/>
      <c r="G25" s="75">
        <v>0</v>
      </c>
      <c r="H25" s="76">
        <f>IF((SUMIFS(tblVerifyReceipts[Received],tblVerifyReceipts[Supplier],"Supplier A",tblVerifyReceipts[View date],"&gt;0",tblVerifyReceipts[View date],"&gt;="&amp;DATE(YEAR(MAX(tblVerifyReceipts[View date])),MONTH(MAX(tblVerifyReceipts[View date]))-2,1)))=0,"",(SUMIFS(tblVerifyReceipts[Rejected],tblVerifyReceipts[Supplier],"Supplier A",tblVerifyReceipts[View date],"&gt;0",tblVerifyReceipts[View date],"&gt;="&amp;DATE(YEAR(MAX(tblVerifyReceipts[View date])),MONTH(MAX(tblVerifyReceipts[View date]))-2,1))*1000000)/(SUMIFS(tblVerifyReceipts[Received],tblVerifyReceipts[Supplier],"Supplier A",tblVerifyReceipts[View date],"&gt;0",tblVerifyReceipts[View date],"&gt;="&amp;DATE(YEAR(MAX(tblVerifyReceipts[View date])),MONTH(MAX(tblVerifyReceipts[View date]))-2,1))))</f>
        <v>0</v>
      </c>
      <c r="I25" s="77">
        <f>IF(AND(ISNUMBER($G$25),ISNUMBER($H$25)),ABS($H$25-$G$25),"")</f>
        <v>0</v>
      </c>
      <c r="J25" s="78">
        <v>1E-06</v>
      </c>
      <c r="K25" s="39" t="str">
        <f>IF(AND(ISNUMBER($G$25),ISNUMBER($H$25)),IF(ABS($H$25-$G$25)&lt;=$J$25,"PASS","FAIL"),"FAIL")</f>
        <v>PASS</v>
      </c>
    </row>
    <row r="26" spans="2:12" ht="16.2" customHeight="1">
      <c r="B26" s="64">
        <v>16</v>
      </c>
      <c r="C26" s="72" t="s">
        <v>409</v>
      </c>
      <c r="D26" s="72"/>
      <c r="E26" s="72"/>
      <c r="F26" s="72"/>
      <c r="G26" s="81">
        <v>0</v>
      </c>
      <c r="H26" s="58">
        <f>IF((COUNTIFS(tblVerifyReceipts[Supplier],"Supplier B",tblVerifyReceipts[View date],"&gt;0"))=0,"",(COUNTIFS(tblVerifyReceipts[Rejected],0,tblVerifyReceipts[Supplier],"Supplier B",tblVerifyReceipts[View date],"&gt;0"))/(COUNTIFS(tblVerifyReceipts[Supplier],"Supplier B",tblVerifyReceipts[View date],"&gt;0")))</f>
        <v>0</v>
      </c>
      <c r="I26" s="77">
        <f>IF(AND(ISNUMBER($G$26),ISNUMBER($H$26)),ABS($H$26-$G$26),"")</f>
        <v>0</v>
      </c>
      <c r="J26" s="78">
        <v>1E-09</v>
      </c>
      <c r="K26" s="39" t="str">
        <f>IF(AND(ISNUMBER($G$26),ISNUMBER($H$26)),IF(ABS($H$26-$G$26)&lt;=$J$26,"PASS","FAIL"),"FAIL")</f>
        <v>PASS</v>
      </c>
    </row>
    <row r="28" spans="2:12" ht="21" customHeight="1">
      <c r="B28" s="8" t="s">
        <v>410</v>
      </c>
      <c r="C28" s="8"/>
      <c r="D28" s="8"/>
      <c r="E28" s="8"/>
      <c r="F28" s="8"/>
      <c r="G28" s="8"/>
      <c r="H28" s="8"/>
      <c r="I28" s="8"/>
      <c r="J28" s="8"/>
      <c r="K28" s="8"/>
      <c r="L28" s="8"/>
    </row>
    <row r="29" spans="2:12" ht="5" customHeight="1"/>
    <row r="30" spans="2:12">
      <c r="B30" s="21" t="s">
        <v>411</v>
      </c>
      <c r="C30" s="21"/>
      <c r="D30" s="21"/>
      <c r="E30" s="21"/>
      <c r="F30" s="21"/>
      <c r="G30" s="21"/>
      <c r="H30" s="21"/>
      <c r="I30" s="21"/>
      <c r="J30" s="21"/>
      <c r="K30" s="21"/>
      <c r="L30" s="21"/>
    </row>
    <row r="31" spans="2:12">
      <c r="B31" s="30" t="s">
        <v>412</v>
      </c>
      <c r="C31" s="30"/>
      <c r="D31" s="30"/>
      <c r="E31" s="30"/>
      <c r="F31" s="30"/>
    </row>
    <row r="32" spans="2:12">
      <c r="B32" s="27" t="s">
        <v>413</v>
      </c>
      <c r="C32" s="27"/>
      <c r="D32" s="27"/>
      <c r="E32" s="55">
        <v>0</v>
      </c>
      <c r="F32" s="7"/>
    </row>
    <row r="33" spans="2:12">
      <c r="B33" s="27" t="s">
        <v>414</v>
      </c>
      <c r="C33" s="27"/>
      <c r="D33" s="27"/>
      <c r="E33" s="55">
        <v>2958465</v>
      </c>
      <c r="F33" s="7"/>
    </row>
    <row r="34" spans="2:12">
      <c r="B34" s="27" t="s">
        <v>415</v>
      </c>
      <c r="C34" s="27"/>
      <c r="D34" s="27"/>
      <c r="E34" s="71" t="s">
        <v>136</v>
      </c>
      <c r="F34" s="71"/>
    </row>
    <row r="35" spans="2:12">
      <c r="B35" s="27" t="s">
        <v>416</v>
      </c>
      <c r="C35" s="27"/>
      <c r="D35" s="27"/>
      <c r="E35" s="55">
        <v>500</v>
      </c>
      <c r="F35" s="7"/>
    </row>
    <row r="37" spans="2:12">
      <c r="B37" s="30" t="s">
        <v>417</v>
      </c>
      <c r="C37" s="30"/>
      <c r="D37" s="30"/>
      <c r="E37" s="30"/>
      <c r="F37" s="30"/>
      <c r="G37" s="30"/>
      <c r="H37" s="30"/>
      <c r="I37" s="30"/>
      <c r="J37" s="30"/>
      <c r="K37" s="30"/>
      <c r="L37" s="30"/>
    </row>
    <row r="38" spans="2:12" ht="14" customHeight="1">
      <c r="B38" s="31"/>
      <c r="C38" s="31"/>
      <c r="D38" s="31" t="s">
        <v>73</v>
      </c>
    </row>
    <row r="39" spans="2:12" ht="20" customHeight="1">
      <c r="B39" s="32" t="s">
        <v>62</v>
      </c>
      <c r="C39" s="32" t="s">
        <v>63</v>
      </c>
      <c r="D39" s="32" t="s">
        <v>64</v>
      </c>
    </row>
    <row r="40" spans="2:12">
      <c r="B40" s="71" t="s">
        <v>418</v>
      </c>
      <c r="C40" s="71" t="s">
        <v>419</v>
      </c>
      <c r="D40" s="55">
        <v>500</v>
      </c>
    </row>
    <row r="41" spans="2:12">
      <c r="B41" s="71" t="s">
        <v>420</v>
      </c>
      <c r="C41" s="71" t="s">
        <v>419</v>
      </c>
      <c r="D41" s="55">
        <v>2000</v>
      </c>
    </row>
    <row r="43" spans="2:12">
      <c r="B43" s="30" t="s">
        <v>421</v>
      </c>
      <c r="C43" s="30"/>
      <c r="D43" s="30"/>
      <c r="E43" s="30"/>
      <c r="F43" s="30"/>
      <c r="G43" s="30"/>
      <c r="H43" s="30"/>
      <c r="I43" s="30"/>
      <c r="J43" s="30"/>
      <c r="K43" s="30"/>
      <c r="L43" s="30"/>
    </row>
    <row r="44" spans="2:12" ht="20" customHeight="1">
      <c r="B44" s="32" t="s">
        <v>65</v>
      </c>
      <c r="C44" s="32" t="s">
        <v>66</v>
      </c>
    </row>
    <row r="45" spans="2:12">
      <c r="B45" s="71" t="s">
        <v>91</v>
      </c>
      <c r="C45" s="71" t="s">
        <v>419</v>
      </c>
    </row>
    <row r="46" spans="2:12">
      <c r="B46" s="71" t="s">
        <v>101</v>
      </c>
      <c r="C46" s="71" t="s">
        <v>419</v>
      </c>
    </row>
    <row r="48" spans="2:12">
      <c r="B48" s="30" t="s">
        <v>422</v>
      </c>
      <c r="C48" s="30"/>
      <c r="D48" s="30"/>
      <c r="E48" s="30"/>
      <c r="F48" s="30"/>
      <c r="G48" s="30"/>
      <c r="H48" s="30"/>
      <c r="I48" s="30"/>
      <c r="J48" s="30"/>
      <c r="K48" s="30"/>
      <c r="L48" s="30"/>
    </row>
    <row r="49" spans="2:18" ht="14" customHeight="1">
      <c r="B49" s="31"/>
      <c r="C49" s="31"/>
      <c r="D49" s="31"/>
      <c r="E49" s="31"/>
      <c r="F49" s="31" t="s">
        <v>132</v>
      </c>
      <c r="G49" s="31" t="s">
        <v>132</v>
      </c>
      <c r="H49" s="31"/>
      <c r="I49" s="31"/>
      <c r="J49" s="31"/>
      <c r="K49" s="31"/>
      <c r="L49" s="31" t="s">
        <v>73</v>
      </c>
      <c r="M49" s="31" t="s">
        <v>73</v>
      </c>
      <c r="N49" s="31" t="s">
        <v>73</v>
      </c>
      <c r="O49" s="31"/>
      <c r="P49" s="31"/>
      <c r="Q49" s="31"/>
      <c r="R49" s="31"/>
    </row>
    <row r="50" spans="2:18" ht="32" customHeight="1">
      <c r="B50" s="32" t="s">
        <v>118</v>
      </c>
      <c r="C50" s="32" t="s">
        <v>119</v>
      </c>
      <c r="D50" s="32" t="s">
        <v>62</v>
      </c>
      <c r="E50" s="32" t="s">
        <v>120</v>
      </c>
      <c r="F50" s="32" t="s">
        <v>121</v>
      </c>
      <c r="G50" s="32" t="s">
        <v>122</v>
      </c>
      <c r="H50" s="32" t="s">
        <v>123</v>
      </c>
      <c r="I50" s="32" t="s">
        <v>67</v>
      </c>
      <c r="J50" s="32" t="s">
        <v>124</v>
      </c>
      <c r="K50" s="32" t="s">
        <v>125</v>
      </c>
      <c r="L50" s="32" t="s">
        <v>73</v>
      </c>
      <c r="M50" s="32" t="s">
        <v>64</v>
      </c>
      <c r="N50" s="32" t="s">
        <v>126</v>
      </c>
      <c r="O50" s="32" t="s">
        <v>127</v>
      </c>
      <c r="P50" s="32" t="s">
        <v>128</v>
      </c>
      <c r="Q50" s="32" t="s">
        <v>129</v>
      </c>
      <c r="R50" s="32" t="s">
        <v>130</v>
      </c>
    </row>
    <row r="51" spans="2:18">
      <c r="B51" s="82">
        <v>46034</v>
      </c>
      <c r="C51" s="71" t="s">
        <v>423</v>
      </c>
      <c r="D51" s="71" t="s">
        <v>418</v>
      </c>
      <c r="E51" s="71" t="s">
        <v>424</v>
      </c>
      <c r="F51" s="55">
        <v>150000</v>
      </c>
      <c r="G51" s="55">
        <v>60</v>
      </c>
      <c r="H51" s="71" t="s">
        <v>91</v>
      </c>
      <c r="I51" s="71" t="s">
        <v>116</v>
      </c>
      <c r="J51" s="71"/>
      <c r="K51" s="36">
        <f>IF(tblVerifyReceipts[[#This Row],[Date]]="","",IF(tblVerifyReceipts[[#This Row],[Received]]&gt;0,tblVerifyReceipts[[#This Row],[Rejected]]/tblVerifyReceipts[[#This Row],[Received]],""))</f>
        <v>0.0004</v>
      </c>
      <c r="L51" s="37">
        <f>IF(tblVerifyReceipts[[#This Row],[Date]]="","",IF(tblVerifyReceipts[[#This Row],[Received]]&gt;0,tblVerifyReceipts[[#This Row],[Rejected]]/tblVerifyReceipts[[#This Row],[Received]]*1000000,""))</f>
        <v>400</v>
      </c>
      <c r="M51" s="55">
        <v>500</v>
      </c>
      <c r="N51" s="38">
        <f>IF(tblVerifyReceipts[[#This Row],[Date]]="","",IF(AND(ISNUMBER(tblVerifyReceipts[[#This Row],[PPM]]),ISNUMBER(tblVerifyReceipts[[#This Row],[PPM limit]])),tblVerifyReceipts[[#This Row],[PPM]]-tblVerifyReceipts[[#This Row],[PPM limit]],""))</f>
        <v>-100</v>
      </c>
      <c r="O51" s="39" t="str">
        <f>IF(NOT(ISNUMBER(tblVerifyReceipts[[#This Row],[PPM]])),"",IF(tblVerifyReceipts[[#This Row],[PPM]]&lt;=tblVerifyReceipts[[#This Row],[PPM limit]],"On target",IF(tblVerifyReceipts[[#This Row],[PPM]]&lt;=tblVerifyReceipts[[#This Row],[PPM limit]]*(1+0.05),"Near target","Above target")))</f>
        <v>On target</v>
      </c>
      <c r="P51" s="40">
        <f>IF(tblVerifyReceipts[[#This Row],[Date]]="","",IF(AND(tblVerifyReceipts[[#This Row],[Date]]&gt;=$E$32,tblVerifyReceipts[[#This Row],[Date]]&lt;=$E$33,OR($E$34="",tblVerifyReceipts[[#This Row],[Supplier]]=$E$34)),tblVerifyReceipts[[#This Row],[Date]],""))</f>
        <v>46034</v>
      </c>
      <c r="Q51" s="41" t="str">
        <f>IF(tblVerifyReceipts[[#This Row],[Date]]="","",IF(tblVerifyReceipts[[#This Row],[Receipt ID]]="","Missing receipt id",IF(tblVerifyReceipts[[#This Row],[Supplier]]="","Missing supplier",IF(tblVerifyReceipts[[#This Row],[Received]]="","Missing received",IF(tblVerifyReceipts[[#This Row],[Rejected]]="","Missing rejected",IF(tblVerifyReceipts[[#This Row],[PPM limit]]="","Supplier not on Setup list",IF(tblVerifyReceipts[[#This Row],[Rejected]]&gt;tblVerifyReceipts[[#This Row],[Received]],"Rejected &gt; received",IF(AND(tblVerifyReceipts[[#This Row],[Rejected]]&gt;0,tblVerifyReceipts[[#This Row],[Reject reason]]=""),"Reject reason missing",IF(AND(tblVerifyReceipts[[#This Row],[Rejected]]&gt;0,tblVerifyReceipts[[#This Row],[Disposition]]=""),"Disposition missing",IF(AND(tblVerifyReceipts[[#This Row],[Reject reason]]&lt;&gt;"",COUNTIF(tblVerifyReasons[Reason],tblVerifyReceipts[[#This Row],[Reject reason]])=0),"Reason not on Setup list",IF(COUNTIF(tblVerifyReceipts[Receipt ID],tblVerifyReceipts[[#This Row],[Receipt ID]])&gt;1,"Duplicate receipt ID","OK")))))))))))</f>
        <v>OK</v>
      </c>
      <c r="R51" s="71"/>
    </row>
    <row r="52" spans="2:18">
      <c r="B52" s="82">
        <v>46062</v>
      </c>
      <c r="C52" s="71" t="s">
        <v>425</v>
      </c>
      <c r="D52" s="71" t="s">
        <v>420</v>
      </c>
      <c r="E52" s="71" t="s">
        <v>426</v>
      </c>
      <c r="F52" s="55">
        <v>500</v>
      </c>
      <c r="G52" s="55">
        <v>1</v>
      </c>
      <c r="H52" s="71" t="s">
        <v>101</v>
      </c>
      <c r="I52" s="71" t="s">
        <v>116</v>
      </c>
      <c r="J52" s="71"/>
      <c r="K52" s="36">
        <f>IF(tblVerifyReceipts[[#This Row],[Date]]="","",IF(tblVerifyReceipts[[#This Row],[Received]]&gt;0,tblVerifyReceipts[[#This Row],[Rejected]]/tblVerifyReceipts[[#This Row],[Received]],""))</f>
        <v>0.002</v>
      </c>
      <c r="L52" s="37">
        <f>IF(tblVerifyReceipts[[#This Row],[Date]]="","",IF(tblVerifyReceipts[[#This Row],[Received]]&gt;0,tblVerifyReceipts[[#This Row],[Rejected]]/tblVerifyReceipts[[#This Row],[Received]]*1000000,""))</f>
        <v>2000</v>
      </c>
      <c r="M52" s="55">
        <v>2000</v>
      </c>
      <c r="N52" s="38">
        <f>IF(tblVerifyReceipts[[#This Row],[Date]]="","",IF(AND(ISNUMBER(tblVerifyReceipts[[#This Row],[PPM]]),ISNUMBER(tblVerifyReceipts[[#This Row],[PPM limit]])),tblVerifyReceipts[[#This Row],[PPM]]-tblVerifyReceipts[[#This Row],[PPM limit]],""))</f>
        <v>0</v>
      </c>
      <c r="O52" s="39" t="str">
        <f>IF(NOT(ISNUMBER(tblVerifyReceipts[[#This Row],[PPM]])),"",IF(tblVerifyReceipts[[#This Row],[PPM]]&lt;=tblVerifyReceipts[[#This Row],[PPM limit]],"On target",IF(tblVerifyReceipts[[#This Row],[PPM]]&lt;=tblVerifyReceipts[[#This Row],[PPM limit]]*(1+0.05),"Near target","Above target")))</f>
        <v>On target</v>
      </c>
      <c r="P52" s="40">
        <f>IF(tblVerifyReceipts[[#This Row],[Date]]="","",IF(AND(tblVerifyReceipts[[#This Row],[Date]]&gt;=$E$32,tblVerifyReceipts[[#This Row],[Date]]&lt;=$E$33,OR($E$34="",tblVerifyReceipts[[#This Row],[Supplier]]=$E$34)),tblVerifyReceipts[[#This Row],[Date]],""))</f>
        <v>46062</v>
      </c>
      <c r="Q52" s="41" t="str">
        <f>IF(tblVerifyReceipts[[#This Row],[Date]]="","",IF(tblVerifyReceipts[[#This Row],[Receipt ID]]="","Missing receipt id",IF(tblVerifyReceipts[[#This Row],[Supplier]]="","Missing supplier",IF(tblVerifyReceipts[[#This Row],[Received]]="","Missing received",IF(tblVerifyReceipts[[#This Row],[Rejected]]="","Missing rejected",IF(tblVerifyReceipts[[#This Row],[PPM limit]]="","Supplier not on Setup list",IF(tblVerifyReceipts[[#This Row],[Rejected]]&gt;tblVerifyReceipts[[#This Row],[Received]],"Rejected &gt; received",IF(AND(tblVerifyReceipts[[#This Row],[Rejected]]&gt;0,tblVerifyReceipts[[#This Row],[Reject reason]]=""),"Reject reason missing",IF(AND(tblVerifyReceipts[[#This Row],[Rejected]]&gt;0,tblVerifyReceipts[[#This Row],[Disposition]]=""),"Disposition missing",IF(AND(tblVerifyReceipts[[#This Row],[Reject reason]]&lt;&gt;"",COUNTIF(tblVerifyReasons[Reason],tblVerifyReceipts[[#This Row],[Reject reason]])=0),"Reason not on Setup list",IF(COUNTIF(tblVerifyReceipts[Receipt ID],tblVerifyReceipts[[#This Row],[Receipt ID]])&gt;1,"Duplicate receipt ID","OK")))))))))))</f>
        <v>OK</v>
      </c>
      <c r="R52" s="71"/>
    </row>
    <row r="53" spans="2:18">
      <c r="B53" s="82">
        <v>46118</v>
      </c>
      <c r="C53" s="71" t="s">
        <v>427</v>
      </c>
      <c r="D53" s="71" t="s">
        <v>418</v>
      </c>
      <c r="E53" s="71" t="s">
        <v>424</v>
      </c>
      <c r="F53" s="55">
        <v>40000</v>
      </c>
      <c r="G53" s="55">
        <v>0</v>
      </c>
      <c r="H53" s="71" t="s">
        <v>136</v>
      </c>
      <c r="I53" s="71" t="s">
        <v>136</v>
      </c>
      <c r="J53" s="71"/>
      <c r="K53" s="36">
        <f>IF(tblVerifyReceipts[[#This Row],[Date]]="","",IF(tblVerifyReceipts[[#This Row],[Received]]&gt;0,tblVerifyReceipts[[#This Row],[Rejected]]/tblVerifyReceipts[[#This Row],[Received]],""))</f>
        <v>0</v>
      </c>
      <c r="L53" s="37">
        <f>IF(tblVerifyReceipts[[#This Row],[Date]]="","",IF(tblVerifyReceipts[[#This Row],[Received]]&gt;0,tblVerifyReceipts[[#This Row],[Rejected]]/tblVerifyReceipts[[#This Row],[Received]]*1000000,""))</f>
        <v>0</v>
      </c>
      <c r="M53" s="55">
        <v>500</v>
      </c>
      <c r="N53" s="38">
        <f>IF(tblVerifyReceipts[[#This Row],[Date]]="","",IF(AND(ISNUMBER(tblVerifyReceipts[[#This Row],[PPM]]),ISNUMBER(tblVerifyReceipts[[#This Row],[PPM limit]])),tblVerifyReceipts[[#This Row],[PPM]]-tblVerifyReceipts[[#This Row],[PPM limit]],""))</f>
        <v>-500</v>
      </c>
      <c r="O53" s="39" t="str">
        <f>IF(NOT(ISNUMBER(tblVerifyReceipts[[#This Row],[PPM]])),"",IF(tblVerifyReceipts[[#This Row],[PPM]]&lt;=tblVerifyReceipts[[#This Row],[PPM limit]],"On target",IF(tblVerifyReceipts[[#This Row],[PPM]]&lt;=tblVerifyReceipts[[#This Row],[PPM limit]]*(1+0.05),"Near target","Above target")))</f>
        <v>On target</v>
      </c>
      <c r="P53" s="40">
        <f>IF(tblVerifyReceipts[[#This Row],[Date]]="","",IF(AND(tblVerifyReceipts[[#This Row],[Date]]&gt;=$E$32,tblVerifyReceipts[[#This Row],[Date]]&lt;=$E$33,OR($E$34="",tblVerifyReceipts[[#This Row],[Supplier]]=$E$34)),tblVerifyReceipts[[#This Row],[Date]],""))</f>
        <v>46118</v>
      </c>
      <c r="Q53" s="41" t="str">
        <f>IF(tblVerifyReceipts[[#This Row],[Date]]="","",IF(tblVerifyReceipts[[#This Row],[Receipt ID]]="","Missing receipt id",IF(tblVerifyReceipts[[#This Row],[Supplier]]="","Missing supplier",IF(tblVerifyReceipts[[#This Row],[Received]]="","Missing received",IF(tblVerifyReceipts[[#This Row],[Rejected]]="","Missing rejected",IF(tblVerifyReceipts[[#This Row],[PPM limit]]="","Supplier not on Setup list",IF(tblVerifyReceipts[[#This Row],[Rejected]]&gt;tblVerifyReceipts[[#This Row],[Received]],"Rejected &gt; received",IF(AND(tblVerifyReceipts[[#This Row],[Rejected]]&gt;0,tblVerifyReceipts[[#This Row],[Reject reason]]=""),"Reject reason missing",IF(AND(tblVerifyReceipts[[#This Row],[Rejected]]&gt;0,tblVerifyReceipts[[#This Row],[Disposition]]=""),"Disposition missing",IF(AND(tblVerifyReceipts[[#This Row],[Reject reason]]&lt;&gt;"",COUNTIF(tblVerifyReasons[Reason],tblVerifyReceipts[[#This Row],[Reject reason]])=0),"Reason not on Setup list",IF(COUNTIF(tblVerifyReceipts[Receipt ID],tblVerifyReceipts[[#This Row],[Receipt ID]])&gt;1,"Duplicate receipt ID","OK")))))))))))</f>
        <v>OK</v>
      </c>
      <c r="R53" s="71"/>
    </row>
    <row r="54" spans="2:18">
      <c r="B54" s="82">
        <v>46118</v>
      </c>
      <c r="C54" s="71" t="s">
        <v>428</v>
      </c>
      <c r="D54" s="71" t="s">
        <v>420</v>
      </c>
      <c r="E54" s="71" t="s">
        <v>426</v>
      </c>
      <c r="F54" s="55">
        <v>1000</v>
      </c>
      <c r="G54" s="55">
        <v>3</v>
      </c>
      <c r="H54" s="71" t="s">
        <v>136</v>
      </c>
      <c r="I54" s="71" t="s">
        <v>116</v>
      </c>
      <c r="J54" s="71"/>
      <c r="K54" s="36">
        <f>IF(tblVerifyReceipts[[#This Row],[Date]]="","",IF(tblVerifyReceipts[[#This Row],[Received]]&gt;0,tblVerifyReceipts[[#This Row],[Rejected]]/tblVerifyReceipts[[#This Row],[Received]],""))</f>
        <v>0.003</v>
      </c>
      <c r="L54" s="37">
        <f>IF(tblVerifyReceipts[[#This Row],[Date]]="","",IF(tblVerifyReceipts[[#This Row],[Received]]&gt;0,tblVerifyReceipts[[#This Row],[Rejected]]/tblVerifyReceipts[[#This Row],[Received]]*1000000,""))</f>
        <v>3000</v>
      </c>
      <c r="M54" s="55">
        <v>2000</v>
      </c>
      <c r="N54" s="38">
        <f>IF(tblVerifyReceipts[[#This Row],[Date]]="","",IF(AND(ISNUMBER(tblVerifyReceipts[[#This Row],[PPM]]),ISNUMBER(tblVerifyReceipts[[#This Row],[PPM limit]])),tblVerifyReceipts[[#This Row],[PPM]]-tblVerifyReceipts[[#This Row],[PPM limit]],""))</f>
        <v>1000</v>
      </c>
      <c r="O54" s="39" t="str">
        <f>IF(NOT(ISNUMBER(tblVerifyReceipts[[#This Row],[PPM]])),"",IF(tblVerifyReceipts[[#This Row],[PPM]]&lt;=tblVerifyReceipts[[#This Row],[PPM limit]],"On target",IF(tblVerifyReceipts[[#This Row],[PPM]]&lt;=tblVerifyReceipts[[#This Row],[PPM limit]]*(1+0.05),"Near target","Above target")))</f>
        <v>Above target</v>
      </c>
      <c r="P54" s="40">
        <f>IF(tblVerifyReceipts[[#This Row],[Date]]="","",IF(AND(tblVerifyReceipts[[#This Row],[Date]]&gt;=$E$32,tblVerifyReceipts[[#This Row],[Date]]&lt;=$E$33,OR($E$34="",tblVerifyReceipts[[#This Row],[Supplier]]=$E$34)),tblVerifyReceipts[[#This Row],[Date]],""))</f>
        <v>46118</v>
      </c>
      <c r="Q54" s="41" t="str">
        <f>IF(tblVerifyReceipts[[#This Row],[Date]]="","",IF(tblVerifyReceipts[[#This Row],[Receipt ID]]="","Missing receipt id",IF(tblVerifyReceipts[[#This Row],[Supplier]]="","Missing supplier",IF(tblVerifyReceipts[[#This Row],[Received]]="","Missing received",IF(tblVerifyReceipts[[#This Row],[Rejected]]="","Missing rejected",IF(tblVerifyReceipts[[#This Row],[PPM limit]]="","Supplier not on Setup list",IF(tblVerifyReceipts[[#This Row],[Rejected]]&gt;tblVerifyReceipts[[#This Row],[Received]],"Rejected &gt; received",IF(AND(tblVerifyReceipts[[#This Row],[Rejected]]&gt;0,tblVerifyReceipts[[#This Row],[Reject reason]]=""),"Reject reason missing",IF(AND(tblVerifyReceipts[[#This Row],[Rejected]]&gt;0,tblVerifyReceipts[[#This Row],[Disposition]]=""),"Disposition missing",IF(AND(tblVerifyReceipts[[#This Row],[Reject reason]]&lt;&gt;"",COUNTIF(tblVerifyReasons[Reason],tblVerifyReceipts[[#This Row],[Reject reason]])=0),"Reason not on Setup list",IF(COUNTIF(tblVerifyReceipts[Receipt ID],tblVerifyReceipts[[#This Row],[Receipt ID]])&gt;1,"Duplicate receipt ID","OK")))))))))))</f>
        <v>Reject reason missing</v>
      </c>
      <c r="R54" s="71"/>
    </row>
  </sheetData>
  <sheetProtection sheet="1" formatColumns="0" formatRows="0"/>
  <mergeCells count="35">
    <mergeCell ref="A1:R1"/>
    <mergeCell ref="B2:Q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B28:L28"/>
    <mergeCell ref="B30:L30"/>
    <mergeCell ref="B31:F31"/>
    <mergeCell ref="B32:D32"/>
    <mergeCell ref="B33:D33"/>
    <mergeCell ref="B34:D34"/>
    <mergeCell ref="E34:F34"/>
    <mergeCell ref="B35:D35"/>
    <mergeCell ref="B37:L37"/>
    <mergeCell ref="B43:L43"/>
    <mergeCell ref="B48:L4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Q51:Q54">
    <cfRule type="expression" dxfId="3" priority="41">
      <formula>$Q51="OK"</formula>
    </cfRule>
    <cfRule type="expression" dxfId="1" priority="42">
      <formula>AND($Q51&lt;&gt;"",$Q51&lt;&gt;"OK")</formula>
    </cfRule>
  </conditionalFormatting>
  <hyperlinks>
    <hyperlink ref="R2" r:id="rId1" tooltip="Free manufacturing calculators and templates"/>
  </hyperlinks>
  <printOptions horizontalCentered="1"/>
  <pageMargins left="0.4" right="0.4" top="0.7" bottom="0.65" header="0.3" footer="0.3"/>
  <pageSetup fitToHeight="0" orientation="landscape"/>
  <headerFooter>
    <oddHeader>&amp;L&amp;8MFG Calcs - Supplier Quality PPM&amp;R&amp;8&amp;A</oddHeader>
    <oddFooter>&amp;L&amp;8mfgcalcs.com - free manufacturing templates&amp;R&amp;8Page &amp;P of &amp;N</oddFooter>
  </headerFooter>
  <rowBreaks count="1" manualBreakCount="1">
    <brk id="42"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23</vt:i4>
      </vt:variant>
    </vt:vector>
  </HeadingPairs>
  <TitlesOfParts>
    <vt:vector size="29" baseType="lpstr">
      <vt:lpstr>Start Here</vt:lpstr>
      <vt:lpstr>Setup</vt:lpstr>
      <vt:lpstr>Receiving Log</vt:lpstr>
      <vt:lpstr>Dashboard</vt:lpstr>
      <vt:lpstr>Method</vt:lpstr>
      <vt:lpstr>Verify</vt:lpstr>
      <vt:lpstr>DashFrom</vt:lpstr>
      <vt:lpstr>DashSupplier</vt:lpstr>
      <vt:lpstr>DashTo</vt:lpstr>
      <vt:lpstr>KpiAccepted</vt:lpstr>
      <vt:lpstr>KpiLots</vt:lpstr>
      <vt:lpstr>KpiOver</vt:lpstr>
      <vt:lpstr>KpiPPM</vt:lpstr>
      <vt:lpstr>KpiRate</vt:lpstr>
      <vt:lpstr>KpiReceived</vt:lpstr>
      <vt:lpstr>KpiRejected</vt:lpstr>
      <vt:lpstr>KpiTop</vt:lpstr>
      <vt:lpstr>PlantName</vt:lpstr>
      <vt:lpstr>Dashboard!Print_Area</vt:lpstr>
      <vt:lpstr>Method!Print_Area</vt:lpstr>
      <vt:lpstr>'Receiving Log'!Print_Area</vt:lpstr>
      <vt:lpstr>Setup!Print_Area</vt:lpstr>
      <vt:lpstr>'Start Here'!Print_Area</vt:lpstr>
      <vt:lpstr>Verify!Print_Area</vt:lpstr>
      <vt:lpstr>Method!Print_Titles</vt:lpstr>
      <vt:lpstr>'Receiving Log'!Print_Titles</vt:lpstr>
      <vt:lpstr>SelfCheck</vt:lpstr>
      <vt:lpstr>SelfCheckSummary</vt:lpstr>
      <vt:lpstr>TargetPPM</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Quality PPM - free Excel template from MFG Calcs</dc:title>
  <dc:subject>Log incoming lots with parts received and rejected, and score every supplier's PPM against its agreed limit by month, with reject reasons.</dc:subject>
  <dc:creator>MFG Calcs</dc:creator>
  <cp:keywords>supplier PPM, supplier quality, incoming inspection, receiving inspection, supplier scorecard, SCAR, RMA, parts per million</cp:keywords>
  <dc:description>https://www.mfgcalcs.com/templates/supplier-quality-ppm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supplier-quality-ppm</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https://www.mfgcalcs.com/templates/supplier-quality-ppm</vt:lpwstr>
  </property>
  <property fmtid="{D5CDD505-2E9C-101B-9397-08002B2CF9AE}" pid="7" name="Template sheet roles">
    <vt:lpwstr>Start Here=start;Setup=setup;Receiving Log=work;Dashboard=dashboard;Method=method;Verify=verify</vt:lpwstr>
  </property>
</Properties>
</file>