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Risk Register" sheetId="3" r:id="rId3"/>
    <sheet name="Dashboard" sheetId="4" r:id="rId4"/>
    <sheet name="Method" sheetId="5" r:id="rId5"/>
    <sheet name="Verify" sheetId="6" r:id="rId6"/>
  </sheets>
  <definedNames>
    <definedName name="AsOf">Setup!$C$10</definedName>
    <definedName name="CoName">Setup!$C$6</definedName>
    <definedName name="Currency">Setup!$C$7</definedName>
    <definedName name="DueSoonDays">Setup!$C$11</definedName>
    <definedName name="KpiAct">Dashboard!$B$7</definedName>
    <definedName name="KpiMaxRPN">Dashboard!$G$7</definedName>
    <definedName name="KpiOverdue">Dashboard!$D$7</definedName>
    <definedName name="KpiSpend">Dashboard!$J$7</definedName>
    <definedName name="_xlnm.Print_Area" localSheetId="3">Dashboard!$A$1:$L$76</definedName>
    <definedName name="_xlnm.Print_Area" localSheetId="4">Method!$A$1:$D$59</definedName>
    <definedName name="_xlnm.Print_Area" localSheetId="2">'Risk Register'!$A$1:$V$31</definedName>
    <definedName name="_xlnm.Print_Area" localSheetId="1">Setup!$A$1:$F$43</definedName>
    <definedName name="_xlnm.Print_Area" localSheetId="0">'Start Here'!$A$1:$F$55</definedName>
    <definedName name="_xlnm.Print_Area" localSheetId="5">Verify!$A$1:$V$58</definedName>
    <definedName name="_xlnm.Print_Titles" localSheetId="4">Method!$1:$2</definedName>
    <definedName name="_xlnm.Print_Titles" localSheetId="2">'Risk Register'!$1:$5</definedName>
    <definedName name="RiskCats">tblRiskCats[Category]</definedName>
    <definedName name="RPNThreshold">Setup!$C$8</definedName>
    <definedName name="SelfCheck">Verify!$D$4</definedName>
    <definedName name="SelfCheckSummary">Verify!$F$4</definedName>
    <definedName name="SevFloor">Setup!$C$9</definedName>
    <definedName name="Suppliers">tblSuppliers[Supplier]</definedName>
  </definedNames>
  <calcPr calcId="124519" fullCalcOnLoad="1"/>
</workbook>
</file>

<file path=xl/sharedStrings.xml><?xml version="1.0" encoding="utf-8"?>
<sst xmlns="http://schemas.openxmlformats.org/spreadsheetml/2006/main" count="692" uniqueCount="377">
  <si>
    <t>Supplier Risk Assessment</t>
  </si>
  <si>
    <t>Read this first: what the workbook does and how to use it.</t>
  </si>
  <si>
    <t>mfgcalcs.com</t>
  </si>
  <si>
    <t>Score every supplier risk for severity, occurrence and detection, see which ones to act on, and track the mitigation actions to closure.</t>
  </si>
  <si>
    <t>For: Supplier quality engineers, buyers, purchasing and supply-chain managers, and the plant leadership that reviews supply risk.</t>
  </si>
  <si>
    <t>Version 1.0.0  ·  updated 15 October 2026</t>
  </si>
  <si>
    <t>Quick start</t>
  </si>
  <si>
    <t>1.</t>
  </si>
  <si>
    <t>On Setup, agree the RPN threshold, the severity floor and the as-of date, read the rating guide, and replace the example suppliers with yours, with annual spend and single-source flags.</t>
  </si>
  <si>
    <t>2.</t>
  </si>
  <si>
    <t>On Risk Register, add one row per supplier risk: category, what could fail, and severity, occurrence and detection from 1 to 10.</t>
  </si>
  <si>
    <t>3.</t>
  </si>
  <si>
    <t>For every row that says Act, enter the mitigation action, owner and due date; type the closed date when it is done.</t>
  </si>
  <si>
    <t>4.</t>
  </si>
  <si>
    <t>Fix anything the Check column flags, then open the Dashboard for the risks to act on and the overdue actions.</t>
  </si>
  <si>
    <t>What is in this workbook</t>
  </si>
  <si>
    <t>Start Here</t>
  </si>
  <si>
    <t>Setup</t>
  </si>
  <si>
    <t>Scoring rules, the as-of date, a rating guide and the supplier and risk category lists.</t>
  </si>
  <si>
    <t>Risk Register</t>
  </si>
  <si>
    <t>One row per supplier risk: ratings, RPN, priority, the mitigation action and its status.</t>
  </si>
  <si>
    <t>Dashboard</t>
  </si>
  <si>
    <t>The supplier risks to act on, overdue actions and where the risk sits, by supplier and category.</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</si>
  <si>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</si>
  <si>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</si>
  <si>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</si>
  <si>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</si>
  <si>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</si>
  <si>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</si>
  <si>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</si>
  <si>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</si>
  <si>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</si>
  <si>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</si>
  <si>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</si>
  <si>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</si>
  <si>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</si>
  <si>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</si>
  <si>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</si>
  <si>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</si>
  <si>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</si>
  <si>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</si>
  <si>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</si>
  <si>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</si>
  <si>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Supplier Risk Score Calculator on mfgcalcs.com</t>
  </si>
  <si>
    <t>Latest version</t>
  </si>
  <si>
    <t>mfgcalcs.com/templates/supplier-risk-assessment</t>
  </si>
  <si>
    <t>More free templates</t>
  </si>
  <si>
    <t>mfgcalcs.com/templates</t>
  </si>
  <si>
    <t>Version</t>
  </si>
  <si>
    <t>1.0.0 (updated 15 October 2026)</t>
  </si>
  <si>
    <t>About the example data</t>
  </si>
  <si>
    <t>Every number already in this workbook is example data for Brenmoor Conveyors, a fictional business invented for this template, so the dashboard and charts show something meaningful on day one. It covers eight suppliers and 26 assessed risks with their actions, status as of 12 October 2026. Suppliers, spend and ratings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</si>
  <si>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</si>
  <si>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</si>
  <si>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</si>
  <si>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</si>
  <si>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</si>
  <si>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</si>
  <si>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</si>
  <si>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</si>
  <si>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Supplier</t>
  </si>
  <si>
    <t>Commodity</t>
  </si>
  <si>
    <t>Country</t>
  </si>
  <si>
    <t>Annual spend</t>
  </si>
  <si>
    <t>Single source</t>
  </si>
  <si>
    <t>Category</t>
  </si>
  <si>
    <t>Covers</t>
  </si>
  <si>
    <t>Company and scoring rules</t>
  </si>
  <si>
    <t>Company or plant</t>
  </si>
  <si>
    <t>Brenmoor Conveyors (example)</t>
  </si>
  <si>
    <t>Currency label</t>
  </si>
  <si>
    <t>EUR</t>
  </si>
  <si>
    <t>Act when RPN is at least</t>
  </si>
  <si>
    <t>RPN</t>
  </si>
  <si>
    <t>Act when severity is at least</t>
  </si>
  <si>
    <t>of 10</t>
  </si>
  <si>
    <t>Action status as of</t>
  </si>
  <si>
    <t>Due soon window</t>
  </si>
  <si>
    <t>days</t>
  </si>
  <si>
    <t>RPN = severity x occurrence x detection, each rated 1-10, so RPN runs from 1 to 1,000. RPN is a ranking, not a measurement: 120 is not twice as risky as 60. That is why a severity floor also triggers action.</t>
  </si>
  <si>
    <t>Rating guide (agree your own anchors before scoring)</t>
  </si>
  <si>
    <t>Severity, the effect on you or your customer if it happens: 1-2 hardly noticed; 3-4 minor rework or a short delay; 5-6 scrap, a missed delivery or a customer complaint; 7-8 a line stop of days or a major customer escalation; 9-10 safety, regulatory or a stop of weeks.</t>
  </si>
  <si>
    <t>Occurrence, how likely it is in the next 12 months: 1-2 very unlikely, never seen; 3-4 unlikely, seen elsewhere; 5-6 possible, seen at this supplier; 7-8 likely, happens most years; 9-10 almost certain or already happening.</t>
  </si>
  <si>
    <t>Detection, how late you would find out: 1-2 early warning is certain (monitored, contractual notice); 3-4 likely to be seen weeks ahead; 5-6 found at goods-in or at a planned review; 7-8 found on the line or when stock runs out; 9-10 found by the customer or not at all.</t>
  </si>
  <si>
    <t>Lists that feed the dropdowns</t>
  </si>
  <si>
    <t>Suppliers (fictional; spend is invented)</t>
  </si>
  <si>
    <t>Kallax Gearmotors</t>
  </si>
  <si>
    <t>Gear motors</t>
  </si>
  <si>
    <t>Italy</t>
  </si>
  <si>
    <t>Yes</t>
  </si>
  <si>
    <t>Ostra Steel Service</t>
  </si>
  <si>
    <t>Sheet and tube</t>
  </si>
  <si>
    <t>Poland</t>
  </si>
  <si>
    <t>No</t>
  </si>
  <si>
    <t>Linden Belting</t>
  </si>
  <si>
    <t>Conveyor belts</t>
  </si>
  <si>
    <t>Germany</t>
  </si>
  <si>
    <t>Tarn Bearings</t>
  </si>
  <si>
    <t>Bearings</t>
  </si>
  <si>
    <t>Czechia</t>
  </si>
  <si>
    <t>Vireo Controls</t>
  </si>
  <si>
    <t>PLCs and drives</t>
  </si>
  <si>
    <t>Netherlands</t>
  </si>
  <si>
    <t>Sundra Castings</t>
  </si>
  <si>
    <t>Pulley castings</t>
  </si>
  <si>
    <t>India</t>
  </si>
  <si>
    <t>Hollin Fasteners</t>
  </si>
  <si>
    <t>Fasteners</t>
  </si>
  <si>
    <t>Porto Rollers</t>
  </si>
  <si>
    <t>Idler rollers</t>
  </si>
  <si>
    <t>Portugal</t>
  </si>
  <si>
    <t>Risk categories</t>
  </si>
  <si>
    <t>Quality</t>
  </si>
  <si>
    <t>Escapes, process capability, inspection gaps</t>
  </si>
  <si>
    <t>Delivery and capacity</t>
  </si>
  <si>
    <t>Late deliveries, capacity, lead time</t>
  </si>
  <si>
    <t>No qualified alternative</t>
  </si>
  <si>
    <t>Financial</t>
  </si>
  <si>
    <t>Insolvency, credit, ownership change</t>
  </si>
  <si>
    <t>Trade and tariffs</t>
  </si>
  <si>
    <t>Tariffs, export controls, sanctions, customs</t>
  </si>
  <si>
    <t>Natural hazard</t>
  </si>
  <si>
    <t>Flood, fire, storm, earthquake at the site</t>
  </si>
  <si>
    <t>Cyber and IT</t>
  </si>
  <si>
    <t>Ransomware, EDI or ERP outage</t>
  </si>
  <si>
    <t>Compliance</t>
  </si>
  <si>
    <t>Material declarations, conflict minerals</t>
  </si>
  <si>
    <t>ID</t>
  </si>
  <si>
    <t>Risk</t>
  </si>
  <si>
    <t>Severity</t>
  </si>
  <si>
    <t>Occurrence</t>
  </si>
  <si>
    <t>Detection</t>
  </si>
  <si>
    <t>Criticality</t>
  </si>
  <si>
    <t>Vs threshold</t>
  </si>
  <si>
    <t>Priority</t>
  </si>
  <si>
    <t>Trigger</t>
  </si>
  <si>
    <t>Action</t>
  </si>
  <si>
    <t>Owner</t>
  </si>
  <si>
    <t>Due</t>
  </si>
  <si>
    <t>Closed</t>
  </si>
  <si>
    <t>Action status</t>
  </si>
  <si>
    <t>Sort key</t>
  </si>
  <si>
    <t>Check</t>
  </si>
  <si>
    <t>Notes</t>
  </si>
  <si>
    <t>Example register for Brenmoor Conveyors (fictional). Replace it with your own: select the example rows, right-click, Delete &gt; Table Rows. Yellow = you type; blue = calculated; Check names any problem.</t>
  </si>
  <si>
    <t>R-01</t>
  </si>
  <si>
    <t>Sole source for the 0.55 kW motor: stops assembly</t>
  </si>
  <si>
    <t>Qualify a second gear motor source on two conveyor models</t>
  </si>
  <si>
    <t>Purchasing</t>
  </si>
  <si>
    <t/>
  </si>
  <si>
    <t>R-02</t>
  </si>
  <si>
    <t>Lead time up from 6 to 14 weeks; shipments slip</t>
  </si>
  <si>
    <t>Agree a 4-week consignment stock of the top three motors</t>
  </si>
  <si>
    <t>Buyer</t>
  </si>
  <si>
    <t>Draft agreement with supplier</t>
  </si>
  <si>
    <t>R-03</t>
  </si>
  <si>
    <t>Steel safeguard quota used up; extra duty on sheet</t>
  </si>
  <si>
    <t>Track quota fill weekly; price the domestic mill option</t>
  </si>
  <si>
    <t>R-04</t>
  </si>
  <si>
    <t>Sheet thickness at the low tolerance limit</t>
  </si>
  <si>
    <t>Monitor at goods-in</t>
  </si>
  <si>
    <t>R-05</t>
  </si>
  <si>
    <t>Food-grade belt made in one plant only</t>
  </si>
  <si>
    <t>Ask the customer to approve an equivalent belt</t>
  </si>
  <si>
    <t>Engineering</t>
  </si>
  <si>
    <t>Approval pack sent 22 Sep</t>
  </si>
  <si>
    <t>R-06</t>
  </si>
  <si>
    <t>Belt plant sits in a river flood zone</t>
  </si>
  <si>
    <t>Supplier has flood barriers; review yearly</t>
  </si>
  <si>
    <t>R-07</t>
  </si>
  <si>
    <t>Belt splice failures on two customer lines</t>
  </si>
  <si>
    <t>Supplier 8D and splice process audit</t>
  </si>
  <si>
    <t>SQE</t>
  </si>
  <si>
    <t>8D at D5</t>
  </si>
  <si>
    <t>R-08</t>
  </si>
  <si>
    <t>Counterfeit bearings found at a local distributor</t>
  </si>
  <si>
    <t>Buy only through the authorised channel; add a goods-in check</t>
  </si>
  <si>
    <t>Closed: authorised channel only</t>
  </si>
  <si>
    <t>R-09</t>
  </si>
  <si>
    <t>Allocation on 6205 bearings in peak season</t>
  </si>
  <si>
    <t>R-10</t>
  </si>
  <si>
    <t>Drive brand sold through one distributor only</t>
  </si>
  <si>
    <t>Second distributor account opened</t>
  </si>
  <si>
    <t>R-11</t>
  </si>
  <si>
    <t>Chip shortage: allocation on the 4 kW drive</t>
  </si>
  <si>
    <t>Last-time buy of 120 drives; redesign for the 5.5 kW model</t>
  </si>
  <si>
    <t>R-12</t>
  </si>
  <si>
    <t>Distributor EDI outage stopped confirmations</t>
  </si>
  <si>
    <t>R-13</t>
  </si>
  <si>
    <t>Export licence needed for one PLC family</t>
  </si>
  <si>
    <t>Classify the PLC family and file licences early</t>
  </si>
  <si>
    <t>Logistics</t>
  </si>
  <si>
    <t>R-14</t>
  </si>
  <si>
    <t>Porosity in pulley hubs found at machining</t>
  </si>
  <si>
    <t>Supplier to add X-ray sampling; tighten the PPAP</t>
  </si>
  <si>
    <t>R-15</t>
  </si>
  <si>
    <t>Sea transit varies from 5 to 9 weeks</t>
  </si>
  <si>
    <t>Safety stock covers 3 weeks</t>
  </si>
  <si>
    <t>R-16</t>
  </si>
  <si>
    <t>Anti-dumping case opened on castings from origin</t>
  </si>
  <si>
    <t>Watch the case</t>
  </si>
  <si>
    <t>R-17</t>
  </si>
  <si>
    <t>Supplier reported a loss and a covenant breach</t>
  </si>
  <si>
    <t>Credit check every quarter; pay on receipt to support cash</t>
  </si>
  <si>
    <t>R-18</t>
  </si>
  <si>
    <t>REACH declarations missing for zinc-flake coating</t>
  </si>
  <si>
    <t>R-19</t>
  </si>
  <si>
    <t>Kanban bins run short twice a month</t>
  </si>
  <si>
    <t>R-20</t>
  </si>
  <si>
    <t>Roller run-out above drawing on one lot</t>
  </si>
  <si>
    <t>Contained at goods-in</t>
  </si>
  <si>
    <t>R-21</t>
  </si>
  <si>
    <t>Wildfire season near the roller plant</t>
  </si>
  <si>
    <t>R-22</t>
  </si>
  <si>
    <t>Change of ownership announced</t>
  </si>
  <si>
    <t>Meet the new owners in Q4</t>
  </si>
  <si>
    <t>R-23</t>
  </si>
  <si>
    <t>Ransomware at a sister company of the supplier</t>
  </si>
  <si>
    <t>Ask for the supplier's recovery plan and test date</t>
  </si>
  <si>
    <t>IT</t>
  </si>
  <si>
    <t>R-24</t>
  </si>
  <si>
    <t>Service centre credit rating cut</t>
  </si>
  <si>
    <t>R-25</t>
  </si>
  <si>
    <t>Food-contact declaration out of date</t>
  </si>
  <si>
    <t>Get the updated declaration of compliance</t>
  </si>
  <si>
    <t>Closed: new declaration on file</t>
  </si>
  <si>
    <t>R-26</t>
  </si>
  <si>
    <t>Bearing origin moving to a country with a tariff</t>
  </si>
  <si>
    <t>OPEN RISKS TO ACT ON</t>
  </si>
  <si>
    <t>OVERDUE ACTIONS</t>
  </si>
  <si>
    <t>HIGHEST OPEN RPN</t>
  </si>
  <si>
    <t>RPN or severity at its Setup limit</t>
  </si>
  <si>
    <t>Top 10 open risks by RPN</t>
  </si>
  <si>
    <t>Risk (ID and supplier)</t>
  </si>
  <si>
    <t>Open risks by severity and occurrence (count of risks; top-right is the danger corner)</t>
  </si>
  <si>
    <t>Open risks (count)</t>
  </si>
  <si>
    <t>Occurrence 1-2</t>
  </si>
  <si>
    <t>Occurrence 3-4</t>
  </si>
  <si>
    <t>Occurrence 5-6</t>
  </si>
  <si>
    <t>Occurrence 7-8</t>
  </si>
  <si>
    <t>Occurrence 9-10</t>
  </si>
  <si>
    <t>Total</t>
  </si>
  <si>
    <t>Severity 9-10</t>
  </si>
  <si>
    <t>Severity 7-8</t>
  </si>
  <si>
    <t>Severity 5-6</t>
  </si>
  <si>
    <t>Severity 3-4</t>
  </si>
  <si>
    <t>Severity 1-2</t>
  </si>
  <si>
    <t>By supplier</t>
  </si>
  <si>
    <t>Act</t>
  </si>
  <si>
    <t>Monitor</t>
  </si>
  <si>
    <t>Overdue actions</t>
  </si>
  <si>
    <t>Highest open RPN</t>
  </si>
  <si>
    <t>Spend with an Act risk</t>
  </si>
  <si>
    <t>risks</t>
  </si>
  <si>
    <t>actions</t>
  </si>
  <si>
    <t>By risk category</t>
  </si>
  <si>
    <t>The Dashboard shows the 8 suppliers and 8 categories of the Setup lists. If you add more, extend the supplier and category blocks (see Method) or they will not appear here. Severity and occurrence bands count open risks only.</t>
  </si>
  <si>
    <t>What this workbook calculates</t>
  </si>
  <si>
    <t>Each supplier risk is rated on three 1-10 scales: severity (how bad the effect would be), occurrence (how likely it is) and detection (how late you would find out). Their product, the risk priority number (RPN), ranks the register. Because a product can hide a severe risk behind low occurrence and good detection, a risk is acted on when its RPN reaches your threshold or its severity reaches your floor. Actions carry an owner and a due date, and their status is judged against the as-of date on Setup, never the computer clock.</t>
  </si>
  <si>
    <t>Calculations</t>
  </si>
  <si>
    <t>Quantity</t>
  </si>
  <si>
    <t>How it is calculated</t>
  </si>
  <si>
    <t>Units</t>
  </si>
  <si>
    <t>Severity x occurrence x detection (blank ratings count as 0 and the Check column says so).</t>
  </si>
  <si>
    <t>1-1,000</t>
  </si>
  <si>
    <t>Severity x occurrence: the risk before any credit for detection.</t>
  </si>
  <si>
    <t>1-100</t>
  </si>
  <si>
    <t>RPN - the RPN threshold on Setup. Positive is over the threshold.</t>
  </si>
  <si>
    <t>Closed when a closed date is typed; otherwise Act when RPN &gt;= threshold or severity &gt;= the severity floor, else Monitor.</t>
  </si>
  <si>
    <t>-</t>
  </si>
  <si>
    <t>Which rule made the risk Act: RPN, severity, or both.</t>
  </si>
  <si>
    <t>Complete when closed; otherwise Overdue when the due date is before the as-of date, Due soon within the due-soon window, In progress after that; blank with no due date.</t>
  </si>
  <si>
    <t>Sort key (helper)</t>
  </si>
  <si>
    <t>For open risks, RPN + 1 - ROW()/100000: the RPN plus a tie-breaker below 1 that keeps register order. The top-ten list takes LARGE(sort key, k) and finds its row with MATCH.</t>
  </si>
  <si>
    <t>Open risks to act on, overdue actions</t>
  </si>
  <si>
    <t>COUNTIFS of Priority = Act, and of Action status = Overdue, over the whole register.</t>
  </si>
  <si>
    <t>count</t>
  </si>
  <si>
    <t>INT(MAX(sort key)); by supplier and category, SUMPRODUCT(MAX((key matches) x (not closed) x RPN)).</t>
  </si>
  <si>
    <t>Sum of the annual spend on Setup of every supplier with at least one Act risk (SUMPRODUCT over the supplier list with COUNTIFS &gt; 0).</t>
  </si>
  <si>
    <t>currency</t>
  </si>
  <si>
    <t>Severity x occurrence matrix</t>
  </si>
  <si>
    <t>COUNTIFS of open risks (Act or Monitor) whose severity and occurrence fall in each pair of bands (1-2, 3-4, 5-6, 7-8, 9-10).</t>
  </si>
  <si>
    <t>Assumptions</t>
  </si>
  <si>
    <t>The team agrees written anchors for each rating before scoring (the guide on Setup is a starting point) and scores together, so ratings are comparable across suppliers.</t>
  </si>
  <si>
    <t>One row is one risk at one supplier. A risk shared by several suppliers is logged once per supplier.</t>
  </si>
  <si>
    <t>When an action is complete the risk is closed; if a residual risk remains, re-score it as a new row so the history stays visible.</t>
  </si>
  <si>
    <t>Annual spend is the last 12 months or the budget, in the currency on Setup.</t>
  </si>
  <si>
    <t>Limitations</t>
  </si>
  <si>
    <t>RPN is ordinal: it ranks risks but does not measure them, and equal RPNs can mean very different risks. Read severity alongside it.</t>
  </si>
  <si>
    <t>Ratings are judgements, not probabilities; the workbook does not estimate the cost or likelihood of a disruption.</t>
  </si>
  <si>
    <t>The AIAG-VDA FMEA Handbook (2019) replaces RPN with action-priority tables for design and process FMEA; those tables are not reproduced here. If your customer requires them, use the handbook.</t>
  </si>
  <si>
    <t>The Dashboard has fixed blocks for the number of suppliers and categories in the example lists; longer lists need the blocks extended (a warning appears).</t>
  </si>
  <si>
    <t>Agreement with the live calculator</t>
  </si>
  <si>
    <t>For one register row, this workbook and the live Supplier Risk Score calculator use the same inputs and formulas: RPN = severity x occurrence x detection; criticality = severity x occurrence; over or under the threshold = RPN - your threshold. The calculator advises acting on severity 9-10 whatever the total; the workbook makes that a severity floor you set on Setup. The build checks the reference implementation against the calculator's engine for its own example (severity 6, occurrence 4, detection 3, threshold 100: RPN 72, criticality 24, 28 under) and for one row of the example register.</t>
  </si>
  <si>
    <t>Open the Supplier Risk Score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</si>
  <si>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</si>
  <si>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</si>
  <si>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IEC 60812:2018, Failure modes and effects analysis (FMEA and FMECA): severity, occurrence and detection ratings and the risk priority number.</t>
  </si>
  <si>
    <t>AIAG and VDA, FMEA Handbook, 1st edition 2019: action priority in place of RPN (named, not reproduced).</t>
  </si>
  <si>
    <t>ISO 31000:2018, Risk management - Guidelines: risk identification, analysis, treatment and review.</t>
  </si>
  <si>
    <t>MFG Calcs Supplier Risk Score calculator: RPN, criticality and distance from your threshold for one risk.</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</si>
  <si>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</si>
  <si>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</si>
  <si>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</si>
  <si>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</si>
  <si>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</si>
  <si>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</si>
  <si>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</si>
  <si>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</si>
  <si>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</si>
  <si>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</si>
  <si>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</si>
  <si>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</si>
  <si>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</si>
  <si>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</si>
  <si>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</si>
  <si>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</si>
  <si>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RPN</t>
  </si>
  <si>
    <t>Row 1: priority</t>
  </si>
  <si>
    <t>exact</t>
  </si>
  <si>
    <t>Row 2: RPN</t>
  </si>
  <si>
    <t>Row 2: priority</t>
  </si>
  <si>
    <t>Row 3: RPN</t>
  </si>
  <si>
    <t>Row 3: priority</t>
  </si>
  <si>
    <t>Row 4: RPN</t>
  </si>
  <si>
    <t>Row 4: priority</t>
  </si>
  <si>
    <t>Row 5: RPN</t>
  </si>
  <si>
    <t>Row 5: priority</t>
  </si>
  <si>
    <t>Row 1 (calculator example): criticality</t>
  </si>
  <si>
    <t>Row 1 (calculator example): vs threshold</t>
  </si>
  <si>
    <t>Row 2: trigger (severity floor)</t>
  </si>
  <si>
    <t>Severity at or over floor</t>
  </si>
  <si>
    <t>Row 2: action status</t>
  </si>
  <si>
    <t>Overdue</t>
  </si>
  <si>
    <t>Row 3: trigger (RPN)</t>
  </si>
  <si>
    <t>RPN at or over threshold</t>
  </si>
  <si>
    <t>Row 3: action status</t>
  </si>
  <si>
    <t>Due soon</t>
  </si>
  <si>
    <t>Row 4: action status</t>
  </si>
  <si>
    <t>Complete</t>
  </si>
  <si>
    <t>Row 5: Check reports the missing action</t>
  </si>
  <si>
    <t>Act risk has no action</t>
  </si>
  <si>
    <t>Row 1: Check is OK</t>
  </si>
  <si>
    <t>OK</t>
  </si>
  <si>
    <t>All rows: open risks to act on (Dashboard formula)</t>
  </si>
  <si>
    <t>All rows: overdue actions (Dashboard formula)</t>
  </si>
  <si>
    <t>All rows: highest open RPN (Dashboard formula)</t>
  </si>
  <si>
    <t>All rows: spend with an Act risk (Dashboard formula)</t>
  </si>
  <si>
    <t>Top-ten list: rank 1 is the highest open RPN</t>
  </si>
  <si>
    <t>T-5</t>
  </si>
  <si>
    <t>Fixed test inputs</t>
  </si>
  <si>
    <t>White cells are fixed test inputs; blue cells are the workbook's formulas evaluated on them.</t>
  </si>
  <si>
    <t>Parameters</t>
  </si>
  <si>
    <t>RPN threshold</t>
  </si>
  <si>
    <t>Severity floor</t>
  </si>
  <si>
    <t>As-of date</t>
  </si>
  <si>
    <t>Due soon window (days)</t>
  </si>
  <si>
    <t>Test table: Suppliers</t>
  </si>
  <si>
    <t>S1</t>
  </si>
  <si>
    <t>C1</t>
  </si>
  <si>
    <t>S2</t>
  </si>
  <si>
    <t>C2</t>
  </si>
  <si>
    <t>S3</t>
  </si>
  <si>
    <t>C3</t>
  </si>
  <si>
    <t>Test table: Risks</t>
  </si>
  <si>
    <t>T-1</t>
  </si>
  <si>
    <t>Calculator example</t>
  </si>
  <si>
    <t>T-2</t>
  </si>
  <si>
    <t>Severe, rare, well detected</t>
  </si>
  <si>
    <t>Second source</t>
  </si>
  <si>
    <t>T-3</t>
  </si>
  <si>
    <t>Frequent, late detection</t>
  </si>
  <si>
    <t>Audit</t>
  </si>
  <si>
    <t>T-4</t>
  </si>
  <si>
    <t>Closed risk</t>
  </si>
  <si>
    <t>Done</t>
  </si>
  <si>
    <t>Act without action</t>
  </si>
</sst>
</file>

<file path=xl/styles.xml><?xml version="1.0" encoding="utf-8"?>
<styleSheet xmlns="http://schemas.openxmlformats.org/spreadsheetml/2006/main">
  <numFmts count="8">
    <numFmt numFmtId="164" formatCode="#,##0"/>
    <numFmt numFmtId="165" formatCode="d mmm yyyy"/>
    <numFmt numFmtId="166" formatCode="+#,##0;-#,##0;0"/>
    <numFmt numFmtId="167" formatCode="0.0000"/>
    <numFmt numFmtId="168" formatCode="&quot;Target &quot;#,##0"/>
    <numFmt numFmtId="169" formatCode="&quot;Threshold &quot;#,##0"/>
    <numFmt numFmtId="170" formatCode="d mmm"/>
    <numFmt numFmtId="171"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0">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0" fontId="1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4"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7" fontId="10" fillId="4" borderId="3" xfId="0" applyNumberFormat="1" applyFont="1" applyFill="1" applyBorder="1" applyAlignment="1">
      <alignment vertical="center"/>
    </xf>
    <xf numFmtId="0" fontId="21" fillId="4" borderId="3" xfId="0" applyFont="1" applyFill="1" applyBorder="1" applyAlignment="1">
      <alignment vertical="center"/>
    </xf>
    <xf numFmtId="0" fontId="18"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8" fontId="23"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64" fontId="9" fillId="4" borderId="3" xfId="0" applyNumberFormat="1" applyFont="1" applyFill="1" applyBorder="1" applyAlignment="1">
      <alignment vertical="center"/>
    </xf>
    <xf numFmtId="164" fontId="10" fillId="4" borderId="3" xfId="0" applyNumberFormat="1" applyFont="1" applyFill="1" applyBorder="1" applyAlignment="1">
      <alignment horizontal="center" vertical="center"/>
    </xf>
    <xf numFmtId="170" fontId="10" fillId="4" borderId="3" xfId="0" applyNumberFormat="1" applyFont="1" applyFill="1" applyBorder="1" applyAlignment="1">
      <alignment horizontal="center" vertical="center"/>
    </xf>
    <xf numFmtId="0" fontId="9" fillId="4" borderId="10" xfId="0" applyFont="1" applyFill="1" applyBorder="1" applyAlignment="1">
      <alignment vertical="center"/>
    </xf>
    <xf numFmtId="164"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Top 10 open risks by RPN</a:t>
            </a:r>
          </a:p>
        </c:rich>
      </c:tx>
      <c:layout/>
    </c:title>
    <c:plotArea>
      <c:layout/>
      <c:barChart>
        <c:barDir val="bar"/>
        <c:grouping val="clustered"/>
        <c:ser>
          <c:idx val="0"/>
          <c:order val="0"/>
          <c:tx>
            <c:v>RPN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Dashboard!$B$31:$B$40</c:f>
              <c:strCache>
                <c:ptCount val="10"/>
                <c:pt idx="0">
                  <c:v>R-17  Sundra Castings</c:v>
                </c:pt>
                <c:pt idx="1">
                  <c:v>R-14  Sundra Castings</c:v>
                </c:pt>
                <c:pt idx="2">
                  <c:v>R-07  Linden Belting</c:v>
                </c:pt>
                <c:pt idx="3">
                  <c:v>R-02  Kallax Gearmotors</c:v>
                </c:pt>
                <c:pt idx="4">
                  <c:v>R-01  Kallax Gearmotors</c:v>
                </c:pt>
                <c:pt idx="5">
                  <c:v>R-11  Vireo Controls</c:v>
                </c:pt>
                <c:pt idx="6">
                  <c:v>R-13  Vireo Controls</c:v>
                </c:pt>
                <c:pt idx="7">
                  <c:v>R-23  Kallax Gearmotors</c:v>
                </c:pt>
                <c:pt idx="8">
                  <c:v>R-04  Ostra Steel Service</c:v>
                </c:pt>
                <c:pt idx="9">
                  <c:v>R-09  Tarn Bearings</c:v>
                </c:pt>
              </c:strCache>
            </c:strRef>
          </c:cat>
          <c:val>
            <c:numRef>
              <c:f>Dashboard!$H$31:$H$40</c:f>
              <c:numCache>
                <c:formatCode>General</c:formatCode>
                <c:ptCount val="10"/>
                <c:pt idx="0">
                  <c:v>144</c:v>
                </c:pt>
                <c:pt idx="1">
                  <c:v>140</c:v>
                </c:pt>
                <c:pt idx="2">
                  <c:v>135</c:v>
                </c:pt>
                <c:pt idx="3">
                  <c:v>126</c:v>
                </c:pt>
                <c:pt idx="4">
                  <c:v>108</c:v>
                </c:pt>
                <c:pt idx="5">
                  <c:v>105</c:v>
                </c:pt>
                <c:pt idx="6">
                  <c:v>90</c:v>
                </c:pt>
                <c:pt idx="7">
                  <c:v>84</c:v>
                </c:pt>
                <c:pt idx="8">
                  <c:v>80</c:v>
                </c:pt>
                <c:pt idx="9">
                  <c:v>75</c:v>
                </c:pt>
              </c:numCache>
            </c:numRef>
          </c:val>
        </c:ser>
        <c:gapWidth val="60"/>
        <c:overlap val="-1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Open risks by category</a:t>
            </a:r>
          </a:p>
        </c:rich>
      </c:tx>
      <c:layout/>
    </c:title>
    <c:plotArea>
      <c:layout/>
      <c:barChart>
        <c:barDir val="bar"/>
        <c:grouping val="stacked"/>
        <c:ser>
          <c:idx val="0"/>
          <c:order val="0"/>
          <c:tx>
            <c:v>Act</c:v>
          </c:tx>
          <c:spPr>
            <a:solidFill>
              <a:srgbClr val="3B64D8"/>
            </a:solidFill>
            <a:ln w="9525">
              <a:solidFill>
                <a:srgbClr val="FFFFFF"/>
              </a:solidFill>
            </a:ln>
          </c:spPr>
          <c:cat>
            <c:strRef>
              <c:f>Dashboard!$B$66:$B$73</c:f>
              <c:strCache>
                <c:ptCount val="8"/>
                <c:pt idx="0">
                  <c:v>Quality</c:v>
                </c:pt>
                <c:pt idx="1">
                  <c:v>Delivery and capacity</c:v>
                </c:pt>
                <c:pt idx="2">
                  <c:v>Single source</c:v>
                </c:pt>
                <c:pt idx="3">
                  <c:v>Financial</c:v>
                </c:pt>
                <c:pt idx="4">
                  <c:v>Trade and tariffs</c:v>
                </c:pt>
                <c:pt idx="5">
                  <c:v>Natural hazard</c:v>
                </c:pt>
                <c:pt idx="6">
                  <c:v>Cyber and IT</c:v>
                </c:pt>
                <c:pt idx="7">
                  <c:v>Compliance</c:v>
                </c:pt>
              </c:strCache>
            </c:strRef>
          </c:cat>
          <c:val>
            <c:numRef>
              <c:f>Dashboard!$C$66:$C$73</c:f>
              <c:numCache>
                <c:formatCode>General</c:formatCode>
                <c:ptCount val="8"/>
                <c:pt idx="0">
                  <c:v>2</c:v>
                </c:pt>
                <c:pt idx="1">
                  <c:v>2</c:v>
                </c:pt>
                <c:pt idx="2">
                  <c:v>1</c:v>
                </c:pt>
                <c:pt idx="3">
                  <c:v>1</c:v>
                </c:pt>
                <c:pt idx="4">
                  <c:v>0</c:v>
                </c:pt>
                <c:pt idx="5">
                  <c:v>0</c:v>
                </c:pt>
                <c:pt idx="6">
                  <c:v>0</c:v>
                </c:pt>
                <c:pt idx="7">
                  <c:v>0</c:v>
                </c:pt>
              </c:numCache>
            </c:numRef>
          </c:val>
        </c:ser>
        <c:ser>
          <c:idx val="1"/>
          <c:order val="1"/>
          <c:tx>
            <c:v>Monitor</c:v>
          </c:tx>
          <c:spPr>
            <a:solidFill>
              <a:srgbClr val="E8702A"/>
            </a:solidFill>
            <a:ln w="9525">
              <a:solidFill>
                <a:srgbClr val="FFFFFF"/>
              </a:solidFill>
            </a:ln>
          </c:spPr>
          <c:cat>
            <c:strRef>
              <c:f>Dashboard!$B$66:$B$73</c:f>
              <c:strCache>
                <c:ptCount val="8"/>
                <c:pt idx="0">
                  <c:v>Quality</c:v>
                </c:pt>
                <c:pt idx="1">
                  <c:v>Delivery and capacity</c:v>
                </c:pt>
                <c:pt idx="2">
                  <c:v>Single source</c:v>
                </c:pt>
                <c:pt idx="3">
                  <c:v>Financial</c:v>
                </c:pt>
                <c:pt idx="4">
                  <c:v>Trade and tariffs</c:v>
                </c:pt>
                <c:pt idx="5">
                  <c:v>Natural hazard</c:v>
                </c:pt>
                <c:pt idx="6">
                  <c:v>Cyber and IT</c:v>
                </c:pt>
                <c:pt idx="7">
                  <c:v>Compliance</c:v>
                </c:pt>
              </c:strCache>
            </c:strRef>
          </c:cat>
          <c:val>
            <c:numRef>
              <c:f>Dashboard!$D$66:$D$73</c:f>
              <c:numCache>
                <c:formatCode>General</c:formatCode>
                <c:ptCount val="8"/>
                <c:pt idx="0">
                  <c:v>2</c:v>
                </c:pt>
                <c:pt idx="1">
                  <c:v>3</c:v>
                </c:pt>
                <c:pt idx="2">
                  <c:v>1</c:v>
                </c:pt>
                <c:pt idx="3">
                  <c:v>2</c:v>
                </c:pt>
                <c:pt idx="4">
                  <c:v>4</c:v>
                </c:pt>
                <c:pt idx="5">
                  <c:v>2</c:v>
                </c:pt>
                <c:pt idx="6">
                  <c:v>2</c:v>
                </c:pt>
                <c:pt idx="7">
                  <c:v>1</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Bar chart of the ten open supplier risks with the highest RPN, largest at the top, labelled with the risk ID and supplie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Stacked bar chart of open supplier risks in each risk category, split into risks to act on and risks to monito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uppliers" displayName="tblSuppliers" ref="B24:F32" totalsRowShown="0">
  <autoFilter ref="B24:F32"/>
  <tableColumns count="5">
    <tableColumn id="1" name="Supplier"/>
    <tableColumn id="2" name="Commodity"/>
    <tableColumn id="3" name="Country"/>
    <tableColumn id="4" name="Annual spend"/>
    <tableColumn id="5" name="Single source"/>
  </tableColumns>
  <tableStyleInfo name="TableStyleLight1" showFirstColumn="0" showLastColumn="0" showRowStripes="0" showColumnStripes="0"/>
</table>
</file>

<file path=xl/tables/table2.xml><?xml version="1.0" encoding="utf-8"?>
<table xmlns="http://schemas.openxmlformats.org/spreadsheetml/2006/main" id="2" name="tblRiskCats" displayName="tblRiskCats" ref="B35:C43" totalsRowShown="0">
  <autoFilter ref="B35:C43"/>
  <tableColumns count="2">
    <tableColumn id="1" name="Category"/>
    <tableColumn id="2" name="Covers"/>
  </tableColumns>
  <tableStyleInfo name="TableStyleLight1" showFirstColumn="0" showLastColumn="0" showRowStripes="0" showColumnStripes="0"/>
</table>
</file>

<file path=xl/tables/table3.xml><?xml version="1.0" encoding="utf-8"?>
<table xmlns="http://schemas.openxmlformats.org/spreadsheetml/2006/main" id="3" name="tblRisks" displayName="tblRisks" ref="B5:V31" totalsRowShown="0">
  <autoFilter ref="B5:V31"/>
  <tableColumns count="21">
    <tableColumn id="1" name="ID"/>
    <tableColumn id="2" name="Supplier"/>
    <tableColumn id="3" name="Commodity">
      <calculatedColumnFormula>IF(tblRisks[[#This Row],[Supplier]]="","",IFERROR(INDEX(tblSuppliers[Commodity],MATCH(tblRisks[[#This Row],[Supplier]],tblSuppliers[Supplier],0)),""))</calculatedColumnFormula>
    </tableColumn>
    <tableColumn id="4" name="Category"/>
    <tableColumn id="5" name="Risk"/>
    <tableColumn id="6" name="Severity"/>
    <tableColumn id="7" name="Occurrence"/>
    <tableColumn id="8" name="Detection"/>
    <tableColumn id="9" name="RPN">
      <calculatedColumnFormula>N(tblRisks[[#This Row],[Severity]])*N(tblRisks[[#This Row],[Occurrence]])*N(tblRisks[[#This Row],[Detection]])</calculatedColumnFormula>
    </tableColumn>
    <tableColumn id="10" name="Criticality">
      <calculatedColumnFormula>IF(tblRisks[[#This Row],[Supplier]]="","",N(tblRisks[[#This Row],[Severity]])*N(tblRisks[[#This Row],[Occurrence]]))</calculatedColumnFormula>
    </tableColumn>
    <tableColumn id="11" name="Vs threshold">
      <calculatedColumnFormula>IF(tblRisks[[#This Row],[Supplier]]="","",tblRisks[[#This Row],[RPN]]-RPNThreshold)</calculatedColumnFormula>
    </tableColumn>
    <tableColumn id="12" name="Priority">
      <calculatedColumnFormula>IF(tblRisks[[#This Row],[Supplier]]="","",IF(tblRisks[[#This Row],[Closed]]&lt;&gt;"","Closed",IF(OR(tblRisks[[#This Row],[RPN]]&gt;=RPNThreshold,tblRisks[[#This Row],[Severity]]&gt;=SevFloor),"Act","Monitor")))</calculatedColumnFormula>
    </tableColumn>
    <tableColumn id="13" name="Trigger">
      <calculatedColumnFormula>IF(tblRisks[[#This Row],[Supplier]]="","",IF(AND(tblRisks[[#This Row],[RPN]]&gt;=RPNThreshold,tblRisks[[#This Row],[Severity]]&gt;=SevFloor),"RPN and severity",IF(tblRisks[[#This Row],[RPN]]&gt;=RPNThreshold,"RPN at or over threshold",IF(tblRisks[[#This Row],[Severity]]&gt;=SevFloor,"Severity at or over floor",""))))</calculatedColumnFormula>
    </tableColumn>
    <tableColumn id="14" name="Action"/>
    <tableColumn id="15" name="Owner"/>
    <tableColumn id="16" name="Due"/>
    <tableColumn id="17" name="Closed"/>
    <tableColumn id="18" name="Action status">
      <calculatedColumnFormula>IF(tblRisks[[#This Row],[Supplier]]="","",IF(tblRisks[[#This Row],[Closed]]&lt;&gt;"","Complete",IF(tblRisks[[#This Row],[Due]]="","",IF(tblRisks[[#This Row],[Due]]&lt;AsOf,"Overdue",IF(tblRisks[[#This Row],[Due]]&lt;=AsOf+DueSoonDays,"Due soon","In progress")))))</calculatedColumnFormula>
    </tableColumn>
    <tableColumn id="19" name="Sort key">
      <calculatedColumnFormula>IF(tblRisks[[#This Row],[Supplier]]="","",IF(tblRisks[[#This Row],[Priority]]="Closed","",tblRisks[[#This Row],[RPN]]+1-ROW()/100000))</calculatedColumnFormula>
    </tableColumn>
    <tableColumn id="20" name="Check">
      <calculatedColumnFormula>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calculatedColumnFormula>
    </tableColumn>
    <tableColumn id="21" name="Notes"/>
  </tableColumns>
  <tableStyleInfo name="TableStyleLight1" showFirstColumn="0" showLastColumn="0" showRowStripes="0" showColumnStripes="0"/>
</table>
</file>

<file path=xl/tables/table4.xml><?xml version="1.0" encoding="utf-8"?>
<table xmlns="http://schemas.openxmlformats.org/spreadsheetml/2006/main" id="4" name="tblVerifySuppliers" displayName="tblVerifySuppliers" ref="B47:F50" totalsRowShown="0">
  <tableColumns count="5">
    <tableColumn id="1" name="Supplier"/>
    <tableColumn id="2" name="Commodity"/>
    <tableColumn id="3" name="Country"/>
    <tableColumn id="4" name="Annual spend"/>
    <tableColumn id="5" name="Single source"/>
  </tableColumns>
  <tableStyleInfo name="TableStyleLight1" showFirstColumn="0" showLastColumn="0" showRowStripes="0" showColumnStripes="0"/>
</table>
</file>

<file path=xl/tables/table5.xml><?xml version="1.0" encoding="utf-8"?>
<table xmlns="http://schemas.openxmlformats.org/spreadsheetml/2006/main" id="5" name="tblVerifyRisks" displayName="tblVerifyRisks" ref="B53:V58" totalsRowShown="0">
  <tableColumns count="21">
    <tableColumn id="1" name="ID"/>
    <tableColumn id="2" name="Supplier"/>
    <tableColumn id="3" name="Commodity"/>
    <tableColumn id="4" name="Category"/>
    <tableColumn id="5" name="Risk"/>
    <tableColumn id="6" name="Severity"/>
    <tableColumn id="7" name="Occurrence"/>
    <tableColumn id="8" name="Detection"/>
    <tableColumn id="9" name="RPN">
      <calculatedColumnFormula>N(tblVerifyRisks[[#This Row],[Severity]])*N(tblVerifyRisks[[#This Row],[Occurrence]])*N(tblVerifyRisks[[#This Row],[Detection]])</calculatedColumnFormula>
    </tableColumn>
    <tableColumn id="10" name="Criticality">
      <calculatedColumnFormula>IF(tblVerifyRisks[[#This Row],[Supplier]]="","",N(tblVerifyRisks[[#This Row],[Severity]])*N(tblVerifyRisks[[#This Row],[Occurrence]]))</calculatedColumnFormula>
    </tableColumn>
    <tableColumn id="11" name="Vs threshold">
      <calculatedColumnFormula>IF(tblVerifyRisks[[#This Row],[Supplier]]="","",tblVerifyRisks[[#This Row],[RPN]]-$E$40)</calculatedColumnFormula>
    </tableColumn>
    <tableColumn id="12" name="Priority">
      <calculatedColumnFormula>IF(tblVerifyRisks[[#This Row],[Supplier]]="","",IF(tblVerifyRisks[[#This Row],[Closed]]&lt;&gt;"","Closed",IF(OR(tblVerifyRisks[[#This Row],[RPN]]&gt;=$E$40,tblVerifyRisks[[#This Row],[Severity]]&gt;=$E$41),"Act","Monitor")))</calculatedColumnFormula>
    </tableColumn>
    <tableColumn id="13" name="Trigger">
      <calculatedColumnFormula>IF(tblVerifyRisks[[#This Row],[Supplier]]="","",IF(AND(tblVerifyRisks[[#This Row],[RPN]]&gt;=$E$40,tblVerifyRisks[[#This Row],[Severity]]&gt;=$E$41),"RPN and severity",IF(tblVerifyRisks[[#This Row],[RPN]]&gt;=$E$40,"RPN at or over threshold",IF(tblVerifyRisks[[#This Row],[Severity]]&gt;=$E$41,"Severity at or over floor",""))))</calculatedColumnFormula>
    </tableColumn>
    <tableColumn id="14" name="Action"/>
    <tableColumn id="15" name="Owner"/>
    <tableColumn id="16" name="Due"/>
    <tableColumn id="17" name="Closed"/>
    <tableColumn id="18" name="Action status">
      <calculatedColumnFormula>IF(tblVerifyRisks[[#This Row],[Supplier]]="","",IF(tblVerifyRisks[[#This Row],[Closed]]&lt;&gt;"","Complete",IF(tblVerifyRisks[[#This Row],[Due]]="","",IF(tblVerifyRisks[[#This Row],[Due]]&lt;$E$42,"Overdue",IF(tblVerifyRisks[[#This Row],[Due]]&lt;=$E$42+$E$43,"Due soon","In progress")))))</calculatedColumnFormula>
    </tableColumn>
    <tableColumn id="19" name="Sort key">
      <calculatedColumnFormula>IF(tblVerifyRisks[[#This Row],[Supplier]]="","",IF(tblVerifyRisks[[#This Row],[Priority]]="Closed","",tblVerifyRisks[[#This Row],[RPN]]+1-ROW()/100000))</calculatedColumnFormula>
    </tableColumn>
    <tableColumn id="20" name="Check">
      <calculatedColumnFormula>IF(tblVerifyRisks[[#This Row],[Supplier]]="","",IF(tblVerifyRisks[[#This Row],[ID]]="","Missing id",IF(tblVerifyRisks[[#This Row],[Category]]="","Missing category",IF(tblVerifyRisks[[#This Row],[Severity]]="","Missing severity",IF(tblVerifyRisks[[#This Row],[Occurrence]]="","Missing occurrence",IF(tblVerifyRisks[[#This Row],[Detection]]="","Missing detection",IF(tblVerifyRisks[[#This Row],[Commodity]]="","Supplier not on Setup list",IF(OR(tblVerifyRisks[[#This Row],[Severity]]&lt;1,tblVerifyRisks[[#This Row],[Severity]]&gt;10,tblVerifyRisks[[#This Row],[Occurrence]]&lt;1,tblVerifyRisks[[#This Row],[Occurrence]]&gt;10,tblVerifyRisks[[#This Row],[Detection]]&lt;1,tblVerifyRisks[[#This Row],[Detection]]&gt;10),"Ratings must be 1 to 10",IF(AND(tblVerifyRisks[[#This Row],[Priority]]="Act",tblVerifyRisks[[#This Row],[Action]]=""),"Act risk has no action",IF(AND(tblVerifyRisks[[#This Row],[Priority]]="Act",OR(tblVerifyRisks[[#This Row],[Owner]]="",tblVerifyRisks[[#This Row],[Due]]="")),"Act risk needs owner and due date",IF(COUNTIF(tblVerifyRisks[ID],tblVerifyRisks[[#This Row],[ID]])&gt;1,"Duplicate ID","OK")))))))))))</calculatedColumnFormula>
    </tableColumn>
    <tableColumn id="2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risk-assessment" TargetMode="External"/><Relationship Id="rId2" Type="http://schemas.openxmlformats.org/officeDocument/2006/relationships/hyperlink" Target="https://www.mfgcalcs.com/calculators/supplier-quality-development-audits/supplier-risk-score?utm_source=mfgcalcs-template&amp;utm_medium=xlsx&amp;utm_campaign=supplier-risk-assessment" TargetMode="External"/><Relationship Id="rId3" Type="http://schemas.openxmlformats.org/officeDocument/2006/relationships/hyperlink" Target="https://www.mfgcalcs.com/templates/supplier-risk-assessment?utm_source=mfgcalcs-template&amp;utm_medium=xlsx&amp;utm_campaign=supplier-risk-assessment" TargetMode="External"/><Relationship Id="rId4" Type="http://schemas.openxmlformats.org/officeDocument/2006/relationships/hyperlink" Target="https://www.mfgcalcs.com/templates?utm_source=mfgcalcs-template&amp;utm_medium=xlsx&amp;utm_campaign=supplier-risk-assessmen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risk-assessment"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risk-assessment"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risk-assessmen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risk-assessment" TargetMode="External"/><Relationship Id="rId2" Type="http://schemas.openxmlformats.org/officeDocument/2006/relationships/hyperlink" Target="https://www.mfgcalcs.com/calculators/supplier-quality-development-audits/supplier-risk-score?utm_source=mfgcalcs-template&amp;utm_medium=xlsx&amp;utm_campaign=supplier-risk-assessmen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risk-assessment"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24 of 24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Risk Register'!A1" tooltip="Go to Risk Register" display="Risk Register"/>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Supplier Risk Assessment&amp;R&amp;8&amp;A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43"/>
  <sheetViews>
    <sheetView showGridLines="0" workbookViewId="0"/>
  </sheetViews>
  <sheetFormatPr defaultRowHeight="15"/>
  <cols>
    <col min="1" max="1" width="2.7109375" customWidth="1"/>
    <col min="2" max="2" width="30.7109375" customWidth="1"/>
    <col min="3" max="3" width="36.7109375" customWidth="1"/>
    <col min="4" max="4" width="16.7109375" customWidth="1"/>
    <col min="5" max="5" width="14.7109375" customWidth="1"/>
    <col min="6" max="6" width="12.7109375" customWidth="1"/>
  </cols>
  <sheetData>
    <row r="1" spans="1:6" ht="30" customHeight="1">
      <c r="A1" s="1" t="s">
        <v>0</v>
      </c>
      <c r="B1" s="1"/>
      <c r="C1" s="1"/>
      <c r="D1" s="1"/>
      <c r="E1" s="1"/>
      <c r="F1" s="1"/>
    </row>
    <row r="2" spans="1:6" ht="21" customHeight="1">
      <c r="B2" s="2" t="s">
        <v>18</v>
      </c>
      <c r="C2" s="2"/>
      <c r="D2" s="2"/>
      <c r="E2" s="2"/>
      <c r="F2" s="3" t="s">
        <v>2</v>
      </c>
    </row>
    <row r="3" spans="1:6" ht="6" customHeight="1"/>
    <row r="4" spans="1:6" ht="21" customHeight="1">
      <c r="B4" s="8" t="s">
        <v>67</v>
      </c>
      <c r="C4" s="8"/>
      <c r="D4" s="8"/>
      <c r="E4" s="8"/>
      <c r="F4" s="8"/>
    </row>
    <row r="5" spans="1:6" ht="5" customHeight="1"/>
    <row r="6" spans="1:6">
      <c r="B6" s="27" t="s">
        <v>68</v>
      </c>
      <c r="C6" s="28" t="s">
        <v>69</v>
      </c>
      <c r="D6" s="28"/>
    </row>
    <row r="7" spans="1:6">
      <c r="B7" s="27" t="s">
        <v>70</v>
      </c>
      <c r="C7" s="28" t="s">
        <v>71</v>
      </c>
      <c r="D7" s="28"/>
    </row>
    <row r="8" spans="1:6">
      <c r="B8" s="27" t="s">
        <v>72</v>
      </c>
      <c r="C8" s="29">
        <v>100</v>
      </c>
      <c r="D8" s="7" t="s">
        <v>73</v>
      </c>
    </row>
    <row r="9" spans="1:6">
      <c r="B9" s="27" t="s">
        <v>74</v>
      </c>
      <c r="C9" s="29">
        <v>9</v>
      </c>
      <c r="D9" s="7" t="s">
        <v>75</v>
      </c>
    </row>
    <row r="10" spans="1:6">
      <c r="B10" s="27" t="s">
        <v>76</v>
      </c>
      <c r="C10" s="30">
        <v>46307</v>
      </c>
      <c r="D10" s="7"/>
    </row>
    <row r="11" spans="1:6">
      <c r="B11" s="27" t="s">
        <v>77</v>
      </c>
      <c r="C11" s="29">
        <v>14</v>
      </c>
      <c r="D11" s="7" t="s">
        <v>78</v>
      </c>
    </row>
    <row r="13" spans="1:6" ht="35.4" customHeight="1">
      <c r="B13" s="25" t="s">
        <v>79</v>
      </c>
      <c r="C13" s="25"/>
      <c r="D13" s="25"/>
      <c r="E13" s="25"/>
      <c r="F13" s="25"/>
    </row>
    <row r="15" spans="1:6" ht="21" customHeight="1">
      <c r="B15" s="8" t="s">
        <v>80</v>
      </c>
      <c r="C15" s="8"/>
      <c r="D15" s="8"/>
      <c r="E15" s="8"/>
      <c r="F15" s="8"/>
    </row>
    <row r="16" spans="1:6" ht="5" customHeight="1"/>
    <row r="17" spans="2:6" ht="29.4" customHeight="1">
      <c r="B17" s="10" t="s">
        <v>81</v>
      </c>
      <c r="C17" s="10"/>
      <c r="D17" s="10"/>
      <c r="E17" s="10"/>
      <c r="F17" s="10"/>
    </row>
    <row r="18" spans="2:6" ht="29.4" customHeight="1">
      <c r="B18" s="10" t="s">
        <v>82</v>
      </c>
      <c r="C18" s="10"/>
      <c r="D18" s="10"/>
      <c r="E18" s="10"/>
      <c r="F18" s="10"/>
    </row>
    <row r="19" spans="2:6" ht="29.4" customHeight="1">
      <c r="B19" s="10" t="s">
        <v>83</v>
      </c>
      <c r="C19" s="10"/>
      <c r="D19" s="10"/>
      <c r="E19" s="10"/>
      <c r="F19" s="10"/>
    </row>
    <row r="20" spans="2:6" ht="21" customHeight="1">
      <c r="B20" s="8" t="s">
        <v>84</v>
      </c>
      <c r="C20" s="8"/>
      <c r="D20" s="8"/>
      <c r="E20" s="8"/>
      <c r="F20" s="8"/>
    </row>
    <row r="21" spans="2:6" ht="5" customHeight="1"/>
    <row r="22" spans="2:6">
      <c r="B22" s="31" t="s">
        <v>85</v>
      </c>
      <c r="C22" s="31"/>
      <c r="D22" s="31"/>
      <c r="E22" s="31"/>
      <c r="F22" s="31"/>
    </row>
    <row r="23" spans="2:6" ht="14" customHeight="1">
      <c r="B23" s="32"/>
      <c r="C23" s="32"/>
      <c r="D23" s="32"/>
      <c r="E23" s="32" t="str">
        <f>Currency&amp;"/year"</f>
        <v>EUR/year</v>
      </c>
      <c r="F23" s="32"/>
    </row>
    <row r="24" spans="2:6" ht="32" customHeight="1">
      <c r="B24" s="33" t="s">
        <v>60</v>
      </c>
      <c r="C24" s="33" t="s">
        <v>61</v>
      </c>
      <c r="D24" s="33" t="s">
        <v>62</v>
      </c>
      <c r="E24" s="33" t="s">
        <v>63</v>
      </c>
      <c r="F24" s="33" t="s">
        <v>64</v>
      </c>
    </row>
    <row r="25" spans="2:6">
      <c r="B25" s="28" t="s">
        <v>86</v>
      </c>
      <c r="C25" s="28" t="s">
        <v>87</v>
      </c>
      <c r="D25" s="28" t="s">
        <v>88</v>
      </c>
      <c r="E25" s="29">
        <v>1850000</v>
      </c>
      <c r="F25" s="28" t="s">
        <v>89</v>
      </c>
    </row>
    <row r="26" spans="2:6">
      <c r="B26" s="28" t="s">
        <v>90</v>
      </c>
      <c r="C26" s="28" t="s">
        <v>91</v>
      </c>
      <c r="D26" s="28" t="s">
        <v>92</v>
      </c>
      <c r="E26" s="29">
        <v>2400000</v>
      </c>
      <c r="F26" s="28" t="s">
        <v>93</v>
      </c>
    </row>
    <row r="27" spans="2:6">
      <c r="B27" s="28" t="s">
        <v>94</v>
      </c>
      <c r="C27" s="28" t="s">
        <v>95</v>
      </c>
      <c r="D27" s="28" t="s">
        <v>96</v>
      </c>
      <c r="E27" s="29">
        <v>950000</v>
      </c>
      <c r="F27" s="28" t="s">
        <v>89</v>
      </c>
    </row>
    <row r="28" spans="2:6">
      <c r="B28" s="28" t="s">
        <v>97</v>
      </c>
      <c r="C28" s="28" t="s">
        <v>98</v>
      </c>
      <c r="D28" s="28" t="s">
        <v>99</v>
      </c>
      <c r="E28" s="29">
        <v>620000</v>
      </c>
      <c r="F28" s="28" t="s">
        <v>93</v>
      </c>
    </row>
    <row r="29" spans="2:6">
      <c r="B29" s="28" t="s">
        <v>100</v>
      </c>
      <c r="C29" s="28" t="s">
        <v>101</v>
      </c>
      <c r="D29" s="28" t="s">
        <v>102</v>
      </c>
      <c r="E29" s="29">
        <v>1300000</v>
      </c>
      <c r="F29" s="28" t="s">
        <v>89</v>
      </c>
    </row>
    <row r="30" spans="2:6">
      <c r="B30" s="28" t="s">
        <v>103</v>
      </c>
      <c r="C30" s="28" t="s">
        <v>104</v>
      </c>
      <c r="D30" s="28" t="s">
        <v>105</v>
      </c>
      <c r="E30" s="29">
        <v>480000</v>
      </c>
      <c r="F30" s="28" t="s">
        <v>93</v>
      </c>
    </row>
    <row r="31" spans="2:6">
      <c r="B31" s="28" t="s">
        <v>106</v>
      </c>
      <c r="C31" s="28" t="s">
        <v>107</v>
      </c>
      <c r="D31" s="28" t="s">
        <v>96</v>
      </c>
      <c r="E31" s="29">
        <v>210000</v>
      </c>
      <c r="F31" s="28" t="s">
        <v>93</v>
      </c>
    </row>
    <row r="32" spans="2:6">
      <c r="B32" s="28" t="s">
        <v>108</v>
      </c>
      <c r="C32" s="28" t="s">
        <v>109</v>
      </c>
      <c r="D32" s="28" t="s">
        <v>110</v>
      </c>
      <c r="E32" s="29">
        <v>770000</v>
      </c>
      <c r="F32" s="28" t="s">
        <v>93</v>
      </c>
    </row>
    <row r="34" spans="2:3">
      <c r="B34" s="31" t="s">
        <v>111</v>
      </c>
      <c r="C34" s="31"/>
    </row>
    <row r="35" spans="2:3" ht="20" customHeight="1">
      <c r="B35" s="33" t="s">
        <v>65</v>
      </c>
      <c r="C35" s="33" t="s">
        <v>66</v>
      </c>
    </row>
    <row r="36" spans="2:3">
      <c r="B36" s="28" t="s">
        <v>112</v>
      </c>
      <c r="C36" s="28" t="s">
        <v>113</v>
      </c>
    </row>
    <row r="37" spans="2:3">
      <c r="B37" s="28" t="s">
        <v>114</v>
      </c>
      <c r="C37" s="28" t="s">
        <v>115</v>
      </c>
    </row>
    <row r="38" spans="2:3">
      <c r="B38" s="28" t="s">
        <v>64</v>
      </c>
      <c r="C38" s="28" t="s">
        <v>116</v>
      </c>
    </row>
    <row r="39" spans="2:3">
      <c r="B39" s="28" t="s">
        <v>117</v>
      </c>
      <c r="C39" s="28" t="s">
        <v>118</v>
      </c>
    </row>
    <row r="40" spans="2:3">
      <c r="B40" s="28" t="s">
        <v>119</v>
      </c>
      <c r="C40" s="28" t="s">
        <v>120</v>
      </c>
    </row>
    <row r="41" spans="2:3">
      <c r="B41" s="28" t="s">
        <v>121</v>
      </c>
      <c r="C41" s="28" t="s">
        <v>122</v>
      </c>
    </row>
    <row r="42" spans="2:3">
      <c r="B42" s="28" t="s">
        <v>123</v>
      </c>
      <c r="C42" s="28" t="s">
        <v>124</v>
      </c>
    </row>
    <row r="43" spans="2:3">
      <c r="B43" s="28" t="s">
        <v>125</v>
      </c>
      <c r="C43" s="28" t="s">
        <v>126</v>
      </c>
    </row>
  </sheetData>
  <mergeCells count="13">
    <mergeCell ref="A1:F1"/>
    <mergeCell ref="B2:E2"/>
    <mergeCell ref="B4:F4"/>
    <mergeCell ref="C6:D6"/>
    <mergeCell ref="C7:D7"/>
    <mergeCell ref="B13:F13"/>
    <mergeCell ref="B15:F15"/>
    <mergeCell ref="B17:F17"/>
    <mergeCell ref="B18:F18"/>
    <mergeCell ref="B19:F19"/>
    <mergeCell ref="B20:F20"/>
    <mergeCell ref="B22:F22"/>
    <mergeCell ref="B34:C34"/>
  </mergeCells>
  <dataValidations count="13">
    <dataValidation type="textLength" allowBlank="1" showInputMessage="1" showErrorMessage="1" errorTitle="Check this entry" error="Text up to 80 characters." promptTitle="Company or plant"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next to spend, e.g. USD, INR, GBP, EUR, MXN. No exchange rate is applied. Text up to 12 characters." sqref="C7">
      <formula1>0</formula1>
      <formula2>12</formula2>
    </dataValidation>
    <dataValidation type="whole" allowBlank="1" showInputMessage="1" showErrorMessage="1" errorTitle="Check this entry" error="Enter a whole number from 1 to 1,000." promptTitle="Act when RPN is at least" prompt="Your own action threshold on the 1-1,000 RPN scale. There is no universal value; set it so the Act list is a workload the team can carry. Enter a whole number from 1 to 1,000." sqref="C8">
      <formula1>1</formula1>
      <formula2>1000</formula2>
    </dataValidation>
    <dataValidation type="whole" allowBlank="1" showInputMessage="1" showErrorMessage="1" errorTitle="Check this entry" error="Enter a whole number from 1 to 10." promptTitle="Act when severity is at least" prompt="Any risk with severity at or above this is acted on whatever its RPN. 9 means safety, regulatory or long line-stop effects are never left at Monitor. Enter a whole number from 1 to 10." sqref="C9">
      <formula1>1</formula1>
      <formula2>10</formula2>
    </dataValidation>
    <dataValidation type="date" allowBlank="1" showInputMessage="1" showErrorMessage="1" errorTitle="Check this entry" error="Enter a date between 01 Jan 2000 and 31 Dec 2100." promptTitle="Action status as of" prompt="The date action status is judged against. Update it before each review; nothing in the workbook reads the clock. Enter a date between 01 Jan 2000 and 31 Dec 2100." sqref="C10">
      <formula1>36526</formula1>
      <formula2>73415</formula2>
    </dataValidation>
    <dataValidation type="whole" allowBlank="1" showInputMessage="1" showErrorMessage="1" errorTitle="Check this entry" error="Enter a whole number from 0 to 365." promptTitle="Due soon window" prompt="Actions due within this many days of the as-of date show Due soon. Enter a whole number from 0 to 365." sqref="C11">
      <formula1>0</formula1>
      <formula2>365</formula2>
    </dataValidation>
    <dataValidation type="textLength" allowBlank="1" showInputMessage="1" showErrorMessage="1" errorTitle="Check this entry" error="Text up to 60 characters." promptTitle="Supplier" prompt="Text up to 60 characters." sqref="B25:B132">
      <formula1>0</formula1>
      <formula2>60</formula2>
    </dataValidation>
    <dataValidation type="textLength" allowBlank="1" showInputMessage="1" showErrorMessage="1" errorTitle="Check this entry" error="Text up to 40 characters." promptTitle="Commodity" prompt="Text up to 40 characters." sqref="C25:C132">
      <formula1>0</formula1>
      <formula2>40</formula2>
    </dataValidation>
    <dataValidation type="textLength" allowBlank="1" showInputMessage="1" showErrorMessage="1" errorTitle="Check this entry" error="Text up to 40 characters." promptTitle="Country" prompt="Text up to 40 characters." sqref="D25:D132">
      <formula1>0</formula1>
      <formula2>40</formula2>
    </dataValidation>
    <dataValidation type="decimal" allowBlank="1" showInputMessage="1" showErrorMessage="1" errorTitle="Check this entry" error="Enter a number of at least 0." promptTitle="Annual spend" prompt="Spend with this supplier over the last 12 months (or the budget). Used for the spend with an Act risk. Enter a number of at least 0." sqref="E25:E132">
      <formula1>0</formula1>
      <formula2>1000000000000.0</formula2>
    </dataValidation>
    <dataValidation type="list" allowBlank="1" showInputMessage="1" showErrorMessage="1" errorTitle="Check this entry" error="Pick one of: Yes, No." promptTitle="Single source" prompt="Yes when you have no other qualified source for what this supplier makes for you. Pick one of: Yes, No." sqref="F25:F132">
      <formula1>"Yes,No"</formula1>
    </dataValidation>
    <dataValidation type="textLength" allowBlank="1" showInputMessage="1" showErrorMessage="1" errorTitle="Check this entry" error="Text up to 40 characters." promptTitle="Category" prompt="Text up to 40 characters." sqref="B36:B143">
      <formula1>0</formula1>
      <formula2>40</formula2>
    </dataValidation>
    <dataValidation type="textLength" allowBlank="1" showInputMessage="1" showErrorMessage="1" errorTitle="Check this entry" error="Text up to 120 characters." promptTitle="Covers" prompt="Text up to 120 characters." sqref="C36:C143">
      <formula1>0</formula1>
      <formula2>120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Supplier Risk Assessment&amp;R&amp;8&amp;A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V31"/>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7.28515625" customWidth="1"/>
    <col min="3" max="3" width="17.7109375" customWidth="1"/>
    <col min="4" max="4" width="13.7109375" customWidth="1"/>
    <col min="5" max="5" width="14.7109375" customWidth="1"/>
    <col min="6" max="6" width="40.7109375" customWidth="1"/>
    <col min="7" max="7" width="8.28515625" customWidth="1"/>
    <col min="8" max="8" width="9.28515625" customWidth="1"/>
    <col min="9" max="9" width="8.7109375" customWidth="1"/>
    <col min="10" max="10" width="7.28515625" customWidth="1"/>
    <col min="11" max="11" width="8.7109375" customWidth="1"/>
    <col min="12" max="12" width="9.28515625" customWidth="1"/>
    <col min="13" max="13" width="8.7109375" customWidth="1"/>
    <col min="14" max="14" width="19.7109375" customWidth="1"/>
    <col min="15" max="15" width="36.7109375" customWidth="1"/>
    <col min="16" max="16" width="14.7109375" customWidth="1"/>
    <col min="17" max="18" width="12.28515625" customWidth="1"/>
    <col min="19" max="19" width="11.7109375" customWidth="1"/>
    <col min="20" max="20" width="10.7109375" customWidth="1"/>
    <col min="21" max="21" width="26.7109375" customWidth="1"/>
    <col min="22" max="22" width="30.7109375" customWidth="1"/>
  </cols>
  <sheetData>
    <row r="1" spans="1:22" ht="30" customHeight="1" x14ac:dyDescent="0.25">
      <c r="A1" s="1" t="s">
        <v>0</v>
      </c>
      <c r="B1" s="1"/>
      <c r="C1" s="1"/>
      <c r="D1" s="1"/>
      <c r="E1" s="1"/>
      <c r="F1" s="1"/>
      <c r="G1" s="1"/>
      <c r="H1" s="1"/>
      <c r="I1" s="1"/>
      <c r="J1" s="1"/>
      <c r="K1" s="1"/>
      <c r="L1" s="1"/>
      <c r="M1" s="1"/>
      <c r="N1" s="1"/>
      <c r="O1" s="1"/>
      <c r="P1" s="1"/>
      <c r="Q1" s="1"/>
      <c r="R1" s="1"/>
      <c r="S1" s="1"/>
      <c r="T1" s="1"/>
      <c r="U1" s="1"/>
      <c r="V1" s="1"/>
    </row>
    <row r="2" spans="1:22" ht="21" customHeight="1" x14ac:dyDescent="0.25">
      <c r="B2" s="2" t="s">
        <v>20</v>
      </c>
      <c r="C2" s="2"/>
      <c r="D2" s="2"/>
      <c r="E2" s="2"/>
      <c r="F2" s="2"/>
      <c r="G2" s="2"/>
      <c r="H2" s="2"/>
      <c r="I2" s="2"/>
      <c r="J2" s="2"/>
      <c r="K2" s="2"/>
      <c r="L2" s="2"/>
      <c r="M2" s="2"/>
      <c r="N2" s="2"/>
      <c r="O2" s="2"/>
      <c r="P2" s="2"/>
      <c r="Q2" s="2"/>
      <c r="R2" s="2"/>
      <c r="S2" s="2"/>
      <c r="T2" s="2"/>
      <c r="U2" s="2"/>
      <c r="V2" s="3" t="s">
        <v>2</v>
      </c>
    </row>
    <row r="3" spans="1:22" ht="6" customHeight="1" x14ac:dyDescent="0.25"/>
    <row r="4" spans="1:22" ht="18" customHeight="1" x14ac:dyDescent="0.25">
      <c r="B4" s="34" t="s">
        <v>144</v>
      </c>
      <c r="C4" s="34"/>
      <c r="D4" s="34"/>
      <c r="E4" s="34"/>
      <c r="F4" s="34"/>
      <c r="G4" s="34"/>
      <c r="H4" s="34"/>
      <c r="I4" s="34"/>
      <c r="J4" s="34"/>
      <c r="K4" s="34"/>
      <c r="L4" s="34"/>
      <c r="M4" s="34"/>
      <c r="N4" s="34"/>
      <c r="O4" s="34"/>
      <c r="P4" s="34"/>
      <c r="Q4" s="34"/>
      <c r="R4" s="34"/>
      <c r="S4" s="34"/>
      <c r="T4" s="34"/>
      <c r="U4" s="34"/>
      <c r="V4" s="34"/>
    </row>
    <row r="5" spans="1:22" ht="32" customHeight="1" x14ac:dyDescent="0.25">
      <c r="B5" s="33" t="s">
        <v>127</v>
      </c>
      <c r="C5" s="33" t="s">
        <v>60</v>
      </c>
      <c r="D5" s="33" t="s">
        <v>61</v>
      </c>
      <c r="E5" s="33" t="s">
        <v>65</v>
      </c>
      <c r="F5" s="33" t="s">
        <v>128</v>
      </c>
      <c r="G5" s="33" t="s">
        <v>129</v>
      </c>
      <c r="H5" s="33" t="s">
        <v>130</v>
      </c>
      <c r="I5" s="33" t="s">
        <v>131</v>
      </c>
      <c r="J5" s="33" t="s">
        <v>73</v>
      </c>
      <c r="K5" s="33" t="s">
        <v>132</v>
      </c>
      <c r="L5" s="33" t="s">
        <v>133</v>
      </c>
      <c r="M5" s="33" t="s">
        <v>134</v>
      </c>
      <c r="N5" s="33" t="s">
        <v>135</v>
      </c>
      <c r="O5" s="33" t="s">
        <v>136</v>
      </c>
      <c r="P5" s="33" t="s">
        <v>137</v>
      </c>
      <c r="Q5" s="33" t="s">
        <v>138</v>
      </c>
      <c r="R5" s="33" t="s">
        <v>139</v>
      </c>
      <c r="S5" s="33" t="s">
        <v>140</v>
      </c>
      <c r="T5" s="33" t="s">
        <v>141</v>
      </c>
      <c r="U5" s="33" t="s">
        <v>142</v>
      </c>
      <c r="V5" s="33" t="s">
        <v>143</v>
      </c>
    </row>
    <row r="6" spans="1:22" x14ac:dyDescent="0.25">
      <c r="B6" s="28" t="s">
        <v>145</v>
      </c>
      <c r="C6" s="28" t="s">
        <v>86</v>
      </c>
      <c r="D6" s="35" t="str">
        <f>IF(tblRisks[[#This Row],[Supplier]]="","",IFERROR(INDEX(tblSuppliers[Commodity],MATCH(tblRisks[[#This Row],[Supplier]],tblSuppliers[Supplier],0)),""))</f>
        <v>Gear motors</v>
      </c>
      <c r="E6" s="28" t="s">
        <v>64</v>
      </c>
      <c r="F6" s="36" t="s">
        <v>146</v>
      </c>
      <c r="G6" s="29">
        <v>9</v>
      </c>
      <c r="H6" s="29">
        <v>4</v>
      </c>
      <c r="I6" s="29">
        <v>3</v>
      </c>
      <c r="J6" s="37">
        <f>N(tblRisks[[#This Row],[Severity]])*N(tblRisks[[#This Row],[Occurrence]])*N(tblRisks[[#This Row],[Detection]])</f>
        <v>108</v>
      </c>
      <c r="K6" s="37">
        <f>IF(tblRisks[[#This Row],[Supplier]]="","",N(tblRisks[[#This Row],[Severity]])*N(tblRisks[[#This Row],[Occurrence]]))</f>
        <v>36</v>
      </c>
      <c r="L6" s="38">
        <f>IF(tblRisks[[#This Row],[Supplier]]="","",tblRisks[[#This Row],[RPN]]-RPNThreshold)</f>
        <v>8</v>
      </c>
      <c r="M6" s="39" t="str">
        <f>IF(tblRisks[[#This Row],[Supplier]]="","",IF(tblRisks[[#This Row],[Closed]]&lt;&gt;"","Closed",IF(OR(tblRisks[[#This Row],[RPN]]&gt;=RPNThreshold,tblRisks[[#This Row],[Severity]]&gt;=SevFloor),"Act","Monitor")))</f>
        <v>Act</v>
      </c>
      <c r="N6" s="35" t="str">
        <f>IF(tblRisks[[#This Row],[Supplier]]="","",IF(AND(tblRisks[[#This Row],[RPN]]&gt;=RPNThreshold,tblRisks[[#This Row],[Severity]]&gt;=SevFloor),"RPN and severity",IF(tblRisks[[#This Row],[RPN]]&gt;=RPNThreshold,"RPN at or over threshold",IF(tblRisks[[#This Row],[Severity]]&gt;=SevFloor,"Severity at or over floor",""))))</f>
        <v>RPN and severity</v>
      </c>
      <c r="O6" s="36" t="s">
        <v>147</v>
      </c>
      <c r="P6" s="28" t="s">
        <v>148</v>
      </c>
      <c r="Q6" s="30">
        <v>46371</v>
      </c>
      <c r="R6" s="30"/>
      <c r="S6" s="39" t="str">
        <f>IF(tblRisks[[#This Row],[Supplier]]="","",IF(tblRisks[[#This Row],[Closed]]&lt;&gt;"","Complete",IF(tblRisks[[#This Row],[Due]]="","",IF(tblRisks[[#This Row],[Due]]&lt;AsOf,"Overdue",IF(tblRisks[[#This Row],[Due]]&lt;=AsOf+DueSoonDays,"Due soon","In progress")))))</f>
        <v>In progress</v>
      </c>
      <c r="T6" s="40">
        <f>IF(tblRisks[[#This Row],[Supplier]]="","",IF(tblRisks[[#This Row],[Priority]]="Closed","",tblRisks[[#This Row],[RPN]]+1-ROW()/100000))</f>
        <v>108.99994</v>
      </c>
      <c r="U6"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6" s="36" t="s">
        <v>149</v>
      </c>
    </row>
    <row r="7" spans="1:22" x14ac:dyDescent="0.25">
      <c r="B7" s="28" t="s">
        <v>150</v>
      </c>
      <c r="C7" s="28" t="s">
        <v>86</v>
      </c>
      <c r="D7" s="35" t="str">
        <f>IF(tblRisks[[#This Row],[Supplier]]="","",IFERROR(INDEX(tblSuppliers[Commodity],MATCH(tblRisks[[#This Row],[Supplier]],tblSuppliers[Supplier],0)),""))</f>
        <v>Gear motors</v>
      </c>
      <c r="E7" s="28" t="s">
        <v>114</v>
      </c>
      <c r="F7" s="36" t="s">
        <v>151</v>
      </c>
      <c r="G7" s="29">
        <v>7</v>
      </c>
      <c r="H7" s="29">
        <v>6</v>
      </c>
      <c r="I7" s="29">
        <v>3</v>
      </c>
      <c r="J7" s="37">
        <f>N(tblRisks[[#This Row],[Severity]])*N(tblRisks[[#This Row],[Occurrence]])*N(tblRisks[[#This Row],[Detection]])</f>
        <v>126</v>
      </c>
      <c r="K7" s="37">
        <f>IF(tblRisks[[#This Row],[Supplier]]="","",N(tblRisks[[#This Row],[Severity]])*N(tblRisks[[#This Row],[Occurrence]]))</f>
        <v>42</v>
      </c>
      <c r="L7" s="38">
        <f>IF(tblRisks[[#This Row],[Supplier]]="","",tblRisks[[#This Row],[RPN]]-RPNThreshold)</f>
        <v>26</v>
      </c>
      <c r="M7" s="39" t="str">
        <f>IF(tblRisks[[#This Row],[Supplier]]="","",IF(tblRisks[[#This Row],[Closed]]&lt;&gt;"","Closed",IF(OR(tblRisks[[#This Row],[RPN]]&gt;=RPNThreshold,tblRisks[[#This Row],[Severity]]&gt;=SevFloor),"Act","Monitor")))</f>
        <v>Act</v>
      </c>
      <c r="N7" s="35" t="str">
        <f>IF(tblRisks[[#This Row],[Supplier]]="","",IF(AND(tblRisks[[#This Row],[RPN]]&gt;=RPNThreshold,tblRisks[[#This Row],[Severity]]&gt;=SevFloor),"RPN and severity",IF(tblRisks[[#This Row],[RPN]]&gt;=RPNThreshold,"RPN at or over threshold",IF(tblRisks[[#This Row],[Severity]]&gt;=SevFloor,"Severity at or over floor",""))))</f>
        <v>RPN at or over threshold</v>
      </c>
      <c r="O7" s="36" t="s">
        <v>152</v>
      </c>
      <c r="P7" s="28" t="s">
        <v>153</v>
      </c>
      <c r="Q7" s="30">
        <v>46300</v>
      </c>
      <c r="R7" s="30"/>
      <c r="S7" s="39" t="str">
        <f>IF(tblRisks[[#This Row],[Supplier]]="","",IF(tblRisks[[#This Row],[Closed]]&lt;&gt;"","Complete",IF(tblRisks[[#This Row],[Due]]="","",IF(tblRisks[[#This Row],[Due]]&lt;AsOf,"Overdue",IF(tblRisks[[#This Row],[Due]]&lt;=AsOf+DueSoonDays,"Due soon","In progress")))))</f>
        <v>Overdue</v>
      </c>
      <c r="T7" s="40">
        <f>IF(tblRisks[[#This Row],[Supplier]]="","",IF(tblRisks[[#This Row],[Priority]]="Closed","",tblRisks[[#This Row],[RPN]]+1-ROW()/100000))</f>
        <v>126.99993</v>
      </c>
      <c r="U7"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7" s="36" t="s">
        <v>154</v>
      </c>
    </row>
    <row r="8" spans="1:22" x14ac:dyDescent="0.25">
      <c r="B8" s="28" t="s">
        <v>155</v>
      </c>
      <c r="C8" s="28" t="s">
        <v>90</v>
      </c>
      <c r="D8" s="35" t="str">
        <f>IF(tblRisks[[#This Row],[Supplier]]="","",IFERROR(INDEX(tblSuppliers[Commodity],MATCH(tblRisks[[#This Row],[Supplier]],tblSuppliers[Supplier],0)),""))</f>
        <v>Sheet and tube</v>
      </c>
      <c r="E8" s="28" t="s">
        <v>119</v>
      </c>
      <c r="F8" s="36" t="s">
        <v>156</v>
      </c>
      <c r="G8" s="29">
        <v>6</v>
      </c>
      <c r="H8" s="29">
        <v>5</v>
      </c>
      <c r="I8" s="29">
        <v>2</v>
      </c>
      <c r="J8" s="37">
        <f>N(tblRisks[[#This Row],[Severity]])*N(tblRisks[[#This Row],[Occurrence]])*N(tblRisks[[#This Row],[Detection]])</f>
        <v>60</v>
      </c>
      <c r="K8" s="37">
        <f>IF(tblRisks[[#This Row],[Supplier]]="","",N(tblRisks[[#This Row],[Severity]])*N(tblRisks[[#This Row],[Occurrence]]))</f>
        <v>30</v>
      </c>
      <c r="L8" s="38">
        <f>IF(tblRisks[[#This Row],[Supplier]]="","",tblRisks[[#This Row],[RPN]]-RPNThreshold)</f>
        <v>-40</v>
      </c>
      <c r="M8" s="39" t="str">
        <f>IF(tblRisks[[#This Row],[Supplier]]="","",IF(tblRisks[[#This Row],[Closed]]&lt;&gt;"","Closed",IF(OR(tblRisks[[#This Row],[RPN]]&gt;=RPNThreshold,tblRisks[[#This Row],[Severity]]&gt;=SevFloor),"Act","Monitor")))</f>
        <v>Monitor</v>
      </c>
      <c r="N8" s="35">
        <f>IF(tblRisks[[#This Row],[Supplier]]="","",IF(AND(tblRisks[[#This Row],[RPN]]&gt;=RPNThreshold,tblRisks[[#This Row],[Severity]]&gt;=SevFloor),"RPN and severity",IF(tblRisks[[#This Row],[RPN]]&gt;=RPNThreshold,"RPN at or over threshold",IF(tblRisks[[#This Row],[Severity]]&gt;=SevFloor,"Severity at or over floor",""))))</f>
        <v/>
      </c>
      <c r="O8" s="36" t="s">
        <v>157</v>
      </c>
      <c r="P8" s="28" t="s">
        <v>153</v>
      </c>
      <c r="Q8" s="30">
        <v>46356</v>
      </c>
      <c r="R8" s="30"/>
      <c r="S8" s="39" t="str">
        <f>IF(tblRisks[[#This Row],[Supplier]]="","",IF(tblRisks[[#This Row],[Closed]]&lt;&gt;"","Complete",IF(tblRisks[[#This Row],[Due]]="","",IF(tblRisks[[#This Row],[Due]]&lt;AsOf,"Overdue",IF(tblRisks[[#This Row],[Due]]&lt;=AsOf+DueSoonDays,"Due soon","In progress")))))</f>
        <v>In progress</v>
      </c>
      <c r="T8" s="40">
        <f>IF(tblRisks[[#This Row],[Supplier]]="","",IF(tblRisks[[#This Row],[Priority]]="Closed","",tblRisks[[#This Row],[RPN]]+1-ROW()/100000))</f>
        <v>60.99992</v>
      </c>
      <c r="U8"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8" s="36" t="s">
        <v>149</v>
      </c>
    </row>
    <row r="9" spans="1:22" x14ac:dyDescent="0.25">
      <c r="B9" s="28" t="s">
        <v>158</v>
      </c>
      <c r="C9" s="28" t="s">
        <v>90</v>
      </c>
      <c r="D9" s="35" t="str">
        <f>IF(tblRisks[[#This Row],[Supplier]]="","",IFERROR(INDEX(tblSuppliers[Commodity],MATCH(tblRisks[[#This Row],[Supplier]],tblSuppliers[Supplier],0)),""))</f>
        <v>Sheet and tube</v>
      </c>
      <c r="E9" s="28" t="s">
        <v>112</v>
      </c>
      <c r="F9" s="36" t="s">
        <v>159</v>
      </c>
      <c r="G9" s="29">
        <v>5</v>
      </c>
      <c r="H9" s="29">
        <v>4</v>
      </c>
      <c r="I9" s="29">
        <v>4</v>
      </c>
      <c r="J9" s="37">
        <f>N(tblRisks[[#This Row],[Severity]])*N(tblRisks[[#This Row],[Occurrence]])*N(tblRisks[[#This Row],[Detection]])</f>
        <v>80</v>
      </c>
      <c r="K9" s="37">
        <f>IF(tblRisks[[#This Row],[Supplier]]="","",N(tblRisks[[#This Row],[Severity]])*N(tblRisks[[#This Row],[Occurrence]]))</f>
        <v>20</v>
      </c>
      <c r="L9" s="38">
        <f>IF(tblRisks[[#This Row],[Supplier]]="","",tblRisks[[#This Row],[RPN]]-RPNThreshold)</f>
        <v>-20</v>
      </c>
      <c r="M9" s="39" t="str">
        <f>IF(tblRisks[[#This Row],[Supplier]]="","",IF(tblRisks[[#This Row],[Closed]]&lt;&gt;"","Closed",IF(OR(tblRisks[[#This Row],[RPN]]&gt;=RPNThreshold,tblRisks[[#This Row],[Severity]]&gt;=SevFloor),"Act","Monitor")))</f>
        <v>Monitor</v>
      </c>
      <c r="N9" s="35">
        <f>IF(tblRisks[[#This Row],[Supplier]]="","",IF(AND(tblRisks[[#This Row],[RPN]]&gt;=RPNThreshold,tblRisks[[#This Row],[Severity]]&gt;=SevFloor),"RPN and severity",IF(tblRisks[[#This Row],[RPN]]&gt;=RPNThreshold,"RPN at or over threshold",IF(tblRisks[[#This Row],[Severity]]&gt;=SevFloor,"Severity at or over floor",""))))</f>
        <v/>
      </c>
      <c r="O9" s="36" t="s">
        <v>149</v>
      </c>
      <c r="P9" s="28" t="s">
        <v>149</v>
      </c>
      <c r="Q9" s="30"/>
      <c r="R9" s="30"/>
      <c r="S9" s="39">
        <f>IF(tblRisks[[#This Row],[Supplier]]="","",IF(tblRisks[[#This Row],[Closed]]&lt;&gt;"","Complete",IF(tblRisks[[#This Row],[Due]]="","",IF(tblRisks[[#This Row],[Due]]&lt;AsOf,"Overdue",IF(tblRisks[[#This Row],[Due]]&lt;=AsOf+DueSoonDays,"Due soon","In progress")))))</f>
        <v/>
      </c>
      <c r="T9" s="40">
        <f>IF(tblRisks[[#This Row],[Supplier]]="","",IF(tblRisks[[#This Row],[Priority]]="Closed","",tblRisks[[#This Row],[RPN]]+1-ROW()/100000))</f>
        <v>80.99991</v>
      </c>
      <c r="U9"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9" s="36" t="s">
        <v>160</v>
      </c>
    </row>
    <row r="10" spans="1:22" x14ac:dyDescent="0.25">
      <c r="B10" s="28" t="s">
        <v>161</v>
      </c>
      <c r="C10" s="28" t="s">
        <v>94</v>
      </c>
      <c r="D10" s="35" t="str">
        <f>IF(tblRisks[[#This Row],[Supplier]]="","",IFERROR(INDEX(tblSuppliers[Commodity],MATCH(tblRisks[[#This Row],[Supplier]],tblSuppliers[Supplier],0)),""))</f>
        <v>Conveyor belts</v>
      </c>
      <c r="E10" s="28" t="s">
        <v>64</v>
      </c>
      <c r="F10" s="36" t="s">
        <v>162</v>
      </c>
      <c r="G10" s="29">
        <v>8</v>
      </c>
      <c r="H10" s="29">
        <v>3</v>
      </c>
      <c r="I10" s="29">
        <v>3</v>
      </c>
      <c r="J10" s="37">
        <f>N(tblRisks[[#This Row],[Severity]])*N(tblRisks[[#This Row],[Occurrence]])*N(tblRisks[[#This Row],[Detection]])</f>
        <v>72</v>
      </c>
      <c r="K10" s="37">
        <f>IF(tblRisks[[#This Row],[Supplier]]="","",N(tblRisks[[#This Row],[Severity]])*N(tblRisks[[#This Row],[Occurrence]]))</f>
        <v>24</v>
      </c>
      <c r="L10" s="38">
        <f>IF(tblRisks[[#This Row],[Supplier]]="","",tblRisks[[#This Row],[RPN]]-RPNThreshold)</f>
        <v>-28</v>
      </c>
      <c r="M10" s="39" t="str">
        <f>IF(tblRisks[[#This Row],[Supplier]]="","",IF(tblRisks[[#This Row],[Closed]]&lt;&gt;"","Closed",IF(OR(tblRisks[[#This Row],[RPN]]&gt;=RPNThreshold,tblRisks[[#This Row],[Severity]]&gt;=SevFloor),"Act","Monitor")))</f>
        <v>Monitor</v>
      </c>
      <c r="N10" s="35">
        <f>IF(tblRisks[[#This Row],[Supplier]]="","",IF(AND(tblRisks[[#This Row],[RPN]]&gt;=RPNThreshold,tblRisks[[#This Row],[Severity]]&gt;=SevFloor),"RPN and severity",IF(tblRisks[[#This Row],[RPN]]&gt;=RPNThreshold,"RPN at or over threshold",IF(tblRisks[[#This Row],[Severity]]&gt;=SevFloor,"Severity at or over floor",""))))</f>
        <v/>
      </c>
      <c r="O10" s="36" t="s">
        <v>163</v>
      </c>
      <c r="P10" s="28" t="s">
        <v>164</v>
      </c>
      <c r="Q10" s="30">
        <v>46295</v>
      </c>
      <c r="R10" s="30"/>
      <c r="S10" s="39" t="str">
        <f>IF(tblRisks[[#This Row],[Supplier]]="","",IF(tblRisks[[#This Row],[Closed]]&lt;&gt;"","Complete",IF(tblRisks[[#This Row],[Due]]="","",IF(tblRisks[[#This Row],[Due]]&lt;AsOf,"Overdue",IF(tblRisks[[#This Row],[Due]]&lt;=AsOf+DueSoonDays,"Due soon","In progress")))))</f>
        <v>Overdue</v>
      </c>
      <c r="T10" s="40">
        <f>IF(tblRisks[[#This Row],[Supplier]]="","",IF(tblRisks[[#This Row],[Priority]]="Closed","",tblRisks[[#This Row],[RPN]]+1-ROW()/100000))</f>
        <v>72.9999</v>
      </c>
      <c r="U10"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0" s="36" t="s">
        <v>165</v>
      </c>
    </row>
    <row r="11" spans="1:22" x14ac:dyDescent="0.25">
      <c r="B11" s="28" t="s">
        <v>166</v>
      </c>
      <c r="C11" s="28" t="s">
        <v>94</v>
      </c>
      <c r="D11" s="35" t="str">
        <f>IF(tblRisks[[#This Row],[Supplier]]="","",IFERROR(INDEX(tblSuppliers[Commodity],MATCH(tblRisks[[#This Row],[Supplier]],tblSuppliers[Supplier],0)),""))</f>
        <v>Conveyor belts</v>
      </c>
      <c r="E11" s="28" t="s">
        <v>121</v>
      </c>
      <c r="F11" s="36" t="s">
        <v>167</v>
      </c>
      <c r="G11" s="29">
        <v>8</v>
      </c>
      <c r="H11" s="29">
        <v>2</v>
      </c>
      <c r="I11" s="29">
        <v>2</v>
      </c>
      <c r="J11" s="37">
        <f>N(tblRisks[[#This Row],[Severity]])*N(tblRisks[[#This Row],[Occurrence]])*N(tblRisks[[#This Row],[Detection]])</f>
        <v>32</v>
      </c>
      <c r="K11" s="37">
        <f>IF(tblRisks[[#This Row],[Supplier]]="","",N(tblRisks[[#This Row],[Severity]])*N(tblRisks[[#This Row],[Occurrence]]))</f>
        <v>16</v>
      </c>
      <c r="L11" s="38">
        <f>IF(tblRisks[[#This Row],[Supplier]]="","",tblRisks[[#This Row],[RPN]]-RPNThreshold)</f>
        <v>-68</v>
      </c>
      <c r="M11" s="39" t="str">
        <f>IF(tblRisks[[#This Row],[Supplier]]="","",IF(tblRisks[[#This Row],[Closed]]&lt;&gt;"","Closed",IF(OR(tblRisks[[#This Row],[RPN]]&gt;=RPNThreshold,tblRisks[[#This Row],[Severity]]&gt;=SevFloor),"Act","Monitor")))</f>
        <v>Monitor</v>
      </c>
      <c r="N11" s="35">
        <f>IF(tblRisks[[#This Row],[Supplier]]="","",IF(AND(tblRisks[[#This Row],[RPN]]&gt;=RPNThreshold,tblRisks[[#This Row],[Severity]]&gt;=SevFloor),"RPN and severity",IF(tblRisks[[#This Row],[RPN]]&gt;=RPNThreshold,"RPN at or over threshold",IF(tblRisks[[#This Row],[Severity]]&gt;=SevFloor,"Severity at or over floor",""))))</f>
        <v/>
      </c>
      <c r="O11" s="36" t="s">
        <v>149</v>
      </c>
      <c r="P11" s="28" t="s">
        <v>149</v>
      </c>
      <c r="Q11" s="30"/>
      <c r="R11" s="30"/>
      <c r="S11" s="39">
        <f>IF(tblRisks[[#This Row],[Supplier]]="","",IF(tblRisks[[#This Row],[Closed]]&lt;&gt;"","Complete",IF(tblRisks[[#This Row],[Due]]="","",IF(tblRisks[[#This Row],[Due]]&lt;AsOf,"Overdue",IF(tblRisks[[#This Row],[Due]]&lt;=AsOf+DueSoonDays,"Due soon","In progress")))))</f>
        <v/>
      </c>
      <c r="T11" s="40">
        <f>IF(tblRisks[[#This Row],[Supplier]]="","",IF(tblRisks[[#This Row],[Priority]]="Closed","",tblRisks[[#This Row],[RPN]]+1-ROW()/100000))</f>
        <v>32.99989</v>
      </c>
      <c r="U11"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1" s="36" t="s">
        <v>168</v>
      </c>
    </row>
    <row r="12" spans="1:22" x14ac:dyDescent="0.25">
      <c r="B12" s="28" t="s">
        <v>169</v>
      </c>
      <c r="C12" s="28" t="s">
        <v>94</v>
      </c>
      <c r="D12" s="35" t="str">
        <f>IF(tblRisks[[#This Row],[Supplier]]="","",IFERROR(INDEX(tblSuppliers[Commodity],MATCH(tblRisks[[#This Row],[Supplier]],tblSuppliers[Supplier],0)),""))</f>
        <v>Conveyor belts</v>
      </c>
      <c r="E12" s="28" t="s">
        <v>112</v>
      </c>
      <c r="F12" s="36" t="s">
        <v>170</v>
      </c>
      <c r="G12" s="29">
        <v>9</v>
      </c>
      <c r="H12" s="29">
        <v>3</v>
      </c>
      <c r="I12" s="29">
        <v>5</v>
      </c>
      <c r="J12" s="37">
        <f>N(tblRisks[[#This Row],[Severity]])*N(tblRisks[[#This Row],[Occurrence]])*N(tblRisks[[#This Row],[Detection]])</f>
        <v>135</v>
      </c>
      <c r="K12" s="37">
        <f>IF(tblRisks[[#This Row],[Supplier]]="","",N(tblRisks[[#This Row],[Severity]])*N(tblRisks[[#This Row],[Occurrence]]))</f>
        <v>27</v>
      </c>
      <c r="L12" s="38">
        <f>IF(tblRisks[[#This Row],[Supplier]]="","",tblRisks[[#This Row],[RPN]]-RPNThreshold)</f>
        <v>35</v>
      </c>
      <c r="M12" s="39" t="str">
        <f>IF(tblRisks[[#This Row],[Supplier]]="","",IF(tblRisks[[#This Row],[Closed]]&lt;&gt;"","Closed",IF(OR(tblRisks[[#This Row],[RPN]]&gt;=RPNThreshold,tblRisks[[#This Row],[Severity]]&gt;=SevFloor),"Act","Monitor")))</f>
        <v>Act</v>
      </c>
      <c r="N12" s="35" t="str">
        <f>IF(tblRisks[[#This Row],[Supplier]]="","",IF(AND(tblRisks[[#This Row],[RPN]]&gt;=RPNThreshold,tblRisks[[#This Row],[Severity]]&gt;=SevFloor),"RPN and severity",IF(tblRisks[[#This Row],[RPN]]&gt;=RPNThreshold,"RPN at or over threshold",IF(tblRisks[[#This Row],[Severity]]&gt;=SevFloor,"Severity at or over floor",""))))</f>
        <v>RPN and severity</v>
      </c>
      <c r="O12" s="36" t="s">
        <v>171</v>
      </c>
      <c r="P12" s="28" t="s">
        <v>172</v>
      </c>
      <c r="Q12" s="30">
        <v>46315</v>
      </c>
      <c r="R12" s="30"/>
      <c r="S12" s="39" t="str">
        <f>IF(tblRisks[[#This Row],[Supplier]]="","",IF(tblRisks[[#This Row],[Closed]]&lt;&gt;"","Complete",IF(tblRisks[[#This Row],[Due]]="","",IF(tblRisks[[#This Row],[Due]]&lt;AsOf,"Overdue",IF(tblRisks[[#This Row],[Due]]&lt;=AsOf+DueSoonDays,"Due soon","In progress")))))</f>
        <v>Due soon</v>
      </c>
      <c r="T12" s="40">
        <f>IF(tblRisks[[#This Row],[Supplier]]="","",IF(tblRisks[[#This Row],[Priority]]="Closed","",tblRisks[[#This Row],[RPN]]+1-ROW()/100000))</f>
        <v>135.99988</v>
      </c>
      <c r="U12"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2" s="36" t="s">
        <v>173</v>
      </c>
    </row>
    <row r="13" spans="1:22" x14ac:dyDescent="0.25">
      <c r="B13" s="28" t="s">
        <v>174</v>
      </c>
      <c r="C13" s="28" t="s">
        <v>97</v>
      </c>
      <c r="D13" s="35" t="str">
        <f>IF(tblRisks[[#This Row],[Supplier]]="","",IFERROR(INDEX(tblSuppliers[Commodity],MATCH(tblRisks[[#This Row],[Supplier]],tblSuppliers[Supplier],0)),""))</f>
        <v>Bearings</v>
      </c>
      <c r="E13" s="28" t="s">
        <v>112</v>
      </c>
      <c r="F13" s="36" t="s">
        <v>175</v>
      </c>
      <c r="G13" s="29">
        <v>8</v>
      </c>
      <c r="H13" s="29">
        <v>2</v>
      </c>
      <c r="I13" s="29">
        <v>6</v>
      </c>
      <c r="J13" s="37">
        <f>N(tblRisks[[#This Row],[Severity]])*N(tblRisks[[#This Row],[Occurrence]])*N(tblRisks[[#This Row],[Detection]])</f>
        <v>96</v>
      </c>
      <c r="K13" s="37">
        <f>IF(tblRisks[[#This Row],[Supplier]]="","",N(tblRisks[[#This Row],[Severity]])*N(tblRisks[[#This Row],[Occurrence]]))</f>
        <v>16</v>
      </c>
      <c r="L13" s="38">
        <f>IF(tblRisks[[#This Row],[Supplier]]="","",tblRisks[[#This Row],[RPN]]-RPNThreshold)</f>
        <v>-4</v>
      </c>
      <c r="M13" s="39" t="str">
        <f>IF(tblRisks[[#This Row],[Supplier]]="","",IF(tblRisks[[#This Row],[Closed]]&lt;&gt;"","Closed",IF(OR(tblRisks[[#This Row],[RPN]]&gt;=RPNThreshold,tblRisks[[#This Row],[Severity]]&gt;=SevFloor),"Act","Monitor")))</f>
        <v>Closed</v>
      </c>
      <c r="N13" s="35">
        <f>IF(tblRisks[[#This Row],[Supplier]]="","",IF(AND(tblRisks[[#This Row],[RPN]]&gt;=RPNThreshold,tblRisks[[#This Row],[Severity]]&gt;=SevFloor),"RPN and severity",IF(tblRisks[[#This Row],[RPN]]&gt;=RPNThreshold,"RPN at or over threshold",IF(tblRisks[[#This Row],[Severity]]&gt;=SevFloor,"Severity at or over floor",""))))</f>
        <v/>
      </c>
      <c r="O13" s="36" t="s">
        <v>176</v>
      </c>
      <c r="P13" s="28" t="s">
        <v>172</v>
      </c>
      <c r="Q13" s="30">
        <v>46265</v>
      </c>
      <c r="R13" s="30">
        <v>46262</v>
      </c>
      <c r="S13" s="39" t="str">
        <f>IF(tblRisks[[#This Row],[Supplier]]="","",IF(tblRisks[[#This Row],[Closed]]&lt;&gt;"","Complete",IF(tblRisks[[#This Row],[Due]]="","",IF(tblRisks[[#This Row],[Due]]&lt;AsOf,"Overdue",IF(tblRisks[[#This Row],[Due]]&lt;=AsOf+DueSoonDays,"Due soon","In progress")))))</f>
        <v>Complete</v>
      </c>
      <c r="T13" s="40">
        <f>IF(tblRisks[[#This Row],[Supplier]]="","",IF(tblRisks[[#This Row],[Priority]]="Closed","",tblRisks[[#This Row],[RPN]]+1-ROW()/100000))</f>
        <v/>
      </c>
      <c r="U13"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3" s="36" t="s">
        <v>177</v>
      </c>
    </row>
    <row r="14" spans="1:22" x14ac:dyDescent="0.25">
      <c r="B14" s="28" t="s">
        <v>178</v>
      </c>
      <c r="C14" s="28" t="s">
        <v>97</v>
      </c>
      <c r="D14" s="35" t="str">
        <f>IF(tblRisks[[#This Row],[Supplier]]="","",IFERROR(INDEX(tblSuppliers[Commodity],MATCH(tblRisks[[#This Row],[Supplier]],tblSuppliers[Supplier],0)),""))</f>
        <v>Bearings</v>
      </c>
      <c r="E14" s="28" t="s">
        <v>114</v>
      </c>
      <c r="F14" s="36" t="s">
        <v>179</v>
      </c>
      <c r="G14" s="29">
        <v>5</v>
      </c>
      <c r="H14" s="29">
        <v>5</v>
      </c>
      <c r="I14" s="29">
        <v>3</v>
      </c>
      <c r="J14" s="37">
        <f>N(tblRisks[[#This Row],[Severity]])*N(tblRisks[[#This Row],[Occurrence]])*N(tblRisks[[#This Row],[Detection]])</f>
        <v>75</v>
      </c>
      <c r="K14" s="37">
        <f>IF(tblRisks[[#This Row],[Supplier]]="","",N(tblRisks[[#This Row],[Severity]])*N(tblRisks[[#This Row],[Occurrence]]))</f>
        <v>25</v>
      </c>
      <c r="L14" s="38">
        <f>IF(tblRisks[[#This Row],[Supplier]]="","",tblRisks[[#This Row],[RPN]]-RPNThreshold)</f>
        <v>-25</v>
      </c>
      <c r="M14" s="39" t="str">
        <f>IF(tblRisks[[#This Row],[Supplier]]="","",IF(tblRisks[[#This Row],[Closed]]&lt;&gt;"","Closed",IF(OR(tblRisks[[#This Row],[RPN]]&gt;=RPNThreshold,tblRisks[[#This Row],[Severity]]&gt;=SevFloor),"Act","Monitor")))</f>
        <v>Monitor</v>
      </c>
      <c r="N14" s="35">
        <f>IF(tblRisks[[#This Row],[Supplier]]="","",IF(AND(tblRisks[[#This Row],[RPN]]&gt;=RPNThreshold,tblRisks[[#This Row],[Severity]]&gt;=SevFloor),"RPN and severity",IF(tblRisks[[#This Row],[RPN]]&gt;=RPNThreshold,"RPN at or over threshold",IF(tblRisks[[#This Row],[Severity]]&gt;=SevFloor,"Severity at or over floor",""))))</f>
        <v/>
      </c>
      <c r="O14" s="36" t="s">
        <v>149</v>
      </c>
      <c r="P14" s="28" t="s">
        <v>149</v>
      </c>
      <c r="Q14" s="30"/>
      <c r="R14" s="30"/>
      <c r="S14" s="39">
        <f>IF(tblRisks[[#This Row],[Supplier]]="","",IF(tblRisks[[#This Row],[Closed]]&lt;&gt;"","Complete",IF(tblRisks[[#This Row],[Due]]="","",IF(tblRisks[[#This Row],[Due]]&lt;AsOf,"Overdue",IF(tblRisks[[#This Row],[Due]]&lt;=AsOf+DueSoonDays,"Due soon","In progress")))))</f>
        <v/>
      </c>
      <c r="T14" s="40">
        <f>IF(tblRisks[[#This Row],[Supplier]]="","",IF(tblRisks[[#This Row],[Priority]]="Closed","",tblRisks[[#This Row],[RPN]]+1-ROW()/100000))</f>
        <v>75.99986</v>
      </c>
      <c r="U14"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4" s="36" t="s">
        <v>149</v>
      </c>
    </row>
    <row r="15" spans="1:22" x14ac:dyDescent="0.25">
      <c r="B15" s="28" t="s">
        <v>180</v>
      </c>
      <c r="C15" s="28" t="s">
        <v>100</v>
      </c>
      <c r="D15" s="35" t="str">
        <f>IF(tblRisks[[#This Row],[Supplier]]="","",IFERROR(INDEX(tblSuppliers[Commodity],MATCH(tblRisks[[#This Row],[Supplier]],tblSuppliers[Supplier],0)),""))</f>
        <v>PLCs and drives</v>
      </c>
      <c r="E15" s="28" t="s">
        <v>64</v>
      </c>
      <c r="F15" s="36" t="s">
        <v>181</v>
      </c>
      <c r="G15" s="29">
        <v>8</v>
      </c>
      <c r="H15" s="29">
        <v>3</v>
      </c>
      <c r="I15" s="29">
        <v>4</v>
      </c>
      <c r="J15" s="37">
        <f>N(tblRisks[[#This Row],[Severity]])*N(tblRisks[[#This Row],[Occurrence]])*N(tblRisks[[#This Row],[Detection]])</f>
        <v>96</v>
      </c>
      <c r="K15" s="37">
        <f>IF(tblRisks[[#This Row],[Supplier]]="","",N(tblRisks[[#This Row],[Severity]])*N(tblRisks[[#This Row],[Occurrence]]))</f>
        <v>24</v>
      </c>
      <c r="L15" s="38">
        <f>IF(tblRisks[[#This Row],[Supplier]]="","",tblRisks[[#This Row],[RPN]]-RPNThreshold)</f>
        <v>-4</v>
      </c>
      <c r="M15" s="39" t="str">
        <f>IF(tblRisks[[#This Row],[Supplier]]="","",IF(tblRisks[[#This Row],[Closed]]&lt;&gt;"","Closed",IF(OR(tblRisks[[#This Row],[RPN]]&gt;=RPNThreshold,tblRisks[[#This Row],[Severity]]&gt;=SevFloor),"Act","Monitor")))</f>
        <v>Closed</v>
      </c>
      <c r="N15" s="35">
        <f>IF(tblRisks[[#This Row],[Supplier]]="","",IF(AND(tblRisks[[#This Row],[RPN]]&gt;=RPNThreshold,tblRisks[[#This Row],[Severity]]&gt;=SevFloor),"RPN and severity",IF(tblRisks[[#This Row],[RPN]]&gt;=RPNThreshold,"RPN at or over threshold",IF(tblRisks[[#This Row],[Severity]]&gt;=SevFloor,"Severity at or over floor",""))))</f>
        <v/>
      </c>
      <c r="O15" s="36" t="s">
        <v>182</v>
      </c>
      <c r="P15" s="28" t="s">
        <v>153</v>
      </c>
      <c r="Q15" s="30">
        <v>46280</v>
      </c>
      <c r="R15" s="30">
        <v>46277</v>
      </c>
      <c r="S15" s="39" t="str">
        <f>IF(tblRisks[[#This Row],[Supplier]]="","",IF(tblRisks[[#This Row],[Closed]]&lt;&gt;"","Complete",IF(tblRisks[[#This Row],[Due]]="","",IF(tblRisks[[#This Row],[Due]]&lt;AsOf,"Overdue",IF(tblRisks[[#This Row],[Due]]&lt;=AsOf+DueSoonDays,"Due soon","In progress")))))</f>
        <v>Complete</v>
      </c>
      <c r="T15" s="40">
        <f>IF(tblRisks[[#This Row],[Supplier]]="","",IF(tblRisks[[#This Row],[Priority]]="Closed","",tblRisks[[#This Row],[RPN]]+1-ROW()/100000))</f>
        <v/>
      </c>
      <c r="U15"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5" s="36" t="s">
        <v>139</v>
      </c>
    </row>
    <row r="16" spans="1:22" x14ac:dyDescent="0.25">
      <c r="B16" s="28" t="s">
        <v>183</v>
      </c>
      <c r="C16" s="28" t="s">
        <v>100</v>
      </c>
      <c r="D16" s="35" t="str">
        <f>IF(tblRisks[[#This Row],[Supplier]]="","",IFERROR(INDEX(tblSuppliers[Commodity],MATCH(tblRisks[[#This Row],[Supplier]],tblSuppliers[Supplier],0)),""))</f>
        <v>PLCs and drives</v>
      </c>
      <c r="E16" s="28" t="s">
        <v>114</v>
      </c>
      <c r="F16" s="36" t="s">
        <v>184</v>
      </c>
      <c r="G16" s="29">
        <v>7</v>
      </c>
      <c r="H16" s="29">
        <v>5</v>
      </c>
      <c r="I16" s="29">
        <v>3</v>
      </c>
      <c r="J16" s="37">
        <f>N(tblRisks[[#This Row],[Severity]])*N(tblRisks[[#This Row],[Occurrence]])*N(tblRisks[[#This Row],[Detection]])</f>
        <v>105</v>
      </c>
      <c r="K16" s="37">
        <f>IF(tblRisks[[#This Row],[Supplier]]="","",N(tblRisks[[#This Row],[Severity]])*N(tblRisks[[#This Row],[Occurrence]]))</f>
        <v>35</v>
      </c>
      <c r="L16" s="38">
        <f>IF(tblRisks[[#This Row],[Supplier]]="","",tblRisks[[#This Row],[RPN]]-RPNThreshold)</f>
        <v>5</v>
      </c>
      <c r="M16" s="39" t="str">
        <f>IF(tblRisks[[#This Row],[Supplier]]="","",IF(tblRisks[[#This Row],[Closed]]&lt;&gt;"","Closed",IF(OR(tblRisks[[#This Row],[RPN]]&gt;=RPNThreshold,tblRisks[[#This Row],[Severity]]&gt;=SevFloor),"Act","Monitor")))</f>
        <v>Act</v>
      </c>
      <c r="N16" s="35" t="str">
        <f>IF(tblRisks[[#This Row],[Supplier]]="","",IF(AND(tblRisks[[#This Row],[RPN]]&gt;=RPNThreshold,tblRisks[[#This Row],[Severity]]&gt;=SevFloor),"RPN and severity",IF(tblRisks[[#This Row],[RPN]]&gt;=RPNThreshold,"RPN at or over threshold",IF(tblRisks[[#This Row],[Severity]]&gt;=SevFloor,"Severity at or over floor",""))))</f>
        <v>RPN at or over threshold</v>
      </c>
      <c r="O16" s="36" t="s">
        <v>185</v>
      </c>
      <c r="P16" s="28" t="s">
        <v>164</v>
      </c>
      <c r="Q16" s="30">
        <v>46325</v>
      </c>
      <c r="R16" s="30"/>
      <c r="S16" s="39" t="str">
        <f>IF(tblRisks[[#This Row],[Supplier]]="","",IF(tblRisks[[#This Row],[Closed]]&lt;&gt;"","Complete",IF(tblRisks[[#This Row],[Due]]="","",IF(tblRisks[[#This Row],[Due]]&lt;AsOf,"Overdue",IF(tblRisks[[#This Row],[Due]]&lt;=AsOf+DueSoonDays,"Due soon","In progress")))))</f>
        <v>In progress</v>
      </c>
      <c r="T16" s="40">
        <f>IF(tblRisks[[#This Row],[Supplier]]="","",IF(tblRisks[[#This Row],[Priority]]="Closed","",tblRisks[[#This Row],[RPN]]+1-ROW()/100000))</f>
        <v>105.99984</v>
      </c>
      <c r="U16"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6" s="36" t="s">
        <v>149</v>
      </c>
    </row>
    <row r="17" spans="2:22" x14ac:dyDescent="0.25">
      <c r="B17" s="28" t="s">
        <v>186</v>
      </c>
      <c r="C17" s="28" t="s">
        <v>100</v>
      </c>
      <c r="D17" s="35" t="str">
        <f>IF(tblRisks[[#This Row],[Supplier]]="","",IFERROR(INDEX(tblSuppliers[Commodity],MATCH(tblRisks[[#This Row],[Supplier]],tblSuppliers[Supplier],0)),""))</f>
        <v>PLCs and drives</v>
      </c>
      <c r="E17" s="28" t="s">
        <v>123</v>
      </c>
      <c r="F17" s="36" t="s">
        <v>187</v>
      </c>
      <c r="G17" s="29">
        <v>4</v>
      </c>
      <c r="H17" s="29">
        <v>3</v>
      </c>
      <c r="I17" s="29">
        <v>2</v>
      </c>
      <c r="J17" s="37">
        <f>N(tblRisks[[#This Row],[Severity]])*N(tblRisks[[#This Row],[Occurrence]])*N(tblRisks[[#This Row],[Detection]])</f>
        <v>24</v>
      </c>
      <c r="K17" s="37">
        <f>IF(tblRisks[[#This Row],[Supplier]]="","",N(tblRisks[[#This Row],[Severity]])*N(tblRisks[[#This Row],[Occurrence]]))</f>
        <v>12</v>
      </c>
      <c r="L17" s="38">
        <f>IF(tblRisks[[#This Row],[Supplier]]="","",tblRisks[[#This Row],[RPN]]-RPNThreshold)</f>
        <v>-76</v>
      </c>
      <c r="M17" s="39" t="str">
        <f>IF(tblRisks[[#This Row],[Supplier]]="","",IF(tblRisks[[#This Row],[Closed]]&lt;&gt;"","Closed",IF(OR(tblRisks[[#This Row],[RPN]]&gt;=RPNThreshold,tblRisks[[#This Row],[Severity]]&gt;=SevFloor),"Act","Monitor")))</f>
        <v>Monitor</v>
      </c>
      <c r="N17" s="35">
        <f>IF(tblRisks[[#This Row],[Supplier]]="","",IF(AND(tblRisks[[#This Row],[RPN]]&gt;=RPNThreshold,tblRisks[[#This Row],[Severity]]&gt;=SevFloor),"RPN and severity",IF(tblRisks[[#This Row],[RPN]]&gt;=RPNThreshold,"RPN at or over threshold",IF(tblRisks[[#This Row],[Severity]]&gt;=SevFloor,"Severity at or over floor",""))))</f>
        <v/>
      </c>
      <c r="O17" s="36" t="s">
        <v>149</v>
      </c>
      <c r="P17" s="28" t="s">
        <v>149</v>
      </c>
      <c r="Q17" s="30"/>
      <c r="R17" s="30"/>
      <c r="S17" s="39">
        <f>IF(tblRisks[[#This Row],[Supplier]]="","",IF(tblRisks[[#This Row],[Closed]]&lt;&gt;"","Complete",IF(tblRisks[[#This Row],[Due]]="","",IF(tblRisks[[#This Row],[Due]]&lt;AsOf,"Overdue",IF(tblRisks[[#This Row],[Due]]&lt;=AsOf+DueSoonDays,"Due soon","In progress")))))</f>
        <v/>
      </c>
      <c r="T17" s="40">
        <f>IF(tblRisks[[#This Row],[Supplier]]="","",IF(tblRisks[[#This Row],[Priority]]="Closed","",tblRisks[[#This Row],[RPN]]+1-ROW()/100000))</f>
        <v>24.99983</v>
      </c>
      <c r="U17"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7" s="36" t="s">
        <v>149</v>
      </c>
    </row>
    <row r="18" spans="2:22" x14ac:dyDescent="0.25">
      <c r="B18" s="28" t="s">
        <v>188</v>
      </c>
      <c r="C18" s="28" t="s">
        <v>100</v>
      </c>
      <c r="D18" s="35" t="str">
        <f>IF(tblRisks[[#This Row],[Supplier]]="","",IFERROR(INDEX(tblSuppliers[Commodity],MATCH(tblRisks[[#This Row],[Supplier]],tblSuppliers[Supplier],0)),""))</f>
        <v>PLCs and drives</v>
      </c>
      <c r="E18" s="28" t="s">
        <v>119</v>
      </c>
      <c r="F18" s="36" t="s">
        <v>189</v>
      </c>
      <c r="G18" s="29">
        <v>6</v>
      </c>
      <c r="H18" s="29">
        <v>3</v>
      </c>
      <c r="I18" s="29">
        <v>5</v>
      </c>
      <c r="J18" s="37">
        <f>N(tblRisks[[#This Row],[Severity]])*N(tblRisks[[#This Row],[Occurrence]])*N(tblRisks[[#This Row],[Detection]])</f>
        <v>90</v>
      </c>
      <c r="K18" s="37">
        <f>IF(tblRisks[[#This Row],[Supplier]]="","",N(tblRisks[[#This Row],[Severity]])*N(tblRisks[[#This Row],[Occurrence]]))</f>
        <v>18</v>
      </c>
      <c r="L18" s="38">
        <f>IF(tblRisks[[#This Row],[Supplier]]="","",tblRisks[[#This Row],[RPN]]-RPNThreshold)</f>
        <v>-10</v>
      </c>
      <c r="M18" s="39" t="str">
        <f>IF(tblRisks[[#This Row],[Supplier]]="","",IF(tblRisks[[#This Row],[Closed]]&lt;&gt;"","Closed",IF(OR(tblRisks[[#This Row],[RPN]]&gt;=RPNThreshold,tblRisks[[#This Row],[Severity]]&gt;=SevFloor),"Act","Monitor")))</f>
        <v>Monitor</v>
      </c>
      <c r="N18" s="35">
        <f>IF(tblRisks[[#This Row],[Supplier]]="","",IF(AND(tblRisks[[#This Row],[RPN]]&gt;=RPNThreshold,tblRisks[[#This Row],[Severity]]&gt;=SevFloor),"RPN and severity",IF(tblRisks[[#This Row],[RPN]]&gt;=RPNThreshold,"RPN at or over threshold",IF(tblRisks[[#This Row],[Severity]]&gt;=SevFloor,"Severity at or over floor",""))))</f>
        <v/>
      </c>
      <c r="O18" s="36" t="s">
        <v>190</v>
      </c>
      <c r="P18" s="28" t="s">
        <v>191</v>
      </c>
      <c r="Q18" s="30">
        <v>46311</v>
      </c>
      <c r="R18" s="30"/>
      <c r="S18" s="39" t="str">
        <f>IF(tblRisks[[#This Row],[Supplier]]="","",IF(tblRisks[[#This Row],[Closed]]&lt;&gt;"","Complete",IF(tblRisks[[#This Row],[Due]]="","",IF(tblRisks[[#This Row],[Due]]&lt;AsOf,"Overdue",IF(tblRisks[[#This Row],[Due]]&lt;=AsOf+DueSoonDays,"Due soon","In progress")))))</f>
        <v>Due soon</v>
      </c>
      <c r="T18" s="40">
        <f>IF(tblRisks[[#This Row],[Supplier]]="","",IF(tblRisks[[#This Row],[Priority]]="Closed","",tblRisks[[#This Row],[RPN]]+1-ROW()/100000))</f>
        <v>90.99982</v>
      </c>
      <c r="U18"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8" s="36" t="s">
        <v>149</v>
      </c>
    </row>
    <row r="19" spans="2:22" x14ac:dyDescent="0.25">
      <c r="B19" s="28" t="s">
        <v>192</v>
      </c>
      <c r="C19" s="28" t="s">
        <v>103</v>
      </c>
      <c r="D19" s="35" t="str">
        <f>IF(tblRisks[[#This Row],[Supplier]]="","",IFERROR(INDEX(tblSuppliers[Commodity],MATCH(tblRisks[[#This Row],[Supplier]],tblSuppliers[Supplier],0)),""))</f>
        <v>Pulley castings</v>
      </c>
      <c r="E19" s="28" t="s">
        <v>112</v>
      </c>
      <c r="F19" s="36" t="s">
        <v>193</v>
      </c>
      <c r="G19" s="29">
        <v>7</v>
      </c>
      <c r="H19" s="29">
        <v>5</v>
      </c>
      <c r="I19" s="29">
        <v>4</v>
      </c>
      <c r="J19" s="37">
        <f>N(tblRisks[[#This Row],[Severity]])*N(tblRisks[[#This Row],[Occurrence]])*N(tblRisks[[#This Row],[Detection]])</f>
        <v>140</v>
      </c>
      <c r="K19" s="37">
        <f>IF(tblRisks[[#This Row],[Supplier]]="","",N(tblRisks[[#This Row],[Severity]])*N(tblRisks[[#This Row],[Occurrence]]))</f>
        <v>35</v>
      </c>
      <c r="L19" s="38">
        <f>IF(tblRisks[[#This Row],[Supplier]]="","",tblRisks[[#This Row],[RPN]]-RPNThreshold)</f>
        <v>40</v>
      </c>
      <c r="M19" s="39" t="str">
        <f>IF(tblRisks[[#This Row],[Supplier]]="","",IF(tblRisks[[#This Row],[Closed]]&lt;&gt;"","Closed",IF(OR(tblRisks[[#This Row],[RPN]]&gt;=RPNThreshold,tblRisks[[#This Row],[Severity]]&gt;=SevFloor),"Act","Monitor")))</f>
        <v>Act</v>
      </c>
      <c r="N19" s="35" t="str">
        <f>IF(tblRisks[[#This Row],[Supplier]]="","",IF(AND(tblRisks[[#This Row],[RPN]]&gt;=RPNThreshold,tblRisks[[#This Row],[Severity]]&gt;=SevFloor),"RPN and severity",IF(tblRisks[[#This Row],[RPN]]&gt;=RPNThreshold,"RPN at or over threshold",IF(tblRisks[[#This Row],[Severity]]&gt;=SevFloor,"Severity at or over floor",""))))</f>
        <v>RPN at or over threshold</v>
      </c>
      <c r="O19" s="36" t="s">
        <v>194</v>
      </c>
      <c r="P19" s="28" t="s">
        <v>172</v>
      </c>
      <c r="Q19" s="30">
        <v>46340</v>
      </c>
      <c r="R19" s="30"/>
      <c r="S19" s="39" t="str">
        <f>IF(tblRisks[[#This Row],[Supplier]]="","",IF(tblRisks[[#This Row],[Closed]]&lt;&gt;"","Complete",IF(tblRisks[[#This Row],[Due]]="","",IF(tblRisks[[#This Row],[Due]]&lt;AsOf,"Overdue",IF(tblRisks[[#This Row],[Due]]&lt;=AsOf+DueSoonDays,"Due soon","In progress")))))</f>
        <v>In progress</v>
      </c>
      <c r="T19" s="40">
        <f>IF(tblRisks[[#This Row],[Supplier]]="","",IF(tblRisks[[#This Row],[Priority]]="Closed","",tblRisks[[#This Row],[RPN]]+1-ROW()/100000))</f>
        <v>140.99981</v>
      </c>
      <c r="U19"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19" s="36" t="s">
        <v>149</v>
      </c>
    </row>
    <row r="20" spans="2:22" x14ac:dyDescent="0.25">
      <c r="B20" s="28" t="s">
        <v>195</v>
      </c>
      <c r="C20" s="28" t="s">
        <v>103</v>
      </c>
      <c r="D20" s="35" t="str">
        <f>IF(tblRisks[[#This Row],[Supplier]]="","",IFERROR(INDEX(tblSuppliers[Commodity],MATCH(tblRisks[[#This Row],[Supplier]],tblSuppliers[Supplier],0)),""))</f>
        <v>Pulley castings</v>
      </c>
      <c r="E20" s="28" t="s">
        <v>114</v>
      </c>
      <c r="F20" s="36" t="s">
        <v>196</v>
      </c>
      <c r="G20" s="29">
        <v>5</v>
      </c>
      <c r="H20" s="29">
        <v>6</v>
      </c>
      <c r="I20" s="29">
        <v>2</v>
      </c>
      <c r="J20" s="37">
        <f>N(tblRisks[[#This Row],[Severity]])*N(tblRisks[[#This Row],[Occurrence]])*N(tblRisks[[#This Row],[Detection]])</f>
        <v>60</v>
      </c>
      <c r="K20" s="37">
        <f>IF(tblRisks[[#This Row],[Supplier]]="","",N(tblRisks[[#This Row],[Severity]])*N(tblRisks[[#This Row],[Occurrence]]))</f>
        <v>30</v>
      </c>
      <c r="L20" s="38">
        <f>IF(tblRisks[[#This Row],[Supplier]]="","",tblRisks[[#This Row],[RPN]]-RPNThreshold)</f>
        <v>-40</v>
      </c>
      <c r="M20" s="39" t="str">
        <f>IF(tblRisks[[#This Row],[Supplier]]="","",IF(tblRisks[[#This Row],[Closed]]&lt;&gt;"","Closed",IF(OR(tblRisks[[#This Row],[RPN]]&gt;=RPNThreshold,tblRisks[[#This Row],[Severity]]&gt;=SevFloor),"Act","Monitor")))</f>
        <v>Monitor</v>
      </c>
      <c r="N20" s="35">
        <f>IF(tblRisks[[#This Row],[Supplier]]="","",IF(AND(tblRisks[[#This Row],[RPN]]&gt;=RPNThreshold,tblRisks[[#This Row],[Severity]]&gt;=SevFloor),"RPN and severity",IF(tblRisks[[#This Row],[RPN]]&gt;=RPNThreshold,"RPN at or over threshold",IF(tblRisks[[#This Row],[Severity]]&gt;=SevFloor,"Severity at or over floor",""))))</f>
        <v/>
      </c>
      <c r="O20" s="36" t="s">
        <v>149</v>
      </c>
      <c r="P20" s="28" t="s">
        <v>149</v>
      </c>
      <c r="Q20" s="30"/>
      <c r="R20" s="30"/>
      <c r="S20" s="39">
        <f>IF(tblRisks[[#This Row],[Supplier]]="","",IF(tblRisks[[#This Row],[Closed]]&lt;&gt;"","Complete",IF(tblRisks[[#This Row],[Due]]="","",IF(tblRisks[[#This Row],[Due]]&lt;AsOf,"Overdue",IF(tblRisks[[#This Row],[Due]]&lt;=AsOf+DueSoonDays,"Due soon","In progress")))))</f>
        <v/>
      </c>
      <c r="T20" s="40">
        <f>IF(tblRisks[[#This Row],[Supplier]]="","",IF(tblRisks[[#This Row],[Priority]]="Closed","",tblRisks[[#This Row],[RPN]]+1-ROW()/100000))</f>
        <v>60.9998</v>
      </c>
      <c r="U20"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0" s="36" t="s">
        <v>197</v>
      </c>
    </row>
    <row r="21" spans="2:22" x14ac:dyDescent="0.25">
      <c r="B21" s="28" t="s">
        <v>198</v>
      </c>
      <c r="C21" s="28" t="s">
        <v>103</v>
      </c>
      <c r="D21" s="35" t="str">
        <f>IF(tblRisks[[#This Row],[Supplier]]="","",IFERROR(INDEX(tblSuppliers[Commodity],MATCH(tblRisks[[#This Row],[Supplier]],tblSuppliers[Supplier],0)),""))</f>
        <v>Pulley castings</v>
      </c>
      <c r="E21" s="28" t="s">
        <v>119</v>
      </c>
      <c r="F21" s="36" t="s">
        <v>199</v>
      </c>
      <c r="G21" s="29">
        <v>6</v>
      </c>
      <c r="H21" s="29">
        <v>3</v>
      </c>
      <c r="I21" s="29">
        <v>3</v>
      </c>
      <c r="J21" s="37">
        <f>N(tblRisks[[#This Row],[Severity]])*N(tblRisks[[#This Row],[Occurrence]])*N(tblRisks[[#This Row],[Detection]])</f>
        <v>54</v>
      </c>
      <c r="K21" s="37">
        <f>IF(tblRisks[[#This Row],[Supplier]]="","",N(tblRisks[[#This Row],[Severity]])*N(tblRisks[[#This Row],[Occurrence]]))</f>
        <v>18</v>
      </c>
      <c r="L21" s="38">
        <f>IF(tblRisks[[#This Row],[Supplier]]="","",tblRisks[[#This Row],[RPN]]-RPNThreshold)</f>
        <v>-46</v>
      </c>
      <c r="M21" s="39" t="str">
        <f>IF(tblRisks[[#This Row],[Supplier]]="","",IF(tblRisks[[#This Row],[Closed]]&lt;&gt;"","Closed",IF(OR(tblRisks[[#This Row],[RPN]]&gt;=RPNThreshold,tblRisks[[#This Row],[Severity]]&gt;=SevFloor),"Act","Monitor")))</f>
        <v>Monitor</v>
      </c>
      <c r="N21" s="35">
        <f>IF(tblRisks[[#This Row],[Supplier]]="","",IF(AND(tblRisks[[#This Row],[RPN]]&gt;=RPNThreshold,tblRisks[[#This Row],[Severity]]&gt;=SevFloor),"RPN and severity",IF(tblRisks[[#This Row],[RPN]]&gt;=RPNThreshold,"RPN at or over threshold",IF(tblRisks[[#This Row],[Severity]]&gt;=SevFloor,"Severity at or over floor",""))))</f>
        <v/>
      </c>
      <c r="O21" s="36" t="s">
        <v>149</v>
      </c>
      <c r="P21" s="28" t="s">
        <v>149</v>
      </c>
      <c r="Q21" s="30"/>
      <c r="R21" s="30"/>
      <c r="S21" s="39">
        <f>IF(tblRisks[[#This Row],[Supplier]]="","",IF(tblRisks[[#This Row],[Closed]]&lt;&gt;"","Complete",IF(tblRisks[[#This Row],[Due]]="","",IF(tblRisks[[#This Row],[Due]]&lt;AsOf,"Overdue",IF(tblRisks[[#This Row],[Due]]&lt;=AsOf+DueSoonDays,"Due soon","In progress")))))</f>
        <v/>
      </c>
      <c r="T21" s="40">
        <f>IF(tblRisks[[#This Row],[Supplier]]="","",IF(tblRisks[[#This Row],[Priority]]="Closed","",tblRisks[[#This Row],[RPN]]+1-ROW()/100000))</f>
        <v>54.99979</v>
      </c>
      <c r="U21"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1" s="36" t="s">
        <v>200</v>
      </c>
    </row>
    <row r="22" spans="2:22" x14ac:dyDescent="0.25">
      <c r="B22" s="28" t="s">
        <v>201</v>
      </c>
      <c r="C22" s="28" t="s">
        <v>103</v>
      </c>
      <c r="D22" s="35" t="str">
        <f>IF(tblRisks[[#This Row],[Supplier]]="","",IFERROR(INDEX(tblSuppliers[Commodity],MATCH(tblRisks[[#This Row],[Supplier]],tblSuppliers[Supplier],0)),""))</f>
        <v>Pulley castings</v>
      </c>
      <c r="E22" s="28" t="s">
        <v>117</v>
      </c>
      <c r="F22" s="36" t="s">
        <v>202</v>
      </c>
      <c r="G22" s="29">
        <v>8</v>
      </c>
      <c r="H22" s="29">
        <v>3</v>
      </c>
      <c r="I22" s="29">
        <v>6</v>
      </c>
      <c r="J22" s="37">
        <f>N(tblRisks[[#This Row],[Severity]])*N(tblRisks[[#This Row],[Occurrence]])*N(tblRisks[[#This Row],[Detection]])</f>
        <v>144</v>
      </c>
      <c r="K22" s="37">
        <f>IF(tblRisks[[#This Row],[Supplier]]="","",N(tblRisks[[#This Row],[Severity]])*N(tblRisks[[#This Row],[Occurrence]]))</f>
        <v>24</v>
      </c>
      <c r="L22" s="38">
        <f>IF(tblRisks[[#This Row],[Supplier]]="","",tblRisks[[#This Row],[RPN]]-RPNThreshold)</f>
        <v>44</v>
      </c>
      <c r="M22" s="39" t="str">
        <f>IF(tblRisks[[#This Row],[Supplier]]="","",IF(tblRisks[[#This Row],[Closed]]&lt;&gt;"","Closed",IF(OR(tblRisks[[#This Row],[RPN]]&gt;=RPNThreshold,tblRisks[[#This Row],[Severity]]&gt;=SevFloor),"Act","Monitor")))</f>
        <v>Act</v>
      </c>
      <c r="N22" s="35" t="str">
        <f>IF(tblRisks[[#This Row],[Supplier]]="","",IF(AND(tblRisks[[#This Row],[RPN]]&gt;=RPNThreshold,tblRisks[[#This Row],[Severity]]&gt;=SevFloor),"RPN and severity",IF(tblRisks[[#This Row],[RPN]]&gt;=RPNThreshold,"RPN at or over threshold",IF(tblRisks[[#This Row],[Severity]]&gt;=SevFloor,"Severity at or over floor",""))))</f>
        <v>RPN at or over threshold</v>
      </c>
      <c r="O22" s="36" t="s">
        <v>203</v>
      </c>
      <c r="P22" s="28" t="s">
        <v>148</v>
      </c>
      <c r="Q22" s="30">
        <v>46326</v>
      </c>
      <c r="R22" s="30"/>
      <c r="S22" s="39" t="str">
        <f>IF(tblRisks[[#This Row],[Supplier]]="","",IF(tblRisks[[#This Row],[Closed]]&lt;&gt;"","Complete",IF(tblRisks[[#This Row],[Due]]="","",IF(tblRisks[[#This Row],[Due]]&lt;AsOf,"Overdue",IF(tblRisks[[#This Row],[Due]]&lt;=AsOf+DueSoonDays,"Due soon","In progress")))))</f>
        <v>In progress</v>
      </c>
      <c r="T22" s="40">
        <f>IF(tblRisks[[#This Row],[Supplier]]="","",IF(tblRisks[[#This Row],[Priority]]="Closed","",tblRisks[[#This Row],[RPN]]+1-ROW()/100000))</f>
        <v>144.99978</v>
      </c>
      <c r="U22"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2" s="36" t="s">
        <v>149</v>
      </c>
    </row>
    <row r="23" spans="2:22" x14ac:dyDescent="0.25">
      <c r="B23" s="28" t="s">
        <v>204</v>
      </c>
      <c r="C23" s="28" t="s">
        <v>106</v>
      </c>
      <c r="D23" s="35" t="str">
        <f>IF(tblRisks[[#This Row],[Supplier]]="","",IFERROR(INDEX(tblSuppliers[Commodity],MATCH(tblRisks[[#This Row],[Supplier]],tblSuppliers[Supplier],0)),""))</f>
        <v>Fasteners</v>
      </c>
      <c r="E23" s="28" t="s">
        <v>125</v>
      </c>
      <c r="F23" s="36" t="s">
        <v>205</v>
      </c>
      <c r="G23" s="29">
        <v>5</v>
      </c>
      <c r="H23" s="29">
        <v>3</v>
      </c>
      <c r="I23" s="29">
        <v>3</v>
      </c>
      <c r="J23" s="37">
        <f>N(tblRisks[[#This Row],[Severity]])*N(tblRisks[[#This Row],[Occurrence]])*N(tblRisks[[#This Row],[Detection]])</f>
        <v>45</v>
      </c>
      <c r="K23" s="37">
        <f>IF(tblRisks[[#This Row],[Supplier]]="","",N(tblRisks[[#This Row],[Severity]])*N(tblRisks[[#This Row],[Occurrence]]))</f>
        <v>15</v>
      </c>
      <c r="L23" s="38">
        <f>IF(tblRisks[[#This Row],[Supplier]]="","",tblRisks[[#This Row],[RPN]]-RPNThreshold)</f>
        <v>-55</v>
      </c>
      <c r="M23" s="39" t="str">
        <f>IF(tblRisks[[#This Row],[Supplier]]="","",IF(tblRisks[[#This Row],[Closed]]&lt;&gt;"","Closed",IF(OR(tblRisks[[#This Row],[RPN]]&gt;=RPNThreshold,tblRisks[[#This Row],[Severity]]&gt;=SevFloor),"Act","Monitor")))</f>
        <v>Monitor</v>
      </c>
      <c r="N23" s="35">
        <f>IF(tblRisks[[#This Row],[Supplier]]="","",IF(AND(tblRisks[[#This Row],[RPN]]&gt;=RPNThreshold,tblRisks[[#This Row],[Severity]]&gt;=SevFloor),"RPN and severity",IF(tblRisks[[#This Row],[RPN]]&gt;=RPNThreshold,"RPN at or over threshold",IF(tblRisks[[#This Row],[Severity]]&gt;=SevFloor,"Severity at or over floor",""))))</f>
        <v/>
      </c>
      <c r="O23" s="36" t="s">
        <v>149</v>
      </c>
      <c r="P23" s="28" t="s">
        <v>149</v>
      </c>
      <c r="Q23" s="30"/>
      <c r="R23" s="30"/>
      <c r="S23" s="39">
        <f>IF(tblRisks[[#This Row],[Supplier]]="","",IF(tblRisks[[#This Row],[Closed]]&lt;&gt;"","Complete",IF(tblRisks[[#This Row],[Due]]="","",IF(tblRisks[[#This Row],[Due]]&lt;AsOf,"Overdue",IF(tblRisks[[#This Row],[Due]]&lt;=AsOf+DueSoonDays,"Due soon","In progress")))))</f>
        <v/>
      </c>
      <c r="T23" s="40">
        <f>IF(tblRisks[[#This Row],[Supplier]]="","",IF(tblRisks[[#This Row],[Priority]]="Closed","",tblRisks[[#This Row],[RPN]]+1-ROW()/100000))</f>
        <v>45.99977</v>
      </c>
      <c r="U23"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3" s="36" t="s">
        <v>149</v>
      </c>
    </row>
    <row r="24" spans="2:22" x14ac:dyDescent="0.25">
      <c r="B24" s="28" t="s">
        <v>206</v>
      </c>
      <c r="C24" s="28" t="s">
        <v>106</v>
      </c>
      <c r="D24" s="35" t="str">
        <f>IF(tblRisks[[#This Row],[Supplier]]="","",IFERROR(INDEX(tblSuppliers[Commodity],MATCH(tblRisks[[#This Row],[Supplier]],tblSuppliers[Supplier],0)),""))</f>
        <v>Fasteners</v>
      </c>
      <c r="E24" s="28" t="s">
        <v>114</v>
      </c>
      <c r="F24" s="36" t="s">
        <v>207</v>
      </c>
      <c r="G24" s="29">
        <v>3</v>
      </c>
      <c r="H24" s="29">
        <v>6</v>
      </c>
      <c r="I24" s="29">
        <v>2</v>
      </c>
      <c r="J24" s="37">
        <f>N(tblRisks[[#This Row],[Severity]])*N(tblRisks[[#This Row],[Occurrence]])*N(tblRisks[[#This Row],[Detection]])</f>
        <v>36</v>
      </c>
      <c r="K24" s="37">
        <f>IF(tblRisks[[#This Row],[Supplier]]="","",N(tblRisks[[#This Row],[Severity]])*N(tblRisks[[#This Row],[Occurrence]]))</f>
        <v>18</v>
      </c>
      <c r="L24" s="38">
        <f>IF(tblRisks[[#This Row],[Supplier]]="","",tblRisks[[#This Row],[RPN]]-RPNThreshold)</f>
        <v>-64</v>
      </c>
      <c r="M24" s="39" t="str">
        <f>IF(tblRisks[[#This Row],[Supplier]]="","",IF(tblRisks[[#This Row],[Closed]]&lt;&gt;"","Closed",IF(OR(tblRisks[[#This Row],[RPN]]&gt;=RPNThreshold,tblRisks[[#This Row],[Severity]]&gt;=SevFloor),"Act","Monitor")))</f>
        <v>Monitor</v>
      </c>
      <c r="N24" s="35">
        <f>IF(tblRisks[[#This Row],[Supplier]]="","",IF(AND(tblRisks[[#This Row],[RPN]]&gt;=RPNThreshold,tblRisks[[#This Row],[Severity]]&gt;=SevFloor),"RPN and severity",IF(tblRisks[[#This Row],[RPN]]&gt;=RPNThreshold,"RPN at or over threshold",IF(tblRisks[[#This Row],[Severity]]&gt;=SevFloor,"Severity at or over floor",""))))</f>
        <v/>
      </c>
      <c r="O24" s="36" t="s">
        <v>149</v>
      </c>
      <c r="P24" s="28" t="s">
        <v>149</v>
      </c>
      <c r="Q24" s="30"/>
      <c r="R24" s="30"/>
      <c r="S24" s="39">
        <f>IF(tblRisks[[#This Row],[Supplier]]="","",IF(tblRisks[[#This Row],[Closed]]&lt;&gt;"","Complete",IF(tblRisks[[#This Row],[Due]]="","",IF(tblRisks[[#This Row],[Due]]&lt;AsOf,"Overdue",IF(tblRisks[[#This Row],[Due]]&lt;=AsOf+DueSoonDays,"Due soon","In progress")))))</f>
        <v/>
      </c>
      <c r="T24" s="40">
        <f>IF(tblRisks[[#This Row],[Supplier]]="","",IF(tblRisks[[#This Row],[Priority]]="Closed","",tblRisks[[#This Row],[RPN]]+1-ROW()/100000))</f>
        <v>36.99976</v>
      </c>
      <c r="U24"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4" s="36" t="s">
        <v>149</v>
      </c>
    </row>
    <row r="25" spans="2:22" x14ac:dyDescent="0.25">
      <c r="B25" s="28" t="s">
        <v>208</v>
      </c>
      <c r="C25" s="28" t="s">
        <v>108</v>
      </c>
      <c r="D25" s="35" t="str">
        <f>IF(tblRisks[[#This Row],[Supplier]]="","",IFERROR(INDEX(tblSuppliers[Commodity],MATCH(tblRisks[[#This Row],[Supplier]],tblSuppliers[Supplier],0)),""))</f>
        <v>Idler rollers</v>
      </c>
      <c r="E25" s="28" t="s">
        <v>112</v>
      </c>
      <c r="F25" s="36" t="s">
        <v>209</v>
      </c>
      <c r="G25" s="29">
        <v>6</v>
      </c>
      <c r="H25" s="29">
        <v>3</v>
      </c>
      <c r="I25" s="29">
        <v>3</v>
      </c>
      <c r="J25" s="37">
        <f>N(tblRisks[[#This Row],[Severity]])*N(tblRisks[[#This Row],[Occurrence]])*N(tblRisks[[#This Row],[Detection]])</f>
        <v>54</v>
      </c>
      <c r="K25" s="37">
        <f>IF(tblRisks[[#This Row],[Supplier]]="","",N(tblRisks[[#This Row],[Severity]])*N(tblRisks[[#This Row],[Occurrence]]))</f>
        <v>18</v>
      </c>
      <c r="L25" s="38">
        <f>IF(tblRisks[[#This Row],[Supplier]]="","",tblRisks[[#This Row],[RPN]]-RPNThreshold)</f>
        <v>-46</v>
      </c>
      <c r="M25" s="39" t="str">
        <f>IF(tblRisks[[#This Row],[Supplier]]="","",IF(tblRisks[[#This Row],[Closed]]&lt;&gt;"","Closed",IF(OR(tblRisks[[#This Row],[RPN]]&gt;=RPNThreshold,tblRisks[[#This Row],[Severity]]&gt;=SevFloor),"Act","Monitor")))</f>
        <v>Monitor</v>
      </c>
      <c r="N25" s="35">
        <f>IF(tblRisks[[#This Row],[Supplier]]="","",IF(AND(tblRisks[[#This Row],[RPN]]&gt;=RPNThreshold,tblRisks[[#This Row],[Severity]]&gt;=SevFloor),"RPN and severity",IF(tblRisks[[#This Row],[RPN]]&gt;=RPNThreshold,"RPN at or over threshold",IF(tblRisks[[#This Row],[Severity]]&gt;=SevFloor,"Severity at or over floor",""))))</f>
        <v/>
      </c>
      <c r="O25" s="36" t="s">
        <v>149</v>
      </c>
      <c r="P25" s="28" t="s">
        <v>149</v>
      </c>
      <c r="Q25" s="30"/>
      <c r="R25" s="30"/>
      <c r="S25" s="39">
        <f>IF(tblRisks[[#This Row],[Supplier]]="","",IF(tblRisks[[#This Row],[Closed]]&lt;&gt;"","Complete",IF(tblRisks[[#This Row],[Due]]="","",IF(tblRisks[[#This Row],[Due]]&lt;AsOf,"Overdue",IF(tblRisks[[#This Row],[Due]]&lt;=AsOf+DueSoonDays,"Due soon","In progress")))))</f>
        <v/>
      </c>
      <c r="T25" s="40">
        <f>IF(tblRisks[[#This Row],[Supplier]]="","",IF(tblRisks[[#This Row],[Priority]]="Closed","",tblRisks[[#This Row],[RPN]]+1-ROW()/100000))</f>
        <v>54.99975</v>
      </c>
      <c r="U25"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5" s="36" t="s">
        <v>210</v>
      </c>
    </row>
    <row r="26" spans="2:22" x14ac:dyDescent="0.25">
      <c r="B26" s="28" t="s">
        <v>211</v>
      </c>
      <c r="C26" s="28" t="s">
        <v>108</v>
      </c>
      <c r="D26" s="35" t="str">
        <f>IF(tblRisks[[#This Row],[Supplier]]="","",IFERROR(INDEX(tblSuppliers[Commodity],MATCH(tblRisks[[#This Row],[Supplier]],tblSuppliers[Supplier],0)),""))</f>
        <v>Idler rollers</v>
      </c>
      <c r="E26" s="28" t="s">
        <v>121</v>
      </c>
      <c r="F26" s="36" t="s">
        <v>212</v>
      </c>
      <c r="G26" s="29">
        <v>7</v>
      </c>
      <c r="H26" s="29">
        <v>2</v>
      </c>
      <c r="I26" s="29">
        <v>2</v>
      </c>
      <c r="J26" s="37">
        <f>N(tblRisks[[#This Row],[Severity]])*N(tblRisks[[#This Row],[Occurrence]])*N(tblRisks[[#This Row],[Detection]])</f>
        <v>28</v>
      </c>
      <c r="K26" s="37">
        <f>IF(tblRisks[[#This Row],[Supplier]]="","",N(tblRisks[[#This Row],[Severity]])*N(tblRisks[[#This Row],[Occurrence]]))</f>
        <v>14</v>
      </c>
      <c r="L26" s="38">
        <f>IF(tblRisks[[#This Row],[Supplier]]="","",tblRisks[[#This Row],[RPN]]-RPNThreshold)</f>
        <v>-72</v>
      </c>
      <c r="M26" s="39" t="str">
        <f>IF(tblRisks[[#This Row],[Supplier]]="","",IF(tblRisks[[#This Row],[Closed]]&lt;&gt;"","Closed",IF(OR(tblRisks[[#This Row],[RPN]]&gt;=RPNThreshold,tblRisks[[#This Row],[Severity]]&gt;=SevFloor),"Act","Monitor")))</f>
        <v>Monitor</v>
      </c>
      <c r="N26" s="35">
        <f>IF(tblRisks[[#This Row],[Supplier]]="","",IF(AND(tblRisks[[#This Row],[RPN]]&gt;=RPNThreshold,tblRisks[[#This Row],[Severity]]&gt;=SevFloor),"RPN and severity",IF(tblRisks[[#This Row],[RPN]]&gt;=RPNThreshold,"RPN at or over threshold",IF(tblRisks[[#This Row],[Severity]]&gt;=SevFloor,"Severity at or over floor",""))))</f>
        <v/>
      </c>
      <c r="O26" s="36" t="s">
        <v>149</v>
      </c>
      <c r="P26" s="28" t="s">
        <v>149</v>
      </c>
      <c r="Q26" s="30"/>
      <c r="R26" s="30"/>
      <c r="S26" s="39">
        <f>IF(tblRisks[[#This Row],[Supplier]]="","",IF(tblRisks[[#This Row],[Closed]]&lt;&gt;"","Complete",IF(tblRisks[[#This Row],[Due]]="","",IF(tblRisks[[#This Row],[Due]]&lt;AsOf,"Overdue",IF(tblRisks[[#This Row],[Due]]&lt;=AsOf+DueSoonDays,"Due soon","In progress")))))</f>
        <v/>
      </c>
      <c r="T26" s="40">
        <f>IF(tblRisks[[#This Row],[Supplier]]="","",IF(tblRisks[[#This Row],[Priority]]="Closed","",tblRisks[[#This Row],[RPN]]+1-ROW()/100000))</f>
        <v>28.99974</v>
      </c>
      <c r="U26"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6" s="36" t="s">
        <v>149</v>
      </c>
    </row>
    <row r="27" spans="2:22" x14ac:dyDescent="0.25">
      <c r="B27" s="28" t="s">
        <v>213</v>
      </c>
      <c r="C27" s="28" t="s">
        <v>108</v>
      </c>
      <c r="D27" s="35" t="str">
        <f>IF(tblRisks[[#This Row],[Supplier]]="","",IFERROR(INDEX(tblSuppliers[Commodity],MATCH(tblRisks[[#This Row],[Supplier]],tblSuppliers[Supplier],0)),""))</f>
        <v>Idler rollers</v>
      </c>
      <c r="E27" s="28" t="s">
        <v>117</v>
      </c>
      <c r="F27" s="36" t="s">
        <v>214</v>
      </c>
      <c r="G27" s="29">
        <v>5</v>
      </c>
      <c r="H27" s="29">
        <v>3</v>
      </c>
      <c r="I27" s="29">
        <v>5</v>
      </c>
      <c r="J27" s="37">
        <f>N(tblRisks[[#This Row],[Severity]])*N(tblRisks[[#This Row],[Occurrence]])*N(tblRisks[[#This Row],[Detection]])</f>
        <v>75</v>
      </c>
      <c r="K27" s="37">
        <f>IF(tblRisks[[#This Row],[Supplier]]="","",N(tblRisks[[#This Row],[Severity]])*N(tblRisks[[#This Row],[Occurrence]]))</f>
        <v>15</v>
      </c>
      <c r="L27" s="38">
        <f>IF(tblRisks[[#This Row],[Supplier]]="","",tblRisks[[#This Row],[RPN]]-RPNThreshold)</f>
        <v>-25</v>
      </c>
      <c r="M27" s="39" t="str">
        <f>IF(tblRisks[[#This Row],[Supplier]]="","",IF(tblRisks[[#This Row],[Closed]]&lt;&gt;"","Closed",IF(OR(tblRisks[[#This Row],[RPN]]&gt;=RPNThreshold,tblRisks[[#This Row],[Severity]]&gt;=SevFloor),"Act","Monitor")))</f>
        <v>Monitor</v>
      </c>
      <c r="N27" s="35">
        <f>IF(tblRisks[[#This Row],[Supplier]]="","",IF(AND(tblRisks[[#This Row],[RPN]]&gt;=RPNThreshold,tblRisks[[#This Row],[Severity]]&gt;=SevFloor),"RPN and severity",IF(tblRisks[[#This Row],[RPN]]&gt;=RPNThreshold,"RPN at or over threshold",IF(tblRisks[[#This Row],[Severity]]&gt;=SevFloor,"Severity at or over floor",""))))</f>
        <v/>
      </c>
      <c r="O27" s="36" t="s">
        <v>149</v>
      </c>
      <c r="P27" s="28" t="s">
        <v>149</v>
      </c>
      <c r="Q27" s="30"/>
      <c r="R27" s="30"/>
      <c r="S27" s="39">
        <f>IF(tblRisks[[#This Row],[Supplier]]="","",IF(tblRisks[[#This Row],[Closed]]&lt;&gt;"","Complete",IF(tblRisks[[#This Row],[Due]]="","",IF(tblRisks[[#This Row],[Due]]&lt;AsOf,"Overdue",IF(tblRisks[[#This Row],[Due]]&lt;=AsOf+DueSoonDays,"Due soon","In progress")))))</f>
        <v/>
      </c>
      <c r="T27" s="40">
        <f>IF(tblRisks[[#This Row],[Supplier]]="","",IF(tblRisks[[#This Row],[Priority]]="Closed","",tblRisks[[#This Row],[RPN]]+1-ROW()/100000))</f>
        <v>75.99973</v>
      </c>
      <c r="U27"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7" s="36" t="s">
        <v>215</v>
      </c>
    </row>
    <row r="28" spans="2:22" x14ac:dyDescent="0.25">
      <c r="B28" s="28" t="s">
        <v>216</v>
      </c>
      <c r="C28" s="28" t="s">
        <v>86</v>
      </c>
      <c r="D28" s="35" t="str">
        <f>IF(tblRisks[[#This Row],[Supplier]]="","",IFERROR(INDEX(tblSuppliers[Commodity],MATCH(tblRisks[[#This Row],[Supplier]],tblSuppliers[Supplier],0)),""))</f>
        <v>Gear motors</v>
      </c>
      <c r="E28" s="28" t="s">
        <v>123</v>
      </c>
      <c r="F28" s="36" t="s">
        <v>217</v>
      </c>
      <c r="G28" s="29">
        <v>7</v>
      </c>
      <c r="H28" s="29">
        <v>3</v>
      </c>
      <c r="I28" s="29">
        <v>4</v>
      </c>
      <c r="J28" s="37">
        <f>N(tblRisks[[#This Row],[Severity]])*N(tblRisks[[#This Row],[Occurrence]])*N(tblRisks[[#This Row],[Detection]])</f>
        <v>84</v>
      </c>
      <c r="K28" s="37">
        <f>IF(tblRisks[[#This Row],[Supplier]]="","",N(tblRisks[[#This Row],[Severity]])*N(tblRisks[[#This Row],[Occurrence]]))</f>
        <v>21</v>
      </c>
      <c r="L28" s="38">
        <f>IF(tblRisks[[#This Row],[Supplier]]="","",tblRisks[[#This Row],[RPN]]-RPNThreshold)</f>
        <v>-16</v>
      </c>
      <c r="M28" s="39" t="str">
        <f>IF(tblRisks[[#This Row],[Supplier]]="","",IF(tblRisks[[#This Row],[Closed]]&lt;&gt;"","Closed",IF(OR(tblRisks[[#This Row],[RPN]]&gt;=RPNThreshold,tblRisks[[#This Row],[Severity]]&gt;=SevFloor),"Act","Monitor")))</f>
        <v>Monitor</v>
      </c>
      <c r="N28" s="35">
        <f>IF(tblRisks[[#This Row],[Supplier]]="","",IF(AND(tblRisks[[#This Row],[RPN]]&gt;=RPNThreshold,tblRisks[[#This Row],[Severity]]&gt;=SevFloor),"RPN and severity",IF(tblRisks[[#This Row],[RPN]]&gt;=RPNThreshold,"RPN at or over threshold",IF(tblRisks[[#This Row],[Severity]]&gt;=SevFloor,"Severity at or over floor",""))))</f>
        <v/>
      </c>
      <c r="O28" s="36" t="s">
        <v>218</v>
      </c>
      <c r="P28" s="28" t="s">
        <v>219</v>
      </c>
      <c r="Q28" s="30">
        <v>46304</v>
      </c>
      <c r="R28" s="30"/>
      <c r="S28" s="39" t="str">
        <f>IF(tblRisks[[#This Row],[Supplier]]="","",IF(tblRisks[[#This Row],[Closed]]&lt;&gt;"","Complete",IF(tblRisks[[#This Row],[Due]]="","",IF(tblRisks[[#This Row],[Due]]&lt;AsOf,"Overdue",IF(tblRisks[[#This Row],[Due]]&lt;=AsOf+DueSoonDays,"Due soon","In progress")))))</f>
        <v>Overdue</v>
      </c>
      <c r="T28" s="40">
        <f>IF(tblRisks[[#This Row],[Supplier]]="","",IF(tblRisks[[#This Row],[Priority]]="Closed","",tblRisks[[#This Row],[RPN]]+1-ROW()/100000))</f>
        <v>84.99972</v>
      </c>
      <c r="U28"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8" s="36" t="s">
        <v>149</v>
      </c>
    </row>
    <row r="29" spans="2:22" x14ac:dyDescent="0.25">
      <c r="B29" s="28" t="s">
        <v>220</v>
      </c>
      <c r="C29" s="28" t="s">
        <v>90</v>
      </c>
      <c r="D29" s="35" t="str">
        <f>IF(tblRisks[[#This Row],[Supplier]]="","",IFERROR(INDEX(tblSuppliers[Commodity],MATCH(tblRisks[[#This Row],[Supplier]],tblSuppliers[Supplier],0)),""))</f>
        <v>Sheet and tube</v>
      </c>
      <c r="E29" s="28" t="s">
        <v>117</v>
      </c>
      <c r="F29" s="36" t="s">
        <v>221</v>
      </c>
      <c r="G29" s="29">
        <v>6</v>
      </c>
      <c r="H29" s="29">
        <v>2</v>
      </c>
      <c r="I29" s="29">
        <v>4</v>
      </c>
      <c r="J29" s="37">
        <f>N(tblRisks[[#This Row],[Severity]])*N(tblRisks[[#This Row],[Occurrence]])*N(tblRisks[[#This Row],[Detection]])</f>
        <v>48</v>
      </c>
      <c r="K29" s="37">
        <f>IF(tblRisks[[#This Row],[Supplier]]="","",N(tblRisks[[#This Row],[Severity]])*N(tblRisks[[#This Row],[Occurrence]]))</f>
        <v>12</v>
      </c>
      <c r="L29" s="38">
        <f>IF(tblRisks[[#This Row],[Supplier]]="","",tblRisks[[#This Row],[RPN]]-RPNThreshold)</f>
        <v>-52</v>
      </c>
      <c r="M29" s="39" t="str">
        <f>IF(tblRisks[[#This Row],[Supplier]]="","",IF(tblRisks[[#This Row],[Closed]]&lt;&gt;"","Closed",IF(OR(tblRisks[[#This Row],[RPN]]&gt;=RPNThreshold,tblRisks[[#This Row],[Severity]]&gt;=SevFloor),"Act","Monitor")))</f>
        <v>Monitor</v>
      </c>
      <c r="N29" s="35">
        <f>IF(tblRisks[[#This Row],[Supplier]]="","",IF(AND(tblRisks[[#This Row],[RPN]]&gt;=RPNThreshold,tblRisks[[#This Row],[Severity]]&gt;=SevFloor),"RPN and severity",IF(tblRisks[[#This Row],[RPN]]&gt;=RPNThreshold,"RPN at or over threshold",IF(tblRisks[[#This Row],[Severity]]&gt;=SevFloor,"Severity at or over floor",""))))</f>
        <v/>
      </c>
      <c r="O29" s="36" t="s">
        <v>149</v>
      </c>
      <c r="P29" s="28" t="s">
        <v>149</v>
      </c>
      <c r="Q29" s="30"/>
      <c r="R29" s="30"/>
      <c r="S29" s="39">
        <f>IF(tblRisks[[#This Row],[Supplier]]="","",IF(tblRisks[[#This Row],[Closed]]&lt;&gt;"","Complete",IF(tblRisks[[#This Row],[Due]]="","",IF(tblRisks[[#This Row],[Due]]&lt;AsOf,"Overdue",IF(tblRisks[[#This Row],[Due]]&lt;=AsOf+DueSoonDays,"Due soon","In progress")))))</f>
        <v/>
      </c>
      <c r="T29" s="40">
        <f>IF(tblRisks[[#This Row],[Supplier]]="","",IF(tblRisks[[#This Row],[Priority]]="Closed","",tblRisks[[#This Row],[RPN]]+1-ROW()/100000))</f>
        <v>48.99971</v>
      </c>
      <c r="U29"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29" s="36" t="s">
        <v>149</v>
      </c>
    </row>
    <row r="30" spans="2:22" x14ac:dyDescent="0.25">
      <c r="B30" s="28" t="s">
        <v>222</v>
      </c>
      <c r="C30" s="28" t="s">
        <v>94</v>
      </c>
      <c r="D30" s="35" t="str">
        <f>IF(tblRisks[[#This Row],[Supplier]]="","",IFERROR(INDEX(tblSuppliers[Commodity],MATCH(tblRisks[[#This Row],[Supplier]],tblSuppliers[Supplier],0)),""))</f>
        <v>Conveyor belts</v>
      </c>
      <c r="E30" s="28" t="s">
        <v>125</v>
      </c>
      <c r="F30" s="36" t="s">
        <v>223</v>
      </c>
      <c r="G30" s="29">
        <v>9</v>
      </c>
      <c r="H30" s="29">
        <v>2</v>
      </c>
      <c r="I30" s="29">
        <v>2</v>
      </c>
      <c r="J30" s="37">
        <f>N(tblRisks[[#This Row],[Severity]])*N(tblRisks[[#This Row],[Occurrence]])*N(tblRisks[[#This Row],[Detection]])</f>
        <v>36</v>
      </c>
      <c r="K30" s="37">
        <f>IF(tblRisks[[#This Row],[Supplier]]="","",N(tblRisks[[#This Row],[Severity]])*N(tblRisks[[#This Row],[Occurrence]]))</f>
        <v>18</v>
      </c>
      <c r="L30" s="38">
        <f>IF(tblRisks[[#This Row],[Supplier]]="","",tblRisks[[#This Row],[RPN]]-RPNThreshold)</f>
        <v>-64</v>
      </c>
      <c r="M30" s="39" t="str">
        <f>IF(tblRisks[[#This Row],[Supplier]]="","",IF(tblRisks[[#This Row],[Closed]]&lt;&gt;"","Closed",IF(OR(tblRisks[[#This Row],[RPN]]&gt;=RPNThreshold,tblRisks[[#This Row],[Severity]]&gt;=SevFloor),"Act","Monitor")))</f>
        <v>Closed</v>
      </c>
      <c r="N30" s="35" t="str">
        <f>IF(tblRisks[[#This Row],[Supplier]]="","",IF(AND(tblRisks[[#This Row],[RPN]]&gt;=RPNThreshold,tblRisks[[#This Row],[Severity]]&gt;=SevFloor),"RPN and severity",IF(tblRisks[[#This Row],[RPN]]&gt;=RPNThreshold,"RPN at or over threshold",IF(tblRisks[[#This Row],[Severity]]&gt;=SevFloor,"Severity at or over floor",""))))</f>
        <v>Severity at or over floor</v>
      </c>
      <c r="O30" s="36" t="s">
        <v>224</v>
      </c>
      <c r="P30" s="28" t="s">
        <v>172</v>
      </c>
      <c r="Q30" s="30">
        <v>46285</v>
      </c>
      <c r="R30" s="30">
        <v>46283</v>
      </c>
      <c r="S30" s="39" t="str">
        <f>IF(tblRisks[[#This Row],[Supplier]]="","",IF(tblRisks[[#This Row],[Closed]]&lt;&gt;"","Complete",IF(tblRisks[[#This Row],[Due]]="","",IF(tblRisks[[#This Row],[Due]]&lt;AsOf,"Overdue",IF(tblRisks[[#This Row],[Due]]&lt;=AsOf+DueSoonDays,"Due soon","In progress")))))</f>
        <v>Complete</v>
      </c>
      <c r="T30" s="40">
        <f>IF(tblRisks[[#This Row],[Supplier]]="","",IF(tblRisks[[#This Row],[Priority]]="Closed","",tblRisks[[#This Row],[RPN]]+1-ROW()/100000))</f>
        <v/>
      </c>
      <c r="U30"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30" s="36" t="s">
        <v>225</v>
      </c>
    </row>
    <row r="31" spans="2:22" x14ac:dyDescent="0.25">
      <c r="B31" s="28" t="s">
        <v>226</v>
      </c>
      <c r="C31" s="28" t="s">
        <v>97</v>
      </c>
      <c r="D31" s="35" t="str">
        <f>IF(tblRisks[[#This Row],[Supplier]]="","",IFERROR(INDEX(tblSuppliers[Commodity],MATCH(tblRisks[[#This Row],[Supplier]],tblSuppliers[Supplier],0)),""))</f>
        <v>Bearings</v>
      </c>
      <c r="E31" s="28" t="s">
        <v>119</v>
      </c>
      <c r="F31" s="36" t="s">
        <v>227</v>
      </c>
      <c r="G31" s="29">
        <v>5</v>
      </c>
      <c r="H31" s="29">
        <v>4</v>
      </c>
      <c r="I31" s="29">
        <v>3</v>
      </c>
      <c r="J31" s="37">
        <f>N(tblRisks[[#This Row],[Severity]])*N(tblRisks[[#This Row],[Occurrence]])*N(tblRisks[[#This Row],[Detection]])</f>
        <v>60</v>
      </c>
      <c r="K31" s="37">
        <f>IF(tblRisks[[#This Row],[Supplier]]="","",N(tblRisks[[#This Row],[Severity]])*N(tblRisks[[#This Row],[Occurrence]]))</f>
        <v>20</v>
      </c>
      <c r="L31" s="38">
        <f>IF(tblRisks[[#This Row],[Supplier]]="","",tblRisks[[#This Row],[RPN]]-RPNThreshold)</f>
        <v>-40</v>
      </c>
      <c r="M31" s="39" t="str">
        <f>IF(tblRisks[[#This Row],[Supplier]]="","",IF(tblRisks[[#This Row],[Closed]]&lt;&gt;"","Closed",IF(OR(tblRisks[[#This Row],[RPN]]&gt;=RPNThreshold,tblRisks[[#This Row],[Severity]]&gt;=SevFloor),"Act","Monitor")))</f>
        <v>Monitor</v>
      </c>
      <c r="N31" s="35">
        <f>IF(tblRisks[[#This Row],[Supplier]]="","",IF(AND(tblRisks[[#This Row],[RPN]]&gt;=RPNThreshold,tblRisks[[#This Row],[Severity]]&gt;=SevFloor),"RPN and severity",IF(tblRisks[[#This Row],[RPN]]&gt;=RPNThreshold,"RPN at or over threshold",IF(tblRisks[[#This Row],[Severity]]&gt;=SevFloor,"Severity at or over floor",""))))</f>
        <v/>
      </c>
      <c r="O31" s="36" t="s">
        <v>149</v>
      </c>
      <c r="P31" s="28" t="s">
        <v>149</v>
      </c>
      <c r="Q31" s="30"/>
      <c r="R31" s="30"/>
      <c r="S31" s="39">
        <f>IF(tblRisks[[#This Row],[Supplier]]="","",IF(tblRisks[[#This Row],[Closed]]&lt;&gt;"","Complete",IF(tblRisks[[#This Row],[Due]]="","",IF(tblRisks[[#This Row],[Due]]&lt;AsOf,"Overdue",IF(tblRisks[[#This Row],[Due]]&lt;=AsOf+DueSoonDays,"Due soon","In progress")))))</f>
        <v/>
      </c>
      <c r="T31" s="40">
        <f>IF(tblRisks[[#This Row],[Supplier]]="","",IF(tblRisks[[#This Row],[Priority]]="Closed","",tblRisks[[#This Row],[RPN]]+1-ROW()/100000))</f>
        <v>60.99969</v>
      </c>
      <c r="U31" s="41" t="str">
        <f>IF(tblRisks[[#This Row],[Supplier]]="","",IF(tblRisks[[#This Row],[ID]]="","Missing id",IF(tblRisks[[#This Row],[Category]]="","Missing category",IF(tblRisks[[#This Row],[Severity]]="","Missing severity",IF(tblRisks[[#This Row],[Occurrence]]="","Missing occurrence",IF(tblRisks[[#This Row],[Detection]]="","Missing detection",IF(tblRisks[[#This Row],[Commodity]]="","Supplier not on Setup list",IF(OR(tblRisks[[#This Row],[Severity]]&lt;1,tblRisks[[#This Row],[Severity]]&gt;10,tblRisks[[#This Row],[Occurrence]]&lt;1,tblRisks[[#This Row],[Occurrence]]&gt;10,tblRisks[[#This Row],[Detection]]&lt;1,tblRisks[[#This Row],[Detection]]&gt;10),"Ratings must be 1 to 10",IF(AND(tblRisks[[#This Row],[Priority]]="Act",tblRisks[[#This Row],[Action]]=""),"Act risk has no action",IF(AND(tblRisks[[#This Row],[Priority]]="Act",OR(tblRisks[[#This Row],[Owner]]="",tblRisks[[#This Row],[Due]]="")),"Act risk needs owner and due date",IF(COUNTIF(tblRisks[ID],tblRisks[[#This Row],[ID]])&gt;1,"Duplicate ID","OK")))))))))))</f>
        <v>OK</v>
      </c>
      <c r="V31" s="36" t="s">
        <v>149</v>
      </c>
    </row>
  </sheetData>
  <mergeCells count="3">
    <mergeCell ref="A1:V1"/>
    <mergeCell ref="B2:U2"/>
    <mergeCell ref="B4:V4"/>
  </mergeCells>
  <conditionalFormatting sqref="J6:J531">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U6:U531">
    <cfRule type="expression" dxfId="3" priority="2">
      <formula>$U6="OK"</formula>
    </cfRule>
    <cfRule type="expression" dxfId="1" priority="3">
      <formula>AND($U6&lt;&gt;"",$U6&lt;&gt;"OK")</formula>
    </cfRule>
  </conditionalFormatting>
  <dataValidations count="12">
    <dataValidation type="textLength" allowBlank="1" showInputMessage="1" showErrorMessage="1" errorTitle="Check this entry" error="Text up to 12 characters." promptTitle="ID" prompt="A short unique reference, e.g. R-27. Text up to 12 characters." sqref="B6:B531">
      <formula1>0</formula1>
      <formula2>12</formula2>
    </dataValidation>
    <dataValidation type="list" allowBlank="1" showInputMessage="1" showErrorMessage="1" errorTitle="Check this entry" error="Pick from the list (edit the list on Setup: Suppliers)." promptTitle="Supplier" prompt="Pick from the list (edit the list on Setup: Suppliers)." sqref="C6:C531">
      <formula1>Suppliers</formula1>
    </dataValidation>
    <dataValidation type="list" allowBlank="1" showInputMessage="1" showErrorMessage="1" errorTitle="Check this entry" error="Pick from the list (edit the list on Setup: RiskCats)." promptTitle="Category" prompt="Pick from the list (edit the list on Setup: RiskCats)." sqref="E6:E531">
      <formula1>RiskCats</formula1>
    </dataValidation>
    <dataValidation type="textLength" allowBlank="1" showInputMessage="1" showErrorMessage="1" errorTitle="Check this entry" error="Text up to 255 characters." promptTitle="Risk" prompt="What could fail, and its effect on you. Text up to 255 characters." sqref="F6:F531">
      <formula1>0</formula1>
      <formula2>255</formula2>
    </dataValidation>
    <dataValidation type="whole" allowBlank="1" showInputMessage="1" showErrorMessage="1" errorTitle="Check this entry" error="Enter a whole number from 1 to 10." promptTitle="Severity" prompt="1-10: how bad the effect is if it happens (see the rating guide on Setup). Enter a whole number from 1 to 10." sqref="G6:G531">
      <formula1>1</formula1>
      <formula2>10</formula2>
    </dataValidation>
    <dataValidation type="whole" allowBlank="1" showInputMessage="1" showErrorMessage="1" errorTitle="Check this entry" error="Enter a whole number from 1 to 10." promptTitle="Occurrence" prompt="1-10: how likely it is in the next 12 months (see the rating guide on Setup). Enter a whole number from 1 to 10." sqref="H6:H531">
      <formula1>1</formula1>
      <formula2>10</formula2>
    </dataValidation>
    <dataValidation type="whole" allowBlank="1" showInputMessage="1" showErrorMessage="1" errorTitle="Check this entry" error="Enter a whole number from 1 to 10." promptTitle="Detection" prompt="1-10: how late you would find out, 10 = not until the customer does (see the rating guide on Setup). Enter a whole number from 1 to 10." sqref="I6:I531">
      <formula1>1</formula1>
      <formula2>10</formula2>
    </dataValidation>
    <dataValidation type="textLength" allowBlank="1" showInputMessage="1" showErrorMessage="1" errorTitle="Check this entry" error="Text up to 255 characters." promptTitle="Action" prompt="The mitigation or containment action. Required for every Act risk. Text up to 255 characters." sqref="O6:O531">
      <formula1>0</formula1>
      <formula2>255</formula2>
    </dataValidation>
    <dataValidation type="textLength" allowBlank="1" showInputMessage="1" showErrorMessage="1" errorTitle="Check this entry" error="Text up to 60 characters." promptTitle="Owner" prompt="Text up to 60 characters." sqref="P6:P531">
      <formula1>0</formula1>
      <formula2>60</formula2>
    </dataValidation>
    <dataValidation type="date" allowBlank="1" showInputMessage="1" showErrorMessage="1" errorTitle="Check this entry" error="Enter a date between 01 Jan 2000 and 31 Dec 2100." promptTitle="Due" prompt="Enter a date between 01 Jan 2000 and 31 Dec 2100." sqref="Q6:Q531">
      <formula1>36526</formula1>
      <formula2>73415</formula2>
    </dataValidation>
    <dataValidation type="date" allowBlank="1" showInputMessage="1" showErrorMessage="1" errorTitle="Check this entry" error="Enter a date between 01 Jan 2000 and 31 Dec 2100." promptTitle="Closed" prompt="Date the action was completed. The risk then shows Closed; re-score it and log a new row if a residual risk remains. Enter a date between 01 Jan 2000 and 31 Dec 2100." sqref="R6:R531">
      <formula1>36526</formula1>
      <formula2>73415</formula2>
    </dataValidation>
    <dataValidation type="textLength" allowBlank="1" showInputMessage="1" showErrorMessage="1" errorTitle="Check this entry" error="Text up to 255 characters." promptTitle="Notes" prompt="Text up to 255 characters." sqref="V6:V531">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Supplier Risk Assessment&amp;R&amp;8&amp;A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J6:J531</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6"/>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42" t="str">
        <f>"Register for "&amp;CoName&amp;": "&amp;COUNTA(tblRisks[ID])&amp;" risks. Act = RPN of "&amp;RPNThreshold&amp;" or more, or severity of "&amp;SevFloor&amp;" or more. Action status as of "&amp;TEXT(AsOf,"d mmm yyyy")&amp;"."</f>
        <v>Register for Brenmoor Conveyors (example): 26 risks. Act = RPN of 100 or more, or severity of 9 or more. Action status as of 12 Oct 2026.</v>
      </c>
      <c r="C4" s="42"/>
      <c r="D4" s="42"/>
      <c r="E4" s="42"/>
      <c r="F4" s="42"/>
      <c r="G4" s="42"/>
      <c r="H4" s="42"/>
      <c r="I4" s="42"/>
      <c r="J4" s="42"/>
      <c r="K4" s="42"/>
      <c r="L4" s="42"/>
    </row>
    <row r="6" spans="1:12" ht="18" customHeight="1">
      <c r="B6" s="43" t="s">
        <v>228</v>
      </c>
      <c r="C6" s="43"/>
      <c r="D6" s="43" t="s">
        <v>229</v>
      </c>
      <c r="E6" s="43"/>
      <c r="F6" s="43"/>
      <c r="G6" s="43" t="s">
        <v>230</v>
      </c>
      <c r="H6" s="43"/>
      <c r="I6" s="43"/>
      <c r="J6" s="43" t="str">
        <f>"SPEND WITH AN ACT RISK ("&amp;Currency&amp;")"</f>
        <v>SPEND WITH AN ACT RISK (EUR)</v>
      </c>
      <c r="K6" s="43"/>
      <c r="L6" s="43"/>
    </row>
    <row r="7" spans="1:12" ht="21" customHeight="1">
      <c r="B7" s="44">
        <f>COUNTIFS(tblRisks[Priority],"Act")</f>
        <v>6</v>
      </c>
      <c r="C7" s="44"/>
      <c r="D7" s="44">
        <f>COUNTIFS(tblRisks[Action status],"Overdue")</f>
        <v>3</v>
      </c>
      <c r="E7" s="44"/>
      <c r="F7" s="44"/>
      <c r="G7" s="44">
        <f>IF(COUNT(tblRisks[Sort key])=0,"",INT(MAX(tblRisks[Sort key])))</f>
        <v>144</v>
      </c>
      <c r="H7" s="44"/>
      <c r="I7" s="44"/>
      <c r="J7" s="44">
        <f>SUMPRODUCT(tblSuppliers[Annual spend]*(COUNTIFS(tblRisks[Supplier],tblSuppliers[Supplier],tblRisks[Priority],"Act")&gt;0))</f>
        <v>4580000</v>
      </c>
      <c r="K7" s="44"/>
      <c r="L7" s="44"/>
    </row>
    <row r="8" spans="1:12" ht="21" customHeight="1">
      <c r="B8" s="44"/>
      <c r="C8" s="44"/>
      <c r="D8" s="44"/>
      <c r="E8" s="44"/>
      <c r="F8" s="44"/>
      <c r="G8" s="44"/>
      <c r="H8" s="44"/>
      <c r="I8" s="44"/>
      <c r="J8" s="44"/>
      <c r="K8" s="44"/>
      <c r="L8" s="44"/>
    </row>
    <row r="9" spans="1:12">
      <c r="B9" s="45" t="s">
        <v>231</v>
      </c>
      <c r="C9" s="45"/>
      <c r="D9" s="46">
        <f>0</f>
        <v>0</v>
      </c>
      <c r="E9" s="46"/>
      <c r="F9" s="46"/>
      <c r="G9" s="47">
        <f>RPNThreshold</f>
        <v>100</v>
      </c>
      <c r="H9" s="47"/>
      <c r="I9" s="47"/>
      <c r="J9" s="45" t="str">
        <f>IF(SUM(tblSuppliers[Annual spend])=0,"",TEXT(KpiSpend/SUM(tblSuppliers[Annual spend]),"0%")&amp;" of annual spend on Setup")</f>
        <v>53% of annual spend on Setup</v>
      </c>
      <c r="K9" s="45"/>
      <c r="L9" s="45"/>
    </row>
    <row r="10" spans="1:12" ht="18" customHeight="1">
      <c r="B10" s="48"/>
      <c r="C10" s="48"/>
      <c r="D10" s="48" t="str">
        <f>IF(NOT(ISNUMBER(KpiOverdue)),"No data",IF(KpiOverdue&lt;=(0),"On target",IF(KpiOverdue&lt;=(0)*(1+0.05),"Near target","Above target")))</f>
        <v>Above target</v>
      </c>
      <c r="E10" s="48"/>
      <c r="F10" s="48"/>
      <c r="G10" s="48" t="str">
        <f>IF(NOT(ISNUMBER(KpiMaxRPN)),"No data",IF(KpiMaxRPN&lt;=(RPNThreshold),"On target",IF(KpiMaxRPN&lt;=(RPNThreshold)*(1+0.05),"Near target","Above target")))</f>
        <v>Above target</v>
      </c>
      <c r="H10" s="48"/>
      <c r="I10" s="48"/>
      <c r="J10" s="48"/>
      <c r="K10" s="48"/>
      <c r="L10" s="48"/>
    </row>
    <row r="29" spans="2:12">
      <c r="B29" s="31" t="s">
        <v>232</v>
      </c>
      <c r="C29" s="31"/>
      <c r="D29" s="31"/>
      <c r="E29" s="31"/>
      <c r="F29" s="31"/>
      <c r="G29" s="31"/>
      <c r="H29" s="31"/>
      <c r="I29" s="31"/>
      <c r="J29" s="31"/>
      <c r="K29" s="31"/>
      <c r="L29" s="31"/>
    </row>
    <row r="30" spans="2:12" ht="32" customHeight="1">
      <c r="B30" s="49" t="s">
        <v>233</v>
      </c>
      <c r="C30" s="33" t="s">
        <v>128</v>
      </c>
      <c r="D30" s="33"/>
      <c r="E30" s="33"/>
      <c r="F30" s="33"/>
      <c r="G30" s="33"/>
      <c r="H30" s="33" t="s">
        <v>73</v>
      </c>
      <c r="I30" s="33" t="s">
        <v>129</v>
      </c>
      <c r="J30" s="33" t="s">
        <v>137</v>
      </c>
      <c r="K30" s="33" t="s">
        <v>138</v>
      </c>
      <c r="L30" s="33" t="s">
        <v>140</v>
      </c>
    </row>
    <row r="31" spans="2:12">
      <c r="B31" s="50" t="str">
        <f>IFERROR(INDEX(tblRisks[ID],MATCH(LARGE(tblRisks[Sort key],1),tblRisks[Sort key],0))&amp;"  "&amp;INDEX(tblRisks[Supplier],MATCH(LARGE(tblRisks[Sort key],1),tblRisks[Sort key],0)),"")</f>
        <v>R-17  Sundra Castings</v>
      </c>
      <c r="C31" s="35" t="str">
        <f>IFERROR(INDEX(tblRisks[Risk],MATCH(LARGE(tblRisks[Sort key],1),tblRisks[Sort key],0))&amp;"","")</f>
        <v>Supplier reported a loss and a covenant breach</v>
      </c>
      <c r="D31" s="35"/>
      <c r="E31" s="35"/>
      <c r="F31" s="35"/>
      <c r="G31" s="35"/>
      <c r="H31" s="51">
        <f>IFERROR(INDEX(tblRisks[RPN],MATCH(LARGE(tblRisks[Sort key],1),tblRisks[Sort key],0)),"")</f>
        <v>144</v>
      </c>
      <c r="I31" s="52">
        <f>IFERROR(INDEX(tblRisks[Severity],MATCH(LARGE(tblRisks[Sort key],1),tblRisks[Sort key],0)),"")</f>
        <v>8</v>
      </c>
      <c r="J31" s="35" t="str">
        <f>IFERROR(INDEX(tblRisks[Owner],MATCH(LARGE(tblRisks[Sort key],1),tblRisks[Sort key],0))&amp;"","")</f>
        <v>Purchasing</v>
      </c>
      <c r="K31" s="53">
        <f>IFERROR(IF(INDEX(tblRisks[Due],MATCH(LARGE(tblRisks[Sort key],1),tblRisks[Sort key],0))="","",INDEX(tblRisks[Due],MATCH(LARGE(tblRisks[Sort key],1),tblRisks[Sort key],0))),"")</f>
        <v>46326</v>
      </c>
      <c r="L31" s="39" t="str">
        <f>IFERROR(INDEX(tblRisks[Action status],MATCH(LARGE(tblRisks[Sort key],1),tblRisks[Sort key],0))&amp;"","")</f>
        <v>In progress</v>
      </c>
    </row>
    <row r="32" spans="2:12">
      <c r="B32" s="50" t="str">
        <f>IFERROR(INDEX(tblRisks[ID],MATCH(LARGE(tblRisks[Sort key],2),tblRisks[Sort key],0))&amp;"  "&amp;INDEX(tblRisks[Supplier],MATCH(LARGE(tblRisks[Sort key],2),tblRisks[Sort key],0)),"")</f>
        <v>R-14  Sundra Castings</v>
      </c>
      <c r="C32" s="35" t="str">
        <f>IFERROR(INDEX(tblRisks[Risk],MATCH(LARGE(tblRisks[Sort key],2),tblRisks[Sort key],0))&amp;"","")</f>
        <v>Porosity in pulley hubs found at machining</v>
      </c>
      <c r="D32" s="35"/>
      <c r="E32" s="35"/>
      <c r="F32" s="35"/>
      <c r="G32" s="35"/>
      <c r="H32" s="51">
        <f>IFERROR(INDEX(tblRisks[RPN],MATCH(LARGE(tblRisks[Sort key],2),tblRisks[Sort key],0)),"")</f>
        <v>140</v>
      </c>
      <c r="I32" s="52">
        <f>IFERROR(INDEX(tblRisks[Severity],MATCH(LARGE(tblRisks[Sort key],2),tblRisks[Sort key],0)),"")</f>
        <v>7</v>
      </c>
      <c r="J32" s="35" t="str">
        <f>IFERROR(INDEX(tblRisks[Owner],MATCH(LARGE(tblRisks[Sort key],2),tblRisks[Sort key],0))&amp;"","")</f>
        <v>SQE</v>
      </c>
      <c r="K32" s="53">
        <f>IFERROR(IF(INDEX(tblRisks[Due],MATCH(LARGE(tblRisks[Sort key],2),tblRisks[Sort key],0))="","",INDEX(tblRisks[Due],MATCH(LARGE(tblRisks[Sort key],2),tblRisks[Sort key],0))),"")</f>
        <v>46340</v>
      </c>
      <c r="L32" s="39" t="str">
        <f>IFERROR(INDEX(tblRisks[Action status],MATCH(LARGE(tblRisks[Sort key],2),tblRisks[Sort key],0))&amp;"","")</f>
        <v>In progress</v>
      </c>
    </row>
    <row r="33" spans="2:12">
      <c r="B33" s="50" t="str">
        <f>IFERROR(INDEX(tblRisks[ID],MATCH(LARGE(tblRisks[Sort key],3),tblRisks[Sort key],0))&amp;"  "&amp;INDEX(tblRisks[Supplier],MATCH(LARGE(tblRisks[Sort key],3),tblRisks[Sort key],0)),"")</f>
        <v>R-07  Linden Belting</v>
      </c>
      <c r="C33" s="35" t="str">
        <f>IFERROR(INDEX(tblRisks[Risk],MATCH(LARGE(tblRisks[Sort key],3),tblRisks[Sort key],0))&amp;"","")</f>
        <v>Belt splice failures on two customer lines</v>
      </c>
      <c r="D33" s="35"/>
      <c r="E33" s="35"/>
      <c r="F33" s="35"/>
      <c r="G33" s="35"/>
      <c r="H33" s="51">
        <f>IFERROR(INDEX(tblRisks[RPN],MATCH(LARGE(tblRisks[Sort key],3),tblRisks[Sort key],0)),"")</f>
        <v>135</v>
      </c>
      <c r="I33" s="52">
        <f>IFERROR(INDEX(tblRisks[Severity],MATCH(LARGE(tblRisks[Sort key],3),tblRisks[Sort key],0)),"")</f>
        <v>9</v>
      </c>
      <c r="J33" s="35" t="str">
        <f>IFERROR(INDEX(tblRisks[Owner],MATCH(LARGE(tblRisks[Sort key],3),tblRisks[Sort key],0))&amp;"","")</f>
        <v>SQE</v>
      </c>
      <c r="K33" s="53">
        <f>IFERROR(IF(INDEX(tblRisks[Due],MATCH(LARGE(tblRisks[Sort key],3),tblRisks[Sort key],0))="","",INDEX(tblRisks[Due],MATCH(LARGE(tblRisks[Sort key],3),tblRisks[Sort key],0))),"")</f>
        <v>46315</v>
      </c>
      <c r="L33" s="39" t="str">
        <f>IFERROR(INDEX(tblRisks[Action status],MATCH(LARGE(tblRisks[Sort key],3),tblRisks[Sort key],0))&amp;"","")</f>
        <v>Due soon</v>
      </c>
    </row>
    <row r="34" spans="2:12">
      <c r="B34" s="50" t="str">
        <f>IFERROR(INDEX(tblRisks[ID],MATCH(LARGE(tblRisks[Sort key],4),tblRisks[Sort key],0))&amp;"  "&amp;INDEX(tblRisks[Supplier],MATCH(LARGE(tblRisks[Sort key],4),tblRisks[Sort key],0)),"")</f>
        <v>R-02  Kallax Gearmotors</v>
      </c>
      <c r="C34" s="35" t="str">
        <f>IFERROR(INDEX(tblRisks[Risk],MATCH(LARGE(tblRisks[Sort key],4),tblRisks[Sort key],0))&amp;"","")</f>
        <v>Lead time up from 6 to 14 weeks; shipments slip</v>
      </c>
      <c r="D34" s="35"/>
      <c r="E34" s="35"/>
      <c r="F34" s="35"/>
      <c r="G34" s="35"/>
      <c r="H34" s="51">
        <f>IFERROR(INDEX(tblRisks[RPN],MATCH(LARGE(tblRisks[Sort key],4),tblRisks[Sort key],0)),"")</f>
        <v>126</v>
      </c>
      <c r="I34" s="52">
        <f>IFERROR(INDEX(tblRisks[Severity],MATCH(LARGE(tblRisks[Sort key],4),tblRisks[Sort key],0)),"")</f>
        <v>7</v>
      </c>
      <c r="J34" s="35" t="str">
        <f>IFERROR(INDEX(tblRisks[Owner],MATCH(LARGE(tblRisks[Sort key],4),tblRisks[Sort key],0))&amp;"","")</f>
        <v>Buyer</v>
      </c>
      <c r="K34" s="53">
        <f>IFERROR(IF(INDEX(tblRisks[Due],MATCH(LARGE(tblRisks[Sort key],4),tblRisks[Sort key],0))="","",INDEX(tblRisks[Due],MATCH(LARGE(tblRisks[Sort key],4),tblRisks[Sort key],0))),"")</f>
        <v>46300</v>
      </c>
      <c r="L34" s="39" t="str">
        <f>IFERROR(INDEX(tblRisks[Action status],MATCH(LARGE(tblRisks[Sort key],4),tblRisks[Sort key],0))&amp;"","")</f>
        <v>Overdue</v>
      </c>
    </row>
    <row r="35" spans="2:12">
      <c r="B35" s="50" t="str">
        <f>IFERROR(INDEX(tblRisks[ID],MATCH(LARGE(tblRisks[Sort key],5),tblRisks[Sort key],0))&amp;"  "&amp;INDEX(tblRisks[Supplier],MATCH(LARGE(tblRisks[Sort key],5),tblRisks[Sort key],0)),"")</f>
        <v>R-01  Kallax Gearmotors</v>
      </c>
      <c r="C35" s="35" t="str">
        <f>IFERROR(INDEX(tblRisks[Risk],MATCH(LARGE(tblRisks[Sort key],5),tblRisks[Sort key],0))&amp;"","")</f>
        <v>Sole source for the 0.55 kW motor: stops assembly</v>
      </c>
      <c r="D35" s="35"/>
      <c r="E35" s="35"/>
      <c r="F35" s="35"/>
      <c r="G35" s="35"/>
      <c r="H35" s="51">
        <f>IFERROR(INDEX(tblRisks[RPN],MATCH(LARGE(tblRisks[Sort key],5),tblRisks[Sort key],0)),"")</f>
        <v>108</v>
      </c>
      <c r="I35" s="52">
        <f>IFERROR(INDEX(tblRisks[Severity],MATCH(LARGE(tblRisks[Sort key],5),tblRisks[Sort key],0)),"")</f>
        <v>9</v>
      </c>
      <c r="J35" s="35" t="str">
        <f>IFERROR(INDEX(tblRisks[Owner],MATCH(LARGE(tblRisks[Sort key],5),tblRisks[Sort key],0))&amp;"","")</f>
        <v>Purchasing</v>
      </c>
      <c r="K35" s="53">
        <f>IFERROR(IF(INDEX(tblRisks[Due],MATCH(LARGE(tblRisks[Sort key],5),tblRisks[Sort key],0))="","",INDEX(tblRisks[Due],MATCH(LARGE(tblRisks[Sort key],5),tblRisks[Sort key],0))),"")</f>
        <v>46371</v>
      </c>
      <c r="L35" s="39" t="str">
        <f>IFERROR(INDEX(tblRisks[Action status],MATCH(LARGE(tblRisks[Sort key],5),tblRisks[Sort key],0))&amp;"","")</f>
        <v>In progress</v>
      </c>
    </row>
    <row r="36" spans="2:12">
      <c r="B36" s="50" t="str">
        <f>IFERROR(INDEX(tblRisks[ID],MATCH(LARGE(tblRisks[Sort key],6),tblRisks[Sort key],0))&amp;"  "&amp;INDEX(tblRisks[Supplier],MATCH(LARGE(tblRisks[Sort key],6),tblRisks[Sort key],0)),"")</f>
        <v>R-11  Vireo Controls</v>
      </c>
      <c r="C36" s="35" t="str">
        <f>IFERROR(INDEX(tblRisks[Risk],MATCH(LARGE(tblRisks[Sort key],6),tblRisks[Sort key],0))&amp;"","")</f>
        <v>Chip shortage: allocation on the 4 kW drive</v>
      </c>
      <c r="D36" s="35"/>
      <c r="E36" s="35"/>
      <c r="F36" s="35"/>
      <c r="G36" s="35"/>
      <c r="H36" s="51">
        <f>IFERROR(INDEX(tblRisks[RPN],MATCH(LARGE(tblRisks[Sort key],6),tblRisks[Sort key],0)),"")</f>
        <v>105</v>
      </c>
      <c r="I36" s="52">
        <f>IFERROR(INDEX(tblRisks[Severity],MATCH(LARGE(tblRisks[Sort key],6),tblRisks[Sort key],0)),"")</f>
        <v>7</v>
      </c>
      <c r="J36" s="35" t="str">
        <f>IFERROR(INDEX(tblRisks[Owner],MATCH(LARGE(tblRisks[Sort key],6),tblRisks[Sort key],0))&amp;"","")</f>
        <v>Engineering</v>
      </c>
      <c r="K36" s="53">
        <f>IFERROR(IF(INDEX(tblRisks[Due],MATCH(LARGE(tblRisks[Sort key],6),tblRisks[Sort key],0))="","",INDEX(tblRisks[Due],MATCH(LARGE(tblRisks[Sort key],6),tblRisks[Sort key],0))),"")</f>
        <v>46325</v>
      </c>
      <c r="L36" s="39" t="str">
        <f>IFERROR(INDEX(tblRisks[Action status],MATCH(LARGE(tblRisks[Sort key],6),tblRisks[Sort key],0))&amp;"","")</f>
        <v>In progress</v>
      </c>
    </row>
    <row r="37" spans="2:12">
      <c r="B37" s="50" t="str">
        <f>IFERROR(INDEX(tblRisks[ID],MATCH(LARGE(tblRisks[Sort key],7),tblRisks[Sort key],0))&amp;"  "&amp;INDEX(tblRisks[Supplier],MATCH(LARGE(tblRisks[Sort key],7),tblRisks[Sort key],0)),"")</f>
        <v>R-13  Vireo Controls</v>
      </c>
      <c r="C37" s="35" t="str">
        <f>IFERROR(INDEX(tblRisks[Risk],MATCH(LARGE(tblRisks[Sort key],7),tblRisks[Sort key],0))&amp;"","")</f>
        <v>Export licence needed for one PLC family</v>
      </c>
      <c r="D37" s="35"/>
      <c r="E37" s="35"/>
      <c r="F37" s="35"/>
      <c r="G37" s="35"/>
      <c r="H37" s="51">
        <f>IFERROR(INDEX(tblRisks[RPN],MATCH(LARGE(tblRisks[Sort key],7),tblRisks[Sort key],0)),"")</f>
        <v>90</v>
      </c>
      <c r="I37" s="52">
        <f>IFERROR(INDEX(tblRisks[Severity],MATCH(LARGE(tblRisks[Sort key],7),tblRisks[Sort key],0)),"")</f>
        <v>6</v>
      </c>
      <c r="J37" s="35" t="str">
        <f>IFERROR(INDEX(tblRisks[Owner],MATCH(LARGE(tblRisks[Sort key],7),tblRisks[Sort key],0))&amp;"","")</f>
        <v>Logistics</v>
      </c>
      <c r="K37" s="53">
        <f>IFERROR(IF(INDEX(tblRisks[Due],MATCH(LARGE(tblRisks[Sort key],7),tblRisks[Sort key],0))="","",INDEX(tblRisks[Due],MATCH(LARGE(tblRisks[Sort key],7),tblRisks[Sort key],0))),"")</f>
        <v>46311</v>
      </c>
      <c r="L37" s="39" t="str">
        <f>IFERROR(INDEX(tblRisks[Action status],MATCH(LARGE(tblRisks[Sort key],7),tblRisks[Sort key],0))&amp;"","")</f>
        <v>Due soon</v>
      </c>
    </row>
    <row r="38" spans="2:12">
      <c r="B38" s="50" t="str">
        <f>IFERROR(INDEX(tblRisks[ID],MATCH(LARGE(tblRisks[Sort key],8),tblRisks[Sort key],0))&amp;"  "&amp;INDEX(tblRisks[Supplier],MATCH(LARGE(tblRisks[Sort key],8),tblRisks[Sort key],0)),"")</f>
        <v>R-23  Kallax Gearmotors</v>
      </c>
      <c r="C38" s="35" t="str">
        <f>IFERROR(INDEX(tblRisks[Risk],MATCH(LARGE(tblRisks[Sort key],8),tblRisks[Sort key],0))&amp;"","")</f>
        <v>Ransomware at a sister company of the supplier</v>
      </c>
      <c r="D38" s="35"/>
      <c r="E38" s="35"/>
      <c r="F38" s="35"/>
      <c r="G38" s="35"/>
      <c r="H38" s="51">
        <f>IFERROR(INDEX(tblRisks[RPN],MATCH(LARGE(tblRisks[Sort key],8),tblRisks[Sort key],0)),"")</f>
        <v>84</v>
      </c>
      <c r="I38" s="52">
        <f>IFERROR(INDEX(tblRisks[Severity],MATCH(LARGE(tblRisks[Sort key],8),tblRisks[Sort key],0)),"")</f>
        <v>7</v>
      </c>
      <c r="J38" s="35" t="str">
        <f>IFERROR(INDEX(tblRisks[Owner],MATCH(LARGE(tblRisks[Sort key],8),tblRisks[Sort key],0))&amp;"","")</f>
        <v>IT</v>
      </c>
      <c r="K38" s="53">
        <f>IFERROR(IF(INDEX(tblRisks[Due],MATCH(LARGE(tblRisks[Sort key],8),tblRisks[Sort key],0))="","",INDEX(tblRisks[Due],MATCH(LARGE(tblRisks[Sort key],8),tblRisks[Sort key],0))),"")</f>
        <v>46304</v>
      </c>
      <c r="L38" s="39" t="str">
        <f>IFERROR(INDEX(tblRisks[Action status],MATCH(LARGE(tblRisks[Sort key],8),tblRisks[Sort key],0))&amp;"","")</f>
        <v>Overdue</v>
      </c>
    </row>
    <row r="39" spans="2:12">
      <c r="B39" s="50" t="str">
        <f>IFERROR(INDEX(tblRisks[ID],MATCH(LARGE(tblRisks[Sort key],9),tblRisks[Sort key],0))&amp;"  "&amp;INDEX(tblRisks[Supplier],MATCH(LARGE(tblRisks[Sort key],9),tblRisks[Sort key],0)),"")</f>
        <v>R-04  Ostra Steel Service</v>
      </c>
      <c r="C39" s="35" t="str">
        <f>IFERROR(INDEX(tblRisks[Risk],MATCH(LARGE(tblRisks[Sort key],9),tblRisks[Sort key],0))&amp;"","")</f>
        <v>Sheet thickness at the low tolerance limit</v>
      </c>
      <c r="D39" s="35"/>
      <c r="E39" s="35"/>
      <c r="F39" s="35"/>
      <c r="G39" s="35"/>
      <c r="H39" s="51">
        <f>IFERROR(INDEX(tblRisks[RPN],MATCH(LARGE(tblRisks[Sort key],9),tblRisks[Sort key],0)),"")</f>
        <v>80</v>
      </c>
      <c r="I39" s="52">
        <f>IFERROR(INDEX(tblRisks[Severity],MATCH(LARGE(tblRisks[Sort key],9),tblRisks[Sort key],0)),"")</f>
        <v>5</v>
      </c>
      <c r="J39" s="35">
        <f>IFERROR(INDEX(tblRisks[Owner],MATCH(LARGE(tblRisks[Sort key],9),tblRisks[Sort key],0))&amp;"","")</f>
        <v/>
      </c>
      <c r="K39" s="53">
        <f>IFERROR(IF(INDEX(tblRisks[Due],MATCH(LARGE(tblRisks[Sort key],9),tblRisks[Sort key],0))="","",INDEX(tblRisks[Due],MATCH(LARGE(tblRisks[Sort key],9),tblRisks[Sort key],0))),"")</f>
        <v/>
      </c>
      <c r="L39" s="39">
        <f>IFERROR(INDEX(tblRisks[Action status],MATCH(LARGE(tblRisks[Sort key],9),tblRisks[Sort key],0))&amp;"","")</f>
        <v/>
      </c>
    </row>
    <row r="40" spans="2:12">
      <c r="B40" s="50" t="str">
        <f>IFERROR(INDEX(tblRisks[ID],MATCH(LARGE(tblRisks[Sort key],10),tblRisks[Sort key],0))&amp;"  "&amp;INDEX(tblRisks[Supplier],MATCH(LARGE(tblRisks[Sort key],10),tblRisks[Sort key],0)),"")</f>
        <v>R-09  Tarn Bearings</v>
      </c>
      <c r="C40" s="35" t="str">
        <f>IFERROR(INDEX(tblRisks[Risk],MATCH(LARGE(tblRisks[Sort key],10),tblRisks[Sort key],0))&amp;"","")</f>
        <v>Allocation on 6205 bearings in peak season</v>
      </c>
      <c r="D40" s="35"/>
      <c r="E40" s="35"/>
      <c r="F40" s="35"/>
      <c r="G40" s="35"/>
      <c r="H40" s="51">
        <f>IFERROR(INDEX(tblRisks[RPN],MATCH(LARGE(tblRisks[Sort key],10),tblRisks[Sort key],0)),"")</f>
        <v>75</v>
      </c>
      <c r="I40" s="52">
        <f>IFERROR(INDEX(tblRisks[Severity],MATCH(LARGE(tblRisks[Sort key],10),tblRisks[Sort key],0)),"")</f>
        <v>5</v>
      </c>
      <c r="J40" s="35">
        <f>IFERROR(INDEX(tblRisks[Owner],MATCH(LARGE(tblRisks[Sort key],10),tblRisks[Sort key],0))&amp;"","")</f>
        <v/>
      </c>
      <c r="K40" s="53">
        <f>IFERROR(IF(INDEX(tblRisks[Due],MATCH(LARGE(tblRisks[Sort key],10),tblRisks[Sort key],0))="","",INDEX(tblRisks[Due],MATCH(LARGE(tblRisks[Sort key],10),tblRisks[Sort key],0))),"")</f>
        <v/>
      </c>
      <c r="L40" s="39">
        <f>IFERROR(INDEX(tblRisks[Action status],MATCH(LARGE(tblRisks[Sort key],10),tblRisks[Sort key],0))&amp;"","")</f>
        <v/>
      </c>
    </row>
    <row r="42" spans="2:12">
      <c r="B42" s="31" t="s">
        <v>234</v>
      </c>
      <c r="C42" s="31"/>
      <c r="D42" s="31"/>
      <c r="E42" s="31"/>
      <c r="F42" s="31"/>
      <c r="G42" s="31"/>
      <c r="H42" s="31"/>
    </row>
    <row r="43" spans="2:12">
      <c r="B43" s="49" t="s">
        <v>235</v>
      </c>
      <c r="C43" s="33" t="s">
        <v>236</v>
      </c>
      <c r="D43" s="33" t="s">
        <v>237</v>
      </c>
      <c r="E43" s="33" t="s">
        <v>238</v>
      </c>
      <c r="F43" s="33" t="s">
        <v>239</v>
      </c>
      <c r="G43" s="33" t="s">
        <v>240</v>
      </c>
      <c r="H43" s="33" t="s">
        <v>241</v>
      </c>
    </row>
    <row r="44" spans="2:12">
      <c r="B44" s="50" t="s">
        <v>242</v>
      </c>
      <c r="C44" s="52">
        <f>COUNTIFS(tblRisks[Severity],"&gt;="&amp;9,tblRisks[Severity],"&lt;="&amp;9+1,tblRisks[Occurrence],"&gt;="&amp;1,tblRisks[Occurrence],"&lt;="&amp;1+1,tblRisks[Priority],"&lt;&gt;Closed")</f>
        <v>0</v>
      </c>
      <c r="D44" s="52">
        <f>COUNTIFS(tblRisks[Severity],"&gt;="&amp;9,tblRisks[Severity],"&lt;="&amp;9+1,tblRisks[Occurrence],"&gt;="&amp;3,tblRisks[Occurrence],"&lt;="&amp;3+1,tblRisks[Priority],"&lt;&gt;Closed")</f>
        <v>2</v>
      </c>
      <c r="E44" s="52">
        <f>COUNTIFS(tblRisks[Severity],"&gt;="&amp;9,tblRisks[Severity],"&lt;="&amp;9+1,tblRisks[Occurrence],"&gt;="&amp;5,tblRisks[Occurrence],"&lt;="&amp;5+1,tblRisks[Priority],"&lt;&gt;Closed")</f>
        <v>0</v>
      </c>
      <c r="F44" s="52">
        <f>COUNTIFS(tblRisks[Severity],"&gt;="&amp;9,tblRisks[Severity],"&lt;="&amp;9+1,tblRisks[Occurrence],"&gt;="&amp;7,tblRisks[Occurrence],"&lt;="&amp;7+1,tblRisks[Priority],"&lt;&gt;Closed")</f>
        <v>0</v>
      </c>
      <c r="G44" s="52">
        <f>COUNTIFS(tblRisks[Severity],"&gt;="&amp;9,tblRisks[Severity],"&lt;="&amp;9+1,tblRisks[Occurrence],"&gt;="&amp;9,tblRisks[Occurrence],"&lt;="&amp;9+1,tblRisks[Priority],"&lt;&gt;Closed")</f>
        <v>0</v>
      </c>
      <c r="H44" s="51">
        <f>SUM($C$44:$G$44)</f>
        <v>2</v>
      </c>
    </row>
    <row r="45" spans="2:12">
      <c r="B45" s="50" t="s">
        <v>243</v>
      </c>
      <c r="C45" s="52">
        <f>COUNTIFS(tblRisks[Severity],"&gt;="&amp;7,tblRisks[Severity],"&lt;="&amp;7+1,tblRisks[Occurrence],"&gt;="&amp;1,tblRisks[Occurrence],"&lt;="&amp;1+1,tblRisks[Priority],"&lt;&gt;Closed")</f>
        <v>2</v>
      </c>
      <c r="D45" s="52">
        <f>COUNTIFS(tblRisks[Severity],"&gt;="&amp;7,tblRisks[Severity],"&lt;="&amp;7+1,tblRisks[Occurrence],"&gt;="&amp;3,tblRisks[Occurrence],"&lt;="&amp;3+1,tblRisks[Priority],"&lt;&gt;Closed")</f>
        <v>3</v>
      </c>
      <c r="E45" s="52">
        <f>COUNTIFS(tblRisks[Severity],"&gt;="&amp;7,tblRisks[Severity],"&lt;="&amp;7+1,tblRisks[Occurrence],"&gt;="&amp;5,tblRisks[Occurrence],"&lt;="&amp;5+1,tblRisks[Priority],"&lt;&gt;Closed")</f>
        <v>3</v>
      </c>
      <c r="F45" s="52">
        <f>COUNTIFS(tblRisks[Severity],"&gt;="&amp;7,tblRisks[Severity],"&lt;="&amp;7+1,tblRisks[Occurrence],"&gt;="&amp;7,tblRisks[Occurrence],"&lt;="&amp;7+1,tblRisks[Priority],"&lt;&gt;Closed")</f>
        <v>0</v>
      </c>
      <c r="G45" s="52">
        <f>COUNTIFS(tblRisks[Severity],"&gt;="&amp;7,tblRisks[Severity],"&lt;="&amp;7+1,tblRisks[Occurrence],"&gt;="&amp;9,tblRisks[Occurrence],"&lt;="&amp;9+1,tblRisks[Priority],"&lt;&gt;Closed")</f>
        <v>0</v>
      </c>
      <c r="H45" s="51">
        <f>SUM($C$45:$G$45)</f>
        <v>8</v>
      </c>
    </row>
    <row r="46" spans="2:12">
      <c r="B46" s="50" t="s">
        <v>244</v>
      </c>
      <c r="C46" s="52">
        <f>COUNTIFS(tblRisks[Severity],"&gt;="&amp;5,tblRisks[Severity],"&lt;="&amp;5+1,tblRisks[Occurrence],"&gt;="&amp;1,tblRisks[Occurrence],"&lt;="&amp;1+1,tblRisks[Priority],"&lt;&gt;Closed")</f>
        <v>1</v>
      </c>
      <c r="D46" s="52">
        <f>COUNTIFS(tblRisks[Severity],"&gt;="&amp;5,tblRisks[Severity],"&lt;="&amp;5+1,tblRisks[Occurrence],"&gt;="&amp;3,tblRisks[Occurrence],"&lt;="&amp;3+1,tblRisks[Priority],"&lt;&gt;Closed")</f>
        <v>7</v>
      </c>
      <c r="E46" s="52">
        <f>COUNTIFS(tblRisks[Severity],"&gt;="&amp;5,tblRisks[Severity],"&lt;="&amp;5+1,tblRisks[Occurrence],"&gt;="&amp;5,tblRisks[Occurrence],"&lt;="&amp;5+1,tblRisks[Priority],"&lt;&gt;Closed")</f>
        <v>3</v>
      </c>
      <c r="F46" s="52">
        <f>COUNTIFS(tblRisks[Severity],"&gt;="&amp;5,tblRisks[Severity],"&lt;="&amp;5+1,tblRisks[Occurrence],"&gt;="&amp;7,tblRisks[Occurrence],"&lt;="&amp;7+1,tblRisks[Priority],"&lt;&gt;Closed")</f>
        <v>0</v>
      </c>
      <c r="G46" s="52">
        <f>COUNTIFS(tblRisks[Severity],"&gt;="&amp;5,tblRisks[Severity],"&lt;="&amp;5+1,tblRisks[Occurrence],"&gt;="&amp;9,tblRisks[Occurrence],"&lt;="&amp;9+1,tblRisks[Priority],"&lt;&gt;Closed")</f>
        <v>0</v>
      </c>
      <c r="H46" s="51">
        <f>SUM($C$46:$G$46)</f>
        <v>11</v>
      </c>
    </row>
    <row r="47" spans="2:12">
      <c r="B47" s="50" t="s">
        <v>245</v>
      </c>
      <c r="C47" s="52">
        <f>COUNTIFS(tblRisks[Severity],"&gt;="&amp;3,tblRisks[Severity],"&lt;="&amp;3+1,tblRisks[Occurrence],"&gt;="&amp;1,tblRisks[Occurrence],"&lt;="&amp;1+1,tblRisks[Priority],"&lt;&gt;Closed")</f>
        <v>0</v>
      </c>
      <c r="D47" s="52">
        <f>COUNTIFS(tblRisks[Severity],"&gt;="&amp;3,tblRisks[Severity],"&lt;="&amp;3+1,tblRisks[Occurrence],"&gt;="&amp;3,tblRisks[Occurrence],"&lt;="&amp;3+1,tblRisks[Priority],"&lt;&gt;Closed")</f>
        <v>1</v>
      </c>
      <c r="E47" s="52">
        <f>COUNTIFS(tblRisks[Severity],"&gt;="&amp;3,tblRisks[Severity],"&lt;="&amp;3+1,tblRisks[Occurrence],"&gt;="&amp;5,tblRisks[Occurrence],"&lt;="&amp;5+1,tblRisks[Priority],"&lt;&gt;Closed")</f>
        <v>1</v>
      </c>
      <c r="F47" s="52">
        <f>COUNTIFS(tblRisks[Severity],"&gt;="&amp;3,tblRisks[Severity],"&lt;="&amp;3+1,tblRisks[Occurrence],"&gt;="&amp;7,tblRisks[Occurrence],"&lt;="&amp;7+1,tblRisks[Priority],"&lt;&gt;Closed")</f>
        <v>0</v>
      </c>
      <c r="G47" s="52">
        <f>COUNTIFS(tblRisks[Severity],"&gt;="&amp;3,tblRisks[Severity],"&lt;="&amp;3+1,tblRisks[Occurrence],"&gt;="&amp;9,tblRisks[Occurrence],"&lt;="&amp;9+1,tblRisks[Priority],"&lt;&gt;Closed")</f>
        <v>0</v>
      </c>
      <c r="H47" s="51">
        <f>SUM($C$47:$G$47)</f>
        <v>2</v>
      </c>
    </row>
    <row r="48" spans="2:12">
      <c r="B48" s="50" t="s">
        <v>246</v>
      </c>
      <c r="C48" s="52">
        <f>COUNTIFS(tblRisks[Severity],"&gt;="&amp;1,tblRisks[Severity],"&lt;="&amp;1+1,tblRisks[Occurrence],"&gt;="&amp;1,tblRisks[Occurrence],"&lt;="&amp;1+1,tblRisks[Priority],"&lt;&gt;Closed")</f>
        <v>0</v>
      </c>
      <c r="D48" s="52">
        <f>COUNTIFS(tblRisks[Severity],"&gt;="&amp;1,tblRisks[Severity],"&lt;="&amp;1+1,tblRisks[Occurrence],"&gt;="&amp;3,tblRisks[Occurrence],"&lt;="&amp;3+1,tblRisks[Priority],"&lt;&gt;Closed")</f>
        <v>0</v>
      </c>
      <c r="E48" s="52">
        <f>COUNTIFS(tblRisks[Severity],"&gt;="&amp;1,tblRisks[Severity],"&lt;="&amp;1+1,tblRisks[Occurrence],"&gt;="&amp;5,tblRisks[Occurrence],"&lt;="&amp;5+1,tblRisks[Priority],"&lt;&gt;Closed")</f>
        <v>0</v>
      </c>
      <c r="F48" s="52">
        <f>COUNTIFS(tblRisks[Severity],"&gt;="&amp;1,tblRisks[Severity],"&lt;="&amp;1+1,tblRisks[Occurrence],"&gt;="&amp;7,tblRisks[Occurrence],"&lt;="&amp;7+1,tblRisks[Priority],"&lt;&gt;Closed")</f>
        <v>0</v>
      </c>
      <c r="G48" s="52">
        <f>COUNTIFS(tblRisks[Severity],"&gt;="&amp;1,tblRisks[Severity],"&lt;="&amp;1+1,tblRisks[Occurrence],"&gt;="&amp;9,tblRisks[Occurrence],"&lt;="&amp;9+1,tblRisks[Priority],"&lt;&gt;Closed")</f>
        <v>0</v>
      </c>
      <c r="H48" s="51">
        <f>SUM($C$48:$G$48)</f>
        <v>0</v>
      </c>
    </row>
    <row r="49" spans="2:10">
      <c r="B49" s="54" t="s">
        <v>241</v>
      </c>
      <c r="C49" s="55">
        <f>SUM($C$44:$C$48)</f>
        <v>3</v>
      </c>
      <c r="D49" s="55">
        <f>SUM($D$44:$D$48)</f>
        <v>13</v>
      </c>
      <c r="E49" s="55">
        <f>SUM($E$44:$E$48)</f>
        <v>7</v>
      </c>
      <c r="F49" s="55">
        <f>SUM($F$44:$F$48)</f>
        <v>0</v>
      </c>
      <c r="G49" s="55">
        <f>SUM($G$44:$G$48)</f>
        <v>0</v>
      </c>
      <c r="H49" s="54"/>
    </row>
    <row r="51" spans="2:10">
      <c r="B51" s="31" t="s">
        <v>247</v>
      </c>
      <c r="C51" s="31"/>
      <c r="D51" s="31"/>
      <c r="E51" s="31"/>
      <c r="F51" s="31"/>
      <c r="G51" s="31"/>
      <c r="H51" s="31"/>
      <c r="I51" s="31"/>
      <c r="J51" s="31"/>
    </row>
    <row r="52" spans="2:10" ht="32" customHeight="1">
      <c r="B52" s="49" t="s">
        <v>60</v>
      </c>
      <c r="C52" s="33" t="s">
        <v>63</v>
      </c>
      <c r="D52" s="33" t="s">
        <v>64</v>
      </c>
      <c r="E52" s="33" t="s">
        <v>248</v>
      </c>
      <c r="F52" s="33" t="s">
        <v>249</v>
      </c>
      <c r="G52" s="33" t="s">
        <v>250</v>
      </c>
      <c r="H52" s="33" t="s">
        <v>251</v>
      </c>
      <c r="I52" s="33" t="s">
        <v>252</v>
      </c>
      <c r="J52" s="33"/>
    </row>
    <row r="53" spans="2:10" ht="14" customHeight="1">
      <c r="B53" s="32"/>
      <c r="C53" s="32" t="str">
        <f>Currency</f>
        <v>EUR</v>
      </c>
      <c r="D53" s="32"/>
      <c r="E53" s="32" t="s">
        <v>253</v>
      </c>
      <c r="F53" s="32" t="s">
        <v>253</v>
      </c>
      <c r="G53" s="32" t="s">
        <v>254</v>
      </c>
      <c r="H53" s="32" t="s">
        <v>73</v>
      </c>
      <c r="I53" s="32" t="str">
        <f>Currency</f>
        <v>EUR</v>
      </c>
      <c r="J53" s="32"/>
    </row>
    <row r="54" spans="2:10">
      <c r="B54" s="50" t="str">
        <f>IFERROR(INDEX(tblSuppliers[Supplier],1)&amp;"","")</f>
        <v>Kallax Gearmotors</v>
      </c>
      <c r="C54" s="37">
        <f>IF($B$54="","",INDEX(tblSuppliers[Annual spend],1))</f>
        <v>1850000</v>
      </c>
      <c r="D54" s="39" t="str">
        <f>IF($B$54="","",INDEX(tblSuppliers[Single source],1)&amp;"")</f>
        <v>Yes</v>
      </c>
      <c r="E54" s="37">
        <f>IF($B$54="","",COUNTIFS(tblRisks[Supplier],$B$54,tblRisks[Priority],"Act"))</f>
        <v>2</v>
      </c>
      <c r="F54" s="37">
        <f>IF($B$54="","",COUNTIFS(tblRisks[Supplier],$B$54,tblRisks[Priority],"Monitor"))</f>
        <v>1</v>
      </c>
      <c r="G54" s="37">
        <f>IF($B$54="","",COUNTIFS(tblRisks[Supplier],$B$54,tblRisks[Action status],"Overdue"))</f>
        <v>2</v>
      </c>
      <c r="H54" s="37">
        <f>IF($B$54="","",SUMPRODUCT(MAX((tblRisks[Supplier]=$B$54)*(tblRisks[Priority]&lt;&gt;"Closed")*tblRisks[RPN])))</f>
        <v>126</v>
      </c>
      <c r="I54" s="37">
        <f>IF($B$54="","",IF($E$54&gt;0,$C$54,0))</f>
        <v>1850000</v>
      </c>
      <c r="J54" s="37"/>
    </row>
    <row r="55" spans="2:10">
      <c r="B55" s="50" t="str">
        <f>IFERROR(INDEX(tblSuppliers[Supplier],2)&amp;"","")</f>
        <v>Ostra Steel Service</v>
      </c>
      <c r="C55" s="37">
        <f>IF($B$55="","",INDEX(tblSuppliers[Annual spend],2))</f>
        <v>2400000</v>
      </c>
      <c r="D55" s="39" t="str">
        <f>IF($B$55="","",INDEX(tblSuppliers[Single source],2)&amp;"")</f>
        <v>No</v>
      </c>
      <c r="E55" s="37">
        <f>IF($B$55="","",COUNTIFS(tblRisks[Supplier],$B$55,tblRisks[Priority],"Act"))</f>
        <v>0</v>
      </c>
      <c r="F55" s="37">
        <f>IF($B$55="","",COUNTIFS(tblRisks[Supplier],$B$55,tblRisks[Priority],"Monitor"))</f>
        <v>3</v>
      </c>
      <c r="G55" s="37">
        <f>IF($B$55="","",COUNTIFS(tblRisks[Supplier],$B$55,tblRisks[Action status],"Overdue"))</f>
        <v>0</v>
      </c>
      <c r="H55" s="37">
        <f>IF($B$55="","",SUMPRODUCT(MAX((tblRisks[Supplier]=$B$55)*(tblRisks[Priority]&lt;&gt;"Closed")*tblRisks[RPN])))</f>
        <v>80</v>
      </c>
      <c r="I55" s="37">
        <f>IF($B$55="","",IF($E$55&gt;0,$C$55,0))</f>
        <v>0</v>
      </c>
      <c r="J55" s="37"/>
    </row>
    <row r="56" spans="2:10">
      <c r="B56" s="50" t="str">
        <f>IFERROR(INDEX(tblSuppliers[Supplier],3)&amp;"","")</f>
        <v>Linden Belting</v>
      </c>
      <c r="C56" s="37">
        <f>IF($B$56="","",INDEX(tblSuppliers[Annual spend],3))</f>
        <v>950000</v>
      </c>
      <c r="D56" s="39" t="str">
        <f>IF($B$56="","",INDEX(tblSuppliers[Single source],3)&amp;"")</f>
        <v>Yes</v>
      </c>
      <c r="E56" s="37">
        <f>IF($B$56="","",COUNTIFS(tblRisks[Supplier],$B$56,tblRisks[Priority],"Act"))</f>
        <v>1</v>
      </c>
      <c r="F56" s="37">
        <f>IF($B$56="","",COUNTIFS(tblRisks[Supplier],$B$56,tblRisks[Priority],"Monitor"))</f>
        <v>2</v>
      </c>
      <c r="G56" s="37">
        <f>IF($B$56="","",COUNTIFS(tblRisks[Supplier],$B$56,tblRisks[Action status],"Overdue"))</f>
        <v>1</v>
      </c>
      <c r="H56" s="37">
        <f>IF($B$56="","",SUMPRODUCT(MAX((tblRisks[Supplier]=$B$56)*(tblRisks[Priority]&lt;&gt;"Closed")*tblRisks[RPN])))</f>
        <v>135</v>
      </c>
      <c r="I56" s="37">
        <f>IF($B$56="","",IF($E$56&gt;0,$C$56,0))</f>
        <v>950000</v>
      </c>
      <c r="J56" s="37"/>
    </row>
    <row r="57" spans="2:10">
      <c r="B57" s="50" t="str">
        <f>IFERROR(INDEX(tblSuppliers[Supplier],4)&amp;"","")</f>
        <v>Tarn Bearings</v>
      </c>
      <c r="C57" s="37">
        <f>IF($B$57="","",INDEX(tblSuppliers[Annual spend],4))</f>
        <v>620000</v>
      </c>
      <c r="D57" s="39" t="str">
        <f>IF($B$57="","",INDEX(tblSuppliers[Single source],4)&amp;"")</f>
        <v>No</v>
      </c>
      <c r="E57" s="37">
        <f>IF($B$57="","",COUNTIFS(tblRisks[Supplier],$B$57,tblRisks[Priority],"Act"))</f>
        <v>0</v>
      </c>
      <c r="F57" s="37">
        <f>IF($B$57="","",COUNTIFS(tblRisks[Supplier],$B$57,tblRisks[Priority],"Monitor"))</f>
        <v>2</v>
      </c>
      <c r="G57" s="37">
        <f>IF($B$57="","",COUNTIFS(tblRisks[Supplier],$B$57,tblRisks[Action status],"Overdue"))</f>
        <v>0</v>
      </c>
      <c r="H57" s="37">
        <f>IF($B$57="","",SUMPRODUCT(MAX((tblRisks[Supplier]=$B$57)*(tblRisks[Priority]&lt;&gt;"Closed")*tblRisks[RPN])))</f>
        <v>75</v>
      </c>
      <c r="I57" s="37">
        <f>IF($B$57="","",IF($E$57&gt;0,$C$57,0))</f>
        <v>0</v>
      </c>
      <c r="J57" s="37"/>
    </row>
    <row r="58" spans="2:10">
      <c r="B58" s="50" t="str">
        <f>IFERROR(INDEX(tblSuppliers[Supplier],5)&amp;"","")</f>
        <v>Vireo Controls</v>
      </c>
      <c r="C58" s="37">
        <f>IF($B$58="","",INDEX(tblSuppliers[Annual spend],5))</f>
        <v>1300000</v>
      </c>
      <c r="D58" s="39" t="str">
        <f>IF($B$58="","",INDEX(tblSuppliers[Single source],5)&amp;"")</f>
        <v>Yes</v>
      </c>
      <c r="E58" s="37">
        <f>IF($B$58="","",COUNTIFS(tblRisks[Supplier],$B$58,tblRisks[Priority],"Act"))</f>
        <v>1</v>
      </c>
      <c r="F58" s="37">
        <f>IF($B$58="","",COUNTIFS(tblRisks[Supplier],$B$58,tblRisks[Priority],"Monitor"))</f>
        <v>2</v>
      </c>
      <c r="G58" s="37">
        <f>IF($B$58="","",COUNTIFS(tblRisks[Supplier],$B$58,tblRisks[Action status],"Overdue"))</f>
        <v>0</v>
      </c>
      <c r="H58" s="37">
        <f>IF($B$58="","",SUMPRODUCT(MAX((tblRisks[Supplier]=$B$58)*(tblRisks[Priority]&lt;&gt;"Closed")*tblRisks[RPN])))</f>
        <v>105</v>
      </c>
      <c r="I58" s="37">
        <f>IF($B$58="","",IF($E$58&gt;0,$C$58,0))</f>
        <v>1300000</v>
      </c>
      <c r="J58" s="37"/>
    </row>
    <row r="59" spans="2:10">
      <c r="B59" s="50" t="str">
        <f>IFERROR(INDEX(tblSuppliers[Supplier],6)&amp;"","")</f>
        <v>Sundra Castings</v>
      </c>
      <c r="C59" s="37">
        <f>IF($B$59="","",INDEX(tblSuppliers[Annual spend],6))</f>
        <v>480000</v>
      </c>
      <c r="D59" s="39" t="str">
        <f>IF($B$59="","",INDEX(tblSuppliers[Single source],6)&amp;"")</f>
        <v>No</v>
      </c>
      <c r="E59" s="37">
        <f>IF($B$59="","",COUNTIFS(tblRisks[Supplier],$B$59,tblRisks[Priority],"Act"))</f>
        <v>2</v>
      </c>
      <c r="F59" s="37">
        <f>IF($B$59="","",COUNTIFS(tblRisks[Supplier],$B$59,tblRisks[Priority],"Monitor"))</f>
        <v>2</v>
      </c>
      <c r="G59" s="37">
        <f>IF($B$59="","",COUNTIFS(tblRisks[Supplier],$B$59,tblRisks[Action status],"Overdue"))</f>
        <v>0</v>
      </c>
      <c r="H59" s="37">
        <f>IF($B$59="","",SUMPRODUCT(MAX((tblRisks[Supplier]=$B$59)*(tblRisks[Priority]&lt;&gt;"Closed")*tblRisks[RPN])))</f>
        <v>144</v>
      </c>
      <c r="I59" s="37">
        <f>IF($B$59="","",IF($E$59&gt;0,$C$59,0))</f>
        <v>480000</v>
      </c>
      <c r="J59" s="37"/>
    </row>
    <row r="60" spans="2:10">
      <c r="B60" s="50" t="str">
        <f>IFERROR(INDEX(tblSuppliers[Supplier],7)&amp;"","")</f>
        <v>Hollin Fasteners</v>
      </c>
      <c r="C60" s="37">
        <f>IF($B$60="","",INDEX(tblSuppliers[Annual spend],7))</f>
        <v>210000</v>
      </c>
      <c r="D60" s="39" t="str">
        <f>IF($B$60="","",INDEX(tblSuppliers[Single source],7)&amp;"")</f>
        <v>No</v>
      </c>
      <c r="E60" s="37">
        <f>IF($B$60="","",COUNTIFS(tblRisks[Supplier],$B$60,tblRisks[Priority],"Act"))</f>
        <v>0</v>
      </c>
      <c r="F60" s="37">
        <f>IF($B$60="","",COUNTIFS(tblRisks[Supplier],$B$60,tblRisks[Priority],"Monitor"))</f>
        <v>2</v>
      </c>
      <c r="G60" s="37">
        <f>IF($B$60="","",COUNTIFS(tblRisks[Supplier],$B$60,tblRisks[Action status],"Overdue"))</f>
        <v>0</v>
      </c>
      <c r="H60" s="37">
        <f>IF($B$60="","",SUMPRODUCT(MAX((tblRisks[Supplier]=$B$60)*(tblRisks[Priority]&lt;&gt;"Closed")*tblRisks[RPN])))</f>
        <v>45</v>
      </c>
      <c r="I60" s="37">
        <f>IF($B$60="","",IF($E$60&gt;0,$C$60,0))</f>
        <v>0</v>
      </c>
      <c r="J60" s="37"/>
    </row>
    <row r="61" spans="2:10">
      <c r="B61" s="50" t="str">
        <f>IFERROR(INDEX(tblSuppliers[Supplier],8)&amp;"","")</f>
        <v>Porto Rollers</v>
      </c>
      <c r="C61" s="37">
        <f>IF($B$61="","",INDEX(tblSuppliers[Annual spend],8))</f>
        <v>770000</v>
      </c>
      <c r="D61" s="39" t="str">
        <f>IF($B$61="","",INDEX(tblSuppliers[Single source],8)&amp;"")</f>
        <v>No</v>
      </c>
      <c r="E61" s="37">
        <f>IF($B$61="","",COUNTIFS(tblRisks[Supplier],$B$61,tblRisks[Priority],"Act"))</f>
        <v>0</v>
      </c>
      <c r="F61" s="37">
        <f>IF($B$61="","",COUNTIFS(tblRisks[Supplier],$B$61,tblRisks[Priority],"Monitor"))</f>
        <v>3</v>
      </c>
      <c r="G61" s="37">
        <f>IF($B$61="","",COUNTIFS(tblRisks[Supplier],$B$61,tblRisks[Action status],"Overdue"))</f>
        <v>0</v>
      </c>
      <c r="H61" s="37">
        <f>IF($B$61="","",SUMPRODUCT(MAX((tblRisks[Supplier]=$B$61)*(tblRisks[Priority]&lt;&gt;"Closed")*tblRisks[RPN])))</f>
        <v>75</v>
      </c>
      <c r="I61" s="37">
        <f>IF($B$61="","",IF($E$61&gt;0,$C$61,0))</f>
        <v>0</v>
      </c>
      <c r="J61" s="37"/>
    </row>
    <row r="63" spans="2:10">
      <c r="B63" s="31" t="s">
        <v>255</v>
      </c>
      <c r="C63" s="31"/>
      <c r="D63" s="31"/>
      <c r="E63" s="31"/>
      <c r="F63" s="31"/>
      <c r="G63" s="31"/>
      <c r="H63" s="31"/>
    </row>
    <row r="64" spans="2:10" ht="32" customHeight="1">
      <c r="B64" s="49" t="s">
        <v>65</v>
      </c>
      <c r="C64" s="33" t="s">
        <v>248</v>
      </c>
      <c r="D64" s="33" t="s">
        <v>249</v>
      </c>
      <c r="E64" s="33" t="s">
        <v>139</v>
      </c>
      <c r="F64" s="33" t="s">
        <v>250</v>
      </c>
      <c r="G64" s="33" t="s">
        <v>251</v>
      </c>
      <c r="H64" s="33"/>
    </row>
    <row r="65" spans="2:12" ht="14" customHeight="1">
      <c r="B65" s="32"/>
      <c r="C65" s="32" t="s">
        <v>253</v>
      </c>
      <c r="D65" s="32" t="s">
        <v>253</v>
      </c>
      <c r="E65" s="32" t="s">
        <v>253</v>
      </c>
      <c r="F65" s="32" t="s">
        <v>254</v>
      </c>
      <c r="G65" s="32" t="s">
        <v>73</v>
      </c>
      <c r="H65" s="32"/>
    </row>
    <row r="66" spans="2:12">
      <c r="B66" s="50" t="str">
        <f>IFERROR(INDEX(tblRiskCats[Category],1)&amp;"","")</f>
        <v>Quality</v>
      </c>
      <c r="C66" s="37">
        <f>IF($B$66="","",COUNTIFS(tblRisks[Category],$B$66,tblRisks[Priority],"Act"))</f>
        <v>2</v>
      </c>
      <c r="D66" s="37">
        <f>IF($B$66="","",COUNTIFS(tblRisks[Category],$B$66,tblRisks[Priority],"Monitor"))</f>
        <v>2</v>
      </c>
      <c r="E66" s="37">
        <f>IF($B$66="","",COUNTIFS(tblRisks[Category],$B$66,tblRisks[Priority],"Closed"))</f>
        <v>1</v>
      </c>
      <c r="F66" s="37">
        <f>IF($B$66="","",COUNTIFS(tblRisks[Category],$B$66,tblRisks[Action status],"Overdue"))</f>
        <v>0</v>
      </c>
      <c r="G66" s="37">
        <f>IF($B$66="","",SUMPRODUCT(MAX((tblRisks[Category]=$B$66)*(tblRisks[Priority]&lt;&gt;"Closed")*tblRisks[RPN])))</f>
        <v>140</v>
      </c>
      <c r="H66" s="37"/>
    </row>
    <row r="67" spans="2:12">
      <c r="B67" s="50" t="str">
        <f>IFERROR(INDEX(tblRiskCats[Category],2)&amp;"","")</f>
        <v>Delivery and capacity</v>
      </c>
      <c r="C67" s="37">
        <f>IF($B$67="","",COUNTIFS(tblRisks[Category],$B$67,tblRisks[Priority],"Act"))</f>
        <v>2</v>
      </c>
      <c r="D67" s="37">
        <f>IF($B$67="","",COUNTIFS(tblRisks[Category],$B$67,tblRisks[Priority],"Monitor"))</f>
        <v>3</v>
      </c>
      <c r="E67" s="37">
        <f>IF($B$67="","",COUNTIFS(tblRisks[Category],$B$67,tblRisks[Priority],"Closed"))</f>
        <v>0</v>
      </c>
      <c r="F67" s="37">
        <f>IF($B$67="","",COUNTIFS(tblRisks[Category],$B$67,tblRisks[Action status],"Overdue"))</f>
        <v>1</v>
      </c>
      <c r="G67" s="37">
        <f>IF($B$67="","",SUMPRODUCT(MAX((tblRisks[Category]=$B$67)*(tblRisks[Priority]&lt;&gt;"Closed")*tblRisks[RPN])))</f>
        <v>126</v>
      </c>
      <c r="H67" s="37"/>
    </row>
    <row r="68" spans="2:12">
      <c r="B68" s="50" t="str">
        <f>IFERROR(INDEX(tblRiskCats[Category],3)&amp;"","")</f>
        <v>Single source</v>
      </c>
      <c r="C68" s="37">
        <f>IF($B$68="","",COUNTIFS(tblRisks[Category],$B$68,tblRisks[Priority],"Act"))</f>
        <v>1</v>
      </c>
      <c r="D68" s="37">
        <f>IF($B$68="","",COUNTIFS(tblRisks[Category],$B$68,tblRisks[Priority],"Monitor"))</f>
        <v>1</v>
      </c>
      <c r="E68" s="37">
        <f>IF($B$68="","",COUNTIFS(tblRisks[Category],$B$68,tblRisks[Priority],"Closed"))</f>
        <v>1</v>
      </c>
      <c r="F68" s="37">
        <f>IF($B$68="","",COUNTIFS(tblRisks[Category],$B$68,tblRisks[Action status],"Overdue"))</f>
        <v>1</v>
      </c>
      <c r="G68" s="37">
        <f>IF($B$68="","",SUMPRODUCT(MAX((tblRisks[Category]=$B$68)*(tblRisks[Priority]&lt;&gt;"Closed")*tblRisks[RPN])))</f>
        <v>108</v>
      </c>
      <c r="H68" s="37"/>
    </row>
    <row r="69" spans="2:12">
      <c r="B69" s="50" t="str">
        <f>IFERROR(INDEX(tblRiskCats[Category],4)&amp;"","")</f>
        <v>Financial</v>
      </c>
      <c r="C69" s="37">
        <f>IF($B$69="","",COUNTIFS(tblRisks[Category],$B$69,tblRisks[Priority],"Act"))</f>
        <v>1</v>
      </c>
      <c r="D69" s="37">
        <f>IF($B$69="","",COUNTIFS(tblRisks[Category],$B$69,tblRisks[Priority],"Monitor"))</f>
        <v>2</v>
      </c>
      <c r="E69" s="37">
        <f>IF($B$69="","",COUNTIFS(tblRisks[Category],$B$69,tblRisks[Priority],"Closed"))</f>
        <v>0</v>
      </c>
      <c r="F69" s="37">
        <f>IF($B$69="","",COUNTIFS(tblRisks[Category],$B$69,tblRisks[Action status],"Overdue"))</f>
        <v>0</v>
      </c>
      <c r="G69" s="37">
        <f>IF($B$69="","",SUMPRODUCT(MAX((tblRisks[Category]=$B$69)*(tblRisks[Priority]&lt;&gt;"Closed")*tblRisks[RPN])))</f>
        <v>144</v>
      </c>
      <c r="H69" s="37"/>
    </row>
    <row r="70" spans="2:12">
      <c r="B70" s="50" t="str">
        <f>IFERROR(INDEX(tblRiskCats[Category],5)&amp;"","")</f>
        <v>Trade and tariffs</v>
      </c>
      <c r="C70" s="37">
        <f>IF($B$70="","",COUNTIFS(tblRisks[Category],$B$70,tblRisks[Priority],"Act"))</f>
        <v>0</v>
      </c>
      <c r="D70" s="37">
        <f>IF($B$70="","",COUNTIFS(tblRisks[Category],$B$70,tblRisks[Priority],"Monitor"))</f>
        <v>4</v>
      </c>
      <c r="E70" s="37">
        <f>IF($B$70="","",COUNTIFS(tblRisks[Category],$B$70,tblRisks[Priority],"Closed"))</f>
        <v>0</v>
      </c>
      <c r="F70" s="37">
        <f>IF($B$70="","",COUNTIFS(tblRisks[Category],$B$70,tblRisks[Action status],"Overdue"))</f>
        <v>0</v>
      </c>
      <c r="G70" s="37">
        <f>IF($B$70="","",SUMPRODUCT(MAX((tblRisks[Category]=$B$70)*(tblRisks[Priority]&lt;&gt;"Closed")*tblRisks[RPN])))</f>
        <v>90</v>
      </c>
      <c r="H70" s="37"/>
    </row>
    <row r="71" spans="2:12">
      <c r="B71" s="50" t="str">
        <f>IFERROR(INDEX(tblRiskCats[Category],6)&amp;"","")</f>
        <v>Natural hazard</v>
      </c>
      <c r="C71" s="37">
        <f>IF($B$71="","",COUNTIFS(tblRisks[Category],$B$71,tblRisks[Priority],"Act"))</f>
        <v>0</v>
      </c>
      <c r="D71" s="37">
        <f>IF($B$71="","",COUNTIFS(tblRisks[Category],$B$71,tblRisks[Priority],"Monitor"))</f>
        <v>2</v>
      </c>
      <c r="E71" s="37">
        <f>IF($B$71="","",COUNTIFS(tblRisks[Category],$B$71,tblRisks[Priority],"Closed"))</f>
        <v>0</v>
      </c>
      <c r="F71" s="37">
        <f>IF($B$71="","",COUNTIFS(tblRisks[Category],$B$71,tblRisks[Action status],"Overdue"))</f>
        <v>0</v>
      </c>
      <c r="G71" s="37">
        <f>IF($B$71="","",SUMPRODUCT(MAX((tblRisks[Category]=$B$71)*(tblRisks[Priority]&lt;&gt;"Closed")*tblRisks[RPN])))</f>
        <v>32</v>
      </c>
      <c r="H71" s="37"/>
    </row>
    <row r="72" spans="2:12">
      <c r="B72" s="50" t="str">
        <f>IFERROR(INDEX(tblRiskCats[Category],7)&amp;"","")</f>
        <v>Cyber and IT</v>
      </c>
      <c r="C72" s="37">
        <f>IF($B$72="","",COUNTIFS(tblRisks[Category],$B$72,tblRisks[Priority],"Act"))</f>
        <v>0</v>
      </c>
      <c r="D72" s="37">
        <f>IF($B$72="","",COUNTIFS(tblRisks[Category],$B$72,tblRisks[Priority],"Monitor"))</f>
        <v>2</v>
      </c>
      <c r="E72" s="37">
        <f>IF($B$72="","",COUNTIFS(tblRisks[Category],$B$72,tblRisks[Priority],"Closed"))</f>
        <v>0</v>
      </c>
      <c r="F72" s="37">
        <f>IF($B$72="","",COUNTIFS(tblRisks[Category],$B$72,tblRisks[Action status],"Overdue"))</f>
        <v>1</v>
      </c>
      <c r="G72" s="37">
        <f>IF($B$72="","",SUMPRODUCT(MAX((tblRisks[Category]=$B$72)*(tblRisks[Priority]&lt;&gt;"Closed")*tblRisks[RPN])))</f>
        <v>84</v>
      </c>
      <c r="H72" s="37"/>
    </row>
    <row r="73" spans="2:12">
      <c r="B73" s="50" t="str">
        <f>IFERROR(INDEX(tblRiskCats[Category],8)&amp;"","")</f>
        <v>Compliance</v>
      </c>
      <c r="C73" s="37">
        <f>IF($B$73="","",COUNTIFS(tblRisks[Category],$B$73,tblRisks[Priority],"Act"))</f>
        <v>0</v>
      </c>
      <c r="D73" s="37">
        <f>IF($B$73="","",COUNTIFS(tblRisks[Category],$B$73,tblRisks[Priority],"Monitor"))</f>
        <v>1</v>
      </c>
      <c r="E73" s="37">
        <f>IF($B$73="","",COUNTIFS(tblRisks[Category],$B$73,tblRisks[Priority],"Closed"))</f>
        <v>1</v>
      </c>
      <c r="F73" s="37">
        <f>IF($B$73="","",COUNTIFS(tblRisks[Category],$B$73,tblRisks[Action status],"Overdue"))</f>
        <v>0</v>
      </c>
      <c r="G73" s="37">
        <f>IF($B$73="","",SUMPRODUCT(MAX((tblRisks[Category]=$B$73)*(tblRisks[Priority]&lt;&gt;"Closed")*tblRisks[RPN])))</f>
        <v>45</v>
      </c>
      <c r="H73" s="37"/>
    </row>
    <row r="74" spans="2:12" ht="8" customHeight="1"/>
    <row r="75" spans="2:12" ht="26.76" customHeight="1">
      <c r="B75" s="21" t="s">
        <v>256</v>
      </c>
      <c r="C75" s="21"/>
      <c r="D75" s="21"/>
      <c r="E75" s="21"/>
      <c r="F75" s="21"/>
      <c r="G75" s="21"/>
      <c r="H75" s="21"/>
      <c r="I75" s="21"/>
      <c r="J75" s="21"/>
      <c r="K75" s="21"/>
      <c r="L75" s="21"/>
    </row>
    <row r="76" spans="2:12">
      <c r="B76" s="56">
        <f>IF(OR(COUNTA(tblSuppliers[Supplier])&gt;8,COUNTA(tblRiskCats[Category])&gt;8),"Setup lists are longer than the Dashboard blocks: some suppliers or categories are not shown.","")</f>
        <v/>
      </c>
      <c r="C76" s="56"/>
      <c r="D76" s="56"/>
      <c r="E76" s="56"/>
      <c r="F76" s="56"/>
      <c r="G76" s="56"/>
      <c r="H76" s="56"/>
      <c r="I76" s="56"/>
      <c r="J76" s="56"/>
      <c r="K76" s="56"/>
      <c r="L76" s="56"/>
    </row>
  </sheetData>
  <sheetProtection sheet="1" formatColumns="0" formatRows="0"/>
  <mergeCells count="57">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L29"/>
    <mergeCell ref="C30:G30"/>
    <mergeCell ref="C31:G31"/>
    <mergeCell ref="C32:G32"/>
    <mergeCell ref="C33:G33"/>
    <mergeCell ref="C34:G34"/>
    <mergeCell ref="C35:G35"/>
    <mergeCell ref="C36:G36"/>
    <mergeCell ref="C37:G37"/>
    <mergeCell ref="C38:G38"/>
    <mergeCell ref="C39:G39"/>
    <mergeCell ref="C40:G40"/>
    <mergeCell ref="B42:H42"/>
    <mergeCell ref="B51:J51"/>
    <mergeCell ref="I52:J52"/>
    <mergeCell ref="I53:J53"/>
    <mergeCell ref="I54:J54"/>
    <mergeCell ref="I55:J55"/>
    <mergeCell ref="I56:J56"/>
    <mergeCell ref="I57:J57"/>
    <mergeCell ref="I58:J58"/>
    <mergeCell ref="I59:J59"/>
    <mergeCell ref="I60:J60"/>
    <mergeCell ref="I61:J61"/>
    <mergeCell ref="B63:H63"/>
    <mergeCell ref="G64:H64"/>
    <mergeCell ref="G65:H65"/>
    <mergeCell ref="G66:H66"/>
    <mergeCell ref="G67:H67"/>
    <mergeCell ref="G68:H68"/>
    <mergeCell ref="G69:H69"/>
    <mergeCell ref="G70:H70"/>
    <mergeCell ref="G71:H71"/>
    <mergeCell ref="G72:H72"/>
    <mergeCell ref="G73:H73"/>
    <mergeCell ref="B75:L75"/>
    <mergeCell ref="B76:L76"/>
  </mergeCells>
  <conditionalFormatting sqref="D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L31:L40">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Supplier Risk Assessment&amp;R&amp;8&amp;A</oddHeader>
    <oddFooter>&amp;L&amp;8mfgcalcs.com - free manufacturing templates&amp;R&amp;8Page &amp;P of &amp;N</oddFooter>
  </headerFooter>
  <rowBreaks count="2" manualBreakCount="2">
    <brk id="28" max="16383" man="1"/>
    <brk id="50"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257</v>
      </c>
      <c r="C4" s="8"/>
      <c r="D4" s="8"/>
    </row>
    <row r="5" spans="1:4" ht="5" customHeight="1"/>
    <row r="6" spans="1:4" ht="55.8" customHeight="1">
      <c r="B6" s="10" t="s">
        <v>258</v>
      </c>
      <c r="C6" s="10"/>
      <c r="D6" s="10"/>
    </row>
    <row r="8" spans="1:4" ht="21" customHeight="1">
      <c r="B8" s="8" t="s">
        <v>259</v>
      </c>
      <c r="C8" s="8"/>
      <c r="D8" s="8"/>
    </row>
    <row r="9" spans="1:4" ht="5" customHeight="1"/>
    <row r="10" spans="1:4" ht="20" customHeight="1">
      <c r="B10" s="49" t="s">
        <v>260</v>
      </c>
      <c r="C10" s="49" t="s">
        <v>261</v>
      </c>
      <c r="D10" s="33" t="s">
        <v>262</v>
      </c>
    </row>
    <row r="11" spans="1:4" ht="30.4" customHeight="1">
      <c r="B11" s="57" t="s">
        <v>73</v>
      </c>
      <c r="C11" s="58" t="s">
        <v>263</v>
      </c>
      <c r="D11" s="59" t="s">
        <v>264</v>
      </c>
    </row>
    <row r="12" spans="1:4" ht="17.2" customHeight="1">
      <c r="B12" s="57" t="s">
        <v>132</v>
      </c>
      <c r="C12" s="58" t="s">
        <v>265</v>
      </c>
      <c r="D12" s="59" t="s">
        <v>266</v>
      </c>
    </row>
    <row r="13" spans="1:4" ht="17.2" customHeight="1">
      <c r="B13" s="57" t="s">
        <v>133</v>
      </c>
      <c r="C13" s="58" t="s">
        <v>267</v>
      </c>
      <c r="D13" s="59" t="s">
        <v>73</v>
      </c>
    </row>
    <row r="14" spans="1:4" ht="30.4" customHeight="1">
      <c r="B14" s="57" t="s">
        <v>134</v>
      </c>
      <c r="C14" s="58" t="s">
        <v>268</v>
      </c>
      <c r="D14" s="59" t="s">
        <v>269</v>
      </c>
    </row>
    <row r="15" spans="1:4" ht="17.2" customHeight="1">
      <c r="B15" s="57" t="s">
        <v>135</v>
      </c>
      <c r="C15" s="58" t="s">
        <v>270</v>
      </c>
      <c r="D15" s="59" t="s">
        <v>269</v>
      </c>
    </row>
    <row r="16" spans="1:4" ht="43.6" customHeight="1">
      <c r="B16" s="57" t="s">
        <v>140</v>
      </c>
      <c r="C16" s="58" t="s">
        <v>271</v>
      </c>
      <c r="D16" s="59" t="s">
        <v>269</v>
      </c>
    </row>
    <row r="17" spans="2:4" ht="43.6" customHeight="1">
      <c r="B17" s="57" t="s">
        <v>272</v>
      </c>
      <c r="C17" s="58" t="s">
        <v>273</v>
      </c>
      <c r="D17" s="59" t="s">
        <v>269</v>
      </c>
    </row>
    <row r="18" spans="2:4" ht="30.4" customHeight="1">
      <c r="B18" s="57" t="s">
        <v>274</v>
      </c>
      <c r="C18" s="58" t="s">
        <v>275</v>
      </c>
      <c r="D18" s="59" t="s">
        <v>276</v>
      </c>
    </row>
    <row r="19" spans="2:4" ht="30.4" customHeight="1">
      <c r="B19" s="57" t="s">
        <v>251</v>
      </c>
      <c r="C19" s="58" t="s">
        <v>277</v>
      </c>
      <c r="D19" s="59" t="s">
        <v>73</v>
      </c>
    </row>
    <row r="20" spans="2:4" ht="30.4" customHeight="1">
      <c r="B20" s="57" t="s">
        <v>252</v>
      </c>
      <c r="C20" s="58" t="s">
        <v>278</v>
      </c>
      <c r="D20" s="59" t="s">
        <v>279</v>
      </c>
    </row>
    <row r="21" spans="2:4" ht="30.4" customHeight="1">
      <c r="B21" s="57" t="s">
        <v>280</v>
      </c>
      <c r="C21" s="58" t="s">
        <v>281</v>
      </c>
      <c r="D21" s="59" t="s">
        <v>276</v>
      </c>
    </row>
    <row r="23" spans="2:4" ht="21" customHeight="1">
      <c r="B23" s="8" t="s">
        <v>282</v>
      </c>
      <c r="C23" s="8"/>
      <c r="D23" s="8"/>
    </row>
    <row r="24" spans="2:4" ht="5" customHeight="1"/>
    <row r="25" spans="2:4" ht="29.4" customHeight="1">
      <c r="B25" s="26" t="s">
        <v>53</v>
      </c>
      <c r="C25" s="10" t="s">
        <v>283</v>
      </c>
      <c r="D25" s="10"/>
    </row>
    <row r="26" spans="2:4" ht="16.2" customHeight="1">
      <c r="B26" s="26" t="s">
        <v>53</v>
      </c>
      <c r="C26" s="10" t="s">
        <v>284</v>
      </c>
      <c r="D26" s="10"/>
    </row>
    <row r="27" spans="2:4" ht="29.4" customHeight="1">
      <c r="B27" s="26" t="s">
        <v>53</v>
      </c>
      <c r="C27" s="10" t="s">
        <v>285</v>
      </c>
      <c r="D27" s="10"/>
    </row>
    <row r="28" spans="2:4" ht="16.2" customHeight="1">
      <c r="B28" s="26" t="s">
        <v>53</v>
      </c>
      <c r="C28" s="10" t="s">
        <v>286</v>
      </c>
      <c r="D28" s="10"/>
    </row>
    <row r="30" spans="2:4" ht="21" customHeight="1">
      <c r="B30" s="8" t="s">
        <v>287</v>
      </c>
      <c r="C30" s="8"/>
      <c r="D30" s="8"/>
    </row>
    <row r="31" spans="2:4" ht="5" customHeight="1"/>
    <row r="32" spans="2:4" ht="29.4" customHeight="1">
      <c r="B32" s="26" t="s">
        <v>53</v>
      </c>
      <c r="C32" s="10" t="s">
        <v>288</v>
      </c>
      <c r="D32" s="10"/>
    </row>
    <row r="33" spans="2:4" ht="29.4" customHeight="1">
      <c r="B33" s="26" t="s">
        <v>53</v>
      </c>
      <c r="C33" s="10" t="s">
        <v>289</v>
      </c>
      <c r="D33" s="10"/>
    </row>
    <row r="34" spans="2:4" ht="29.4" customHeight="1">
      <c r="B34" s="26" t="s">
        <v>53</v>
      </c>
      <c r="C34" s="10" t="s">
        <v>290</v>
      </c>
      <c r="D34" s="10"/>
    </row>
    <row r="35" spans="2:4" ht="29.4" customHeight="1">
      <c r="B35" s="26" t="s">
        <v>53</v>
      </c>
      <c r="C35" s="10" t="s">
        <v>291</v>
      </c>
      <c r="D35" s="10"/>
    </row>
    <row r="37" spans="2:4" ht="21" customHeight="1">
      <c r="B37" s="8" t="s">
        <v>292</v>
      </c>
      <c r="C37" s="8"/>
      <c r="D37" s="8"/>
    </row>
    <row r="38" spans="2:4" ht="5" customHeight="1"/>
    <row r="39" spans="2:4" ht="69" customHeight="1">
      <c r="B39" s="10" t="s">
        <v>293</v>
      </c>
      <c r="C39" s="10"/>
      <c r="D39" s="10"/>
    </row>
    <row r="40" spans="2:4">
      <c r="B40" s="24" t="s">
        <v>294</v>
      </c>
      <c r="C40" s="24"/>
      <c r="D40" s="24"/>
    </row>
    <row r="42" spans="2:4" ht="21" customHeight="1">
      <c r="B42" s="8" t="s">
        <v>40</v>
      </c>
      <c r="C42" s="8"/>
      <c r="D42" s="8"/>
    </row>
    <row r="43" spans="2:4" ht="5" customHeight="1"/>
    <row r="44" spans="2:4" ht="42.6" customHeight="1">
      <c r="B44" s="10" t="s">
        <v>295</v>
      </c>
      <c r="C44" s="10"/>
      <c r="D44" s="10"/>
    </row>
    <row r="46" spans="2:4" ht="21" customHeight="1">
      <c r="B46" s="8" t="s">
        <v>296</v>
      </c>
      <c r="C46" s="8"/>
      <c r="D46" s="8"/>
    </row>
    <row r="47" spans="2:4" ht="5" customHeight="1"/>
    <row r="48" spans="2:4" ht="29.4" customHeight="1">
      <c r="B48" s="26" t="s">
        <v>53</v>
      </c>
      <c r="C48" s="10" t="s">
        <v>297</v>
      </c>
      <c r="D48" s="10"/>
    </row>
    <row r="49" spans="2:4" ht="29.4" customHeight="1">
      <c r="B49" s="26" t="s">
        <v>53</v>
      </c>
      <c r="C49" s="10" t="s">
        <v>298</v>
      </c>
      <c r="D49" s="10"/>
    </row>
    <row r="50" spans="2:4" ht="16.2" customHeight="1">
      <c r="B50" s="26" t="s">
        <v>53</v>
      </c>
      <c r="C50" s="10" t="s">
        <v>299</v>
      </c>
      <c r="D50" s="10"/>
    </row>
    <row r="51" spans="2:4" ht="29.4" customHeight="1">
      <c r="B51" s="26" t="s">
        <v>53</v>
      </c>
      <c r="C51" s="10" t="s">
        <v>300</v>
      </c>
      <c r="D51" s="10"/>
    </row>
    <row r="52" spans="2:4">
      <c r="B52" s="21" t="s">
        <v>301</v>
      </c>
      <c r="C52" s="21"/>
      <c r="D52" s="21"/>
    </row>
    <row r="54" spans="2:4" ht="21" customHeight="1">
      <c r="B54" s="8" t="s">
        <v>302</v>
      </c>
      <c r="C54" s="8"/>
      <c r="D54" s="8"/>
    </row>
    <row r="55" spans="2:4" ht="5" customHeight="1"/>
    <row r="56" spans="2:4">
      <c r="B56" s="49" t="s">
        <v>48</v>
      </c>
      <c r="C56" s="49" t="s">
        <v>303</v>
      </c>
      <c r="D56" s="33" t="s">
        <v>304</v>
      </c>
    </row>
    <row r="57" spans="2:4" ht="16.2" customHeight="1">
      <c r="B57" s="60" t="s">
        <v>305</v>
      </c>
      <c r="C57" s="61" t="s">
        <v>306</v>
      </c>
      <c r="D57" s="62" t="s">
        <v>307</v>
      </c>
    </row>
    <row r="59" spans="2:4">
      <c r="B59" s="21" t="s">
        <v>59</v>
      </c>
      <c r="C59" s="21"/>
      <c r="D59" s="21"/>
    </row>
  </sheetData>
  <sheetProtection sheet="1" formatColumns="0" formatRows="0"/>
  <mergeCells count="28">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C51:D51"/>
    <mergeCell ref="B52:D52"/>
    <mergeCell ref="B54:D54"/>
    <mergeCell ref="B59:D59"/>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Supplier Risk Assessment&amp;R&amp;8&amp;A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V58"/>
  <sheetViews>
    <sheetView showGridLines="0" workbookViewId="0"/>
  </sheetViews>
  <sheetFormatPr defaultRowHeight="15"/>
  <cols>
    <col min="1" max="1" width="2.7109375" customWidth="1"/>
    <col min="2" max="19" width="12.7109375" customWidth="1"/>
    <col min="20" max="20" width="10.7109375" customWidth="1"/>
    <col min="21" max="21" width="26.7109375" customWidth="1"/>
    <col min="22" max="22" width="30.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26</v>
      </c>
      <c r="C2" s="2"/>
      <c r="D2" s="2"/>
      <c r="E2" s="2"/>
      <c r="F2" s="2"/>
      <c r="G2" s="2"/>
      <c r="H2" s="2"/>
      <c r="I2" s="2"/>
      <c r="J2" s="2"/>
      <c r="K2" s="2"/>
      <c r="L2" s="2"/>
      <c r="M2" s="2"/>
      <c r="N2" s="2"/>
      <c r="O2" s="2"/>
      <c r="P2" s="2"/>
      <c r="Q2" s="2"/>
      <c r="R2" s="2"/>
      <c r="S2" s="2"/>
      <c r="T2" s="2"/>
      <c r="U2" s="2"/>
      <c r="V2" s="3" t="s">
        <v>2</v>
      </c>
    </row>
    <row r="3" spans="1:22" ht="6" customHeight="1"/>
    <row r="4" spans="1:22" ht="30" customHeight="1">
      <c r="B4" s="63" t="s">
        <v>308</v>
      </c>
      <c r="C4" s="63"/>
      <c r="D4" s="22" t="str">
        <f>IF(COUNTIF($K$11:$K$34,"PASS")=24,"PASS","FAIL")</f>
        <v>PASS</v>
      </c>
      <c r="E4" s="22"/>
      <c r="F4" s="23" t="str">
        <f>COUNTIF($K$11:$K$34,"PASS")&amp;" of 24 checks pass"</f>
        <v>24 of 24 checks pass</v>
      </c>
      <c r="G4" s="23"/>
      <c r="H4" s="23"/>
      <c r="I4" s="23"/>
      <c r="J4" s="23"/>
    </row>
    <row r="6" spans="1:22" ht="29.4" customHeight="1">
      <c r="B6" s="10" t="s">
        <v>309</v>
      </c>
      <c r="C6" s="10"/>
      <c r="D6" s="10"/>
      <c r="E6" s="10"/>
      <c r="F6" s="10"/>
      <c r="G6" s="10"/>
      <c r="H6" s="10"/>
      <c r="I6" s="10"/>
      <c r="J6" s="10"/>
      <c r="K6" s="10"/>
      <c r="L6" s="10"/>
    </row>
    <row r="8" spans="1:22" ht="21" customHeight="1">
      <c r="B8" s="8" t="s">
        <v>310</v>
      </c>
      <c r="C8" s="8"/>
      <c r="D8" s="8"/>
      <c r="E8" s="8"/>
      <c r="F8" s="8"/>
      <c r="G8" s="8"/>
      <c r="H8" s="8"/>
      <c r="I8" s="8"/>
      <c r="J8" s="8"/>
      <c r="K8" s="8"/>
      <c r="L8" s="8"/>
    </row>
    <row r="9" spans="1:22" ht="5" customHeight="1"/>
    <row r="10" spans="1:22" ht="30" customHeight="1">
      <c r="B10" s="33" t="s">
        <v>311</v>
      </c>
      <c r="C10" s="49" t="s">
        <v>142</v>
      </c>
      <c r="D10" s="49"/>
      <c r="E10" s="49"/>
      <c r="F10" s="49"/>
      <c r="G10" s="33" t="s">
        <v>312</v>
      </c>
      <c r="H10" s="33" t="s">
        <v>313</v>
      </c>
      <c r="I10" s="33" t="s">
        <v>314</v>
      </c>
      <c r="J10" s="33" t="s">
        <v>315</v>
      </c>
      <c r="K10" s="33" t="s">
        <v>316</v>
      </c>
    </row>
    <row r="11" spans="1:22" ht="16.2" customHeight="1">
      <c r="B11" s="64">
        <v>1</v>
      </c>
      <c r="C11" s="61" t="s">
        <v>317</v>
      </c>
      <c r="D11" s="61"/>
      <c r="E11" s="61"/>
      <c r="F11" s="61"/>
      <c r="G11" s="65">
        <v>72</v>
      </c>
      <c r="H11" s="37">
        <f>$J$54</f>
        <v>72</v>
      </c>
      <c r="I11" s="66">
        <f>IF(AND(ISNUMBER($G$11),ISNUMBER($H$11)),ABS($H$11-$G$11),"")</f>
        <v>0</v>
      </c>
      <c r="J11" s="67">
        <v>1E-09</v>
      </c>
      <c r="K11" s="39" t="str">
        <f>IF(AND(ISNUMBER($G$11),ISNUMBER($H$11)),IF(ABS($H$11-$G$11)&lt;=$J$11,"PASS","FAIL"),"FAIL")</f>
        <v>PASS</v>
      </c>
    </row>
    <row r="12" spans="1:22" ht="16.2" customHeight="1">
      <c r="B12" s="64">
        <v>2</v>
      </c>
      <c r="C12" s="61" t="s">
        <v>318</v>
      </c>
      <c r="D12" s="61"/>
      <c r="E12" s="61"/>
      <c r="F12" s="61"/>
      <c r="G12" s="60" t="s">
        <v>249</v>
      </c>
      <c r="H12" s="35" t="str">
        <f>$M$54</f>
        <v>Monitor</v>
      </c>
      <c r="I12" s="35"/>
      <c r="J12" s="62" t="s">
        <v>319</v>
      </c>
      <c r="K12" s="39" t="str">
        <f>IF($H$12&amp;""=$G$12&amp;"","PASS","FAIL")</f>
        <v>PASS</v>
      </c>
    </row>
    <row r="13" spans="1:22" ht="16.2" customHeight="1">
      <c r="B13" s="64">
        <v>3</v>
      </c>
      <c r="C13" s="61" t="s">
        <v>320</v>
      </c>
      <c r="D13" s="61"/>
      <c r="E13" s="61"/>
      <c r="F13" s="61"/>
      <c r="G13" s="65">
        <v>36</v>
      </c>
      <c r="H13" s="37">
        <f>$J$55</f>
        <v>36</v>
      </c>
      <c r="I13" s="66">
        <f>IF(AND(ISNUMBER($G$13),ISNUMBER($H$13)),ABS($H$13-$G$13),"")</f>
        <v>0</v>
      </c>
      <c r="J13" s="67">
        <v>1E-09</v>
      </c>
      <c r="K13" s="39" t="str">
        <f>IF(AND(ISNUMBER($G$13),ISNUMBER($H$13)),IF(ABS($H$13-$G$13)&lt;=$J$13,"PASS","FAIL"),"FAIL")</f>
        <v>PASS</v>
      </c>
    </row>
    <row r="14" spans="1:22" ht="16.2" customHeight="1">
      <c r="B14" s="64">
        <v>4</v>
      </c>
      <c r="C14" s="61" t="s">
        <v>321</v>
      </c>
      <c r="D14" s="61"/>
      <c r="E14" s="61"/>
      <c r="F14" s="61"/>
      <c r="G14" s="60" t="s">
        <v>248</v>
      </c>
      <c r="H14" s="35" t="str">
        <f>$M$55</f>
        <v>Act</v>
      </c>
      <c r="I14" s="35"/>
      <c r="J14" s="62" t="s">
        <v>319</v>
      </c>
      <c r="K14" s="39" t="str">
        <f>IF($H$14&amp;""=$G$14&amp;"","PASS","FAIL")</f>
        <v>PASS</v>
      </c>
    </row>
    <row r="15" spans="1:22" ht="16.2" customHeight="1">
      <c r="B15" s="64">
        <v>5</v>
      </c>
      <c r="C15" s="61" t="s">
        <v>322</v>
      </c>
      <c r="D15" s="61"/>
      <c r="E15" s="61"/>
      <c r="F15" s="61"/>
      <c r="G15" s="65">
        <v>120</v>
      </c>
      <c r="H15" s="37">
        <f>$J$56</f>
        <v>120</v>
      </c>
      <c r="I15" s="66">
        <f>IF(AND(ISNUMBER($G$15),ISNUMBER($H$15)),ABS($H$15-$G$15),"")</f>
        <v>0</v>
      </c>
      <c r="J15" s="67">
        <v>1E-09</v>
      </c>
      <c r="K15" s="39" t="str">
        <f>IF(AND(ISNUMBER($G$15),ISNUMBER($H$15)),IF(ABS($H$15-$G$15)&lt;=$J$15,"PASS","FAIL"),"FAIL")</f>
        <v>PASS</v>
      </c>
    </row>
    <row r="16" spans="1:22" ht="16.2" customHeight="1">
      <c r="B16" s="64">
        <v>6</v>
      </c>
      <c r="C16" s="61" t="s">
        <v>323</v>
      </c>
      <c r="D16" s="61"/>
      <c r="E16" s="61"/>
      <c r="F16" s="61"/>
      <c r="G16" s="60" t="s">
        <v>248</v>
      </c>
      <c r="H16" s="35" t="str">
        <f>$M$56</f>
        <v>Act</v>
      </c>
      <c r="I16" s="35"/>
      <c r="J16" s="62" t="s">
        <v>319</v>
      </c>
      <c r="K16" s="39" t="str">
        <f>IF($H$16&amp;""=$G$16&amp;"","PASS","FAIL")</f>
        <v>PASS</v>
      </c>
    </row>
    <row r="17" spans="2:11" ht="16.2" customHeight="1">
      <c r="B17" s="64">
        <v>7</v>
      </c>
      <c r="C17" s="61" t="s">
        <v>324</v>
      </c>
      <c r="D17" s="61"/>
      <c r="E17" s="61"/>
      <c r="F17" s="61"/>
      <c r="G17" s="65">
        <v>150</v>
      </c>
      <c r="H17" s="37">
        <f>$J$57</f>
        <v>150</v>
      </c>
      <c r="I17" s="66">
        <f>IF(AND(ISNUMBER($G$17),ISNUMBER($H$17)),ABS($H$17-$G$17),"")</f>
        <v>0</v>
      </c>
      <c r="J17" s="67">
        <v>1E-09</v>
      </c>
      <c r="K17" s="39" t="str">
        <f>IF(AND(ISNUMBER($G$17),ISNUMBER($H$17)),IF(ABS($H$17-$G$17)&lt;=$J$17,"PASS","FAIL"),"FAIL")</f>
        <v>PASS</v>
      </c>
    </row>
    <row r="18" spans="2:11" ht="16.2" customHeight="1">
      <c r="B18" s="64">
        <v>8</v>
      </c>
      <c r="C18" s="61" t="s">
        <v>325</v>
      </c>
      <c r="D18" s="61"/>
      <c r="E18" s="61"/>
      <c r="F18" s="61"/>
      <c r="G18" s="60" t="s">
        <v>139</v>
      </c>
      <c r="H18" s="35" t="str">
        <f>$M$57</f>
        <v>Closed</v>
      </c>
      <c r="I18" s="35"/>
      <c r="J18" s="62" t="s">
        <v>319</v>
      </c>
      <c r="K18" s="39" t="str">
        <f>IF($H$18&amp;""=$G$18&amp;"","PASS","FAIL")</f>
        <v>PASS</v>
      </c>
    </row>
    <row r="19" spans="2:11" ht="16.2" customHeight="1">
      <c r="B19" s="64">
        <v>9</v>
      </c>
      <c r="C19" s="61" t="s">
        <v>326</v>
      </c>
      <c r="D19" s="61"/>
      <c r="E19" s="61"/>
      <c r="F19" s="61"/>
      <c r="G19" s="65">
        <v>140</v>
      </c>
      <c r="H19" s="37">
        <f>$J$58</f>
        <v>140</v>
      </c>
      <c r="I19" s="66">
        <f>IF(AND(ISNUMBER($G$19),ISNUMBER($H$19)),ABS($H$19-$G$19),"")</f>
        <v>0</v>
      </c>
      <c r="J19" s="67">
        <v>1E-09</v>
      </c>
      <c r="K19" s="39" t="str">
        <f>IF(AND(ISNUMBER($G$19),ISNUMBER($H$19)),IF(ABS($H$19-$G$19)&lt;=$J$19,"PASS","FAIL"),"FAIL")</f>
        <v>PASS</v>
      </c>
    </row>
    <row r="20" spans="2:11" ht="16.2" customHeight="1">
      <c r="B20" s="64">
        <v>10</v>
      </c>
      <c r="C20" s="61" t="s">
        <v>327</v>
      </c>
      <c r="D20" s="61"/>
      <c r="E20" s="61"/>
      <c r="F20" s="61"/>
      <c r="G20" s="60" t="s">
        <v>248</v>
      </c>
      <c r="H20" s="35" t="str">
        <f>$M$58</f>
        <v>Act</v>
      </c>
      <c r="I20" s="35"/>
      <c r="J20" s="62" t="s">
        <v>319</v>
      </c>
      <c r="K20" s="39" t="str">
        <f>IF($H$20&amp;""=$G$20&amp;"","PASS","FAIL")</f>
        <v>PASS</v>
      </c>
    </row>
    <row r="21" spans="2:11" ht="16.2" customHeight="1">
      <c r="B21" s="64">
        <v>11</v>
      </c>
      <c r="C21" s="61" t="s">
        <v>328</v>
      </c>
      <c r="D21" s="61"/>
      <c r="E21" s="61"/>
      <c r="F21" s="61"/>
      <c r="G21" s="65">
        <v>24</v>
      </c>
      <c r="H21" s="37">
        <f>$K$54</f>
        <v>24</v>
      </c>
      <c r="I21" s="66">
        <f>IF(AND(ISNUMBER($G$21),ISNUMBER($H$21)),ABS($H$21-$G$21),"")</f>
        <v>0</v>
      </c>
      <c r="J21" s="67">
        <v>1E-09</v>
      </c>
      <c r="K21" s="39" t="str">
        <f>IF(AND(ISNUMBER($G$21),ISNUMBER($H$21)),IF(ABS($H$21-$G$21)&lt;=$J$21,"PASS","FAIL"),"FAIL")</f>
        <v>PASS</v>
      </c>
    </row>
    <row r="22" spans="2:11" ht="16.2" customHeight="1">
      <c r="B22" s="64">
        <v>12</v>
      </c>
      <c r="C22" s="61" t="s">
        <v>329</v>
      </c>
      <c r="D22" s="61"/>
      <c r="E22" s="61"/>
      <c r="F22" s="61"/>
      <c r="G22" s="68">
        <v>-28</v>
      </c>
      <c r="H22" s="38">
        <f>$L$54</f>
        <v>-28</v>
      </c>
      <c r="I22" s="66">
        <f>IF(AND(ISNUMBER($G$22),ISNUMBER($H$22)),ABS($H$22-$G$22),"")</f>
        <v>0</v>
      </c>
      <c r="J22" s="67">
        <v>1E-09</v>
      </c>
      <c r="K22" s="39" t="str">
        <f>IF(AND(ISNUMBER($G$22),ISNUMBER($H$22)),IF(ABS($H$22-$G$22)&lt;=$J$22,"PASS","FAIL"),"FAIL")</f>
        <v>PASS</v>
      </c>
    </row>
    <row r="23" spans="2:11" ht="16.2" customHeight="1">
      <c r="B23" s="64">
        <v>13</v>
      </c>
      <c r="C23" s="61" t="s">
        <v>330</v>
      </c>
      <c r="D23" s="61"/>
      <c r="E23" s="61"/>
      <c r="F23" s="61"/>
      <c r="G23" s="60" t="s">
        <v>331</v>
      </c>
      <c r="H23" s="35" t="str">
        <f>$N$55</f>
        <v>Severity at or over floor</v>
      </c>
      <c r="I23" s="35"/>
      <c r="J23" s="62" t="s">
        <v>319</v>
      </c>
      <c r="K23" s="39" t="str">
        <f>IF($H$23&amp;""=$G$23&amp;"","PASS","FAIL")</f>
        <v>PASS</v>
      </c>
    </row>
    <row r="24" spans="2:11" ht="16.2" customHeight="1">
      <c r="B24" s="64">
        <v>14</v>
      </c>
      <c r="C24" s="61" t="s">
        <v>332</v>
      </c>
      <c r="D24" s="61"/>
      <c r="E24" s="61"/>
      <c r="F24" s="61"/>
      <c r="G24" s="60" t="s">
        <v>333</v>
      </c>
      <c r="H24" s="35" t="str">
        <f>$S$55</f>
        <v>Overdue</v>
      </c>
      <c r="I24" s="35"/>
      <c r="J24" s="62" t="s">
        <v>319</v>
      </c>
      <c r="K24" s="39" t="str">
        <f>IF($H$24&amp;""=$G$24&amp;"","PASS","FAIL")</f>
        <v>PASS</v>
      </c>
    </row>
    <row r="25" spans="2:11" ht="16.2" customHeight="1">
      <c r="B25" s="64">
        <v>15</v>
      </c>
      <c r="C25" s="61" t="s">
        <v>334</v>
      </c>
      <c r="D25" s="61"/>
      <c r="E25" s="61"/>
      <c r="F25" s="61"/>
      <c r="G25" s="60" t="s">
        <v>335</v>
      </c>
      <c r="H25" s="35" t="str">
        <f>$N$56</f>
        <v>RPN at or over threshold</v>
      </c>
      <c r="I25" s="35"/>
      <c r="J25" s="62" t="s">
        <v>319</v>
      </c>
      <c r="K25" s="39" t="str">
        <f>IF($H$25&amp;""=$G$25&amp;"","PASS","FAIL")</f>
        <v>PASS</v>
      </c>
    </row>
    <row r="26" spans="2:11" ht="16.2" customHeight="1">
      <c r="B26" s="64">
        <v>16</v>
      </c>
      <c r="C26" s="61" t="s">
        <v>336</v>
      </c>
      <c r="D26" s="61"/>
      <c r="E26" s="61"/>
      <c r="F26" s="61"/>
      <c r="G26" s="60" t="s">
        <v>337</v>
      </c>
      <c r="H26" s="35" t="str">
        <f>$S$56</f>
        <v>Due soon</v>
      </c>
      <c r="I26" s="35"/>
      <c r="J26" s="62" t="s">
        <v>319</v>
      </c>
      <c r="K26" s="39" t="str">
        <f>IF($H$26&amp;""=$G$26&amp;"","PASS","FAIL")</f>
        <v>PASS</v>
      </c>
    </row>
    <row r="27" spans="2:11" ht="16.2" customHeight="1">
      <c r="B27" s="64">
        <v>17</v>
      </c>
      <c r="C27" s="61" t="s">
        <v>338</v>
      </c>
      <c r="D27" s="61"/>
      <c r="E27" s="61"/>
      <c r="F27" s="61"/>
      <c r="G27" s="60" t="s">
        <v>339</v>
      </c>
      <c r="H27" s="35" t="str">
        <f>$S$57</f>
        <v>Complete</v>
      </c>
      <c r="I27" s="35"/>
      <c r="J27" s="62" t="s">
        <v>319</v>
      </c>
      <c r="K27" s="39" t="str">
        <f>IF($H$27&amp;""=$G$27&amp;"","PASS","FAIL")</f>
        <v>PASS</v>
      </c>
    </row>
    <row r="28" spans="2:11" ht="16.2" customHeight="1">
      <c r="B28" s="64">
        <v>18</v>
      </c>
      <c r="C28" s="61" t="s">
        <v>340</v>
      </c>
      <c r="D28" s="61"/>
      <c r="E28" s="61"/>
      <c r="F28" s="61"/>
      <c r="G28" s="60" t="s">
        <v>341</v>
      </c>
      <c r="H28" s="35" t="str">
        <f>$U$58</f>
        <v>Act risk has no action</v>
      </c>
      <c r="I28" s="35"/>
      <c r="J28" s="62" t="s">
        <v>319</v>
      </c>
      <c r="K28" s="39" t="str">
        <f>IF($H$28&amp;""=$G$28&amp;"","PASS","FAIL")</f>
        <v>PASS</v>
      </c>
    </row>
    <row r="29" spans="2:11" ht="16.2" customHeight="1">
      <c r="B29" s="64">
        <v>19</v>
      </c>
      <c r="C29" s="61" t="s">
        <v>342</v>
      </c>
      <c r="D29" s="61"/>
      <c r="E29" s="61"/>
      <c r="F29" s="61"/>
      <c r="G29" s="60" t="s">
        <v>343</v>
      </c>
      <c r="H29" s="35" t="str">
        <f>$U$54</f>
        <v>OK</v>
      </c>
      <c r="I29" s="35"/>
      <c r="J29" s="62" t="s">
        <v>319</v>
      </c>
      <c r="K29" s="39" t="str">
        <f>IF($H$29&amp;""=$G$29&amp;"","PASS","FAIL")</f>
        <v>PASS</v>
      </c>
    </row>
    <row r="30" spans="2:11" ht="16.2" customHeight="1">
      <c r="B30" s="64">
        <v>20</v>
      </c>
      <c r="C30" s="61" t="s">
        <v>344</v>
      </c>
      <c r="D30" s="61"/>
      <c r="E30" s="61"/>
      <c r="F30" s="61"/>
      <c r="G30" s="65">
        <v>3</v>
      </c>
      <c r="H30" s="37">
        <f>COUNTIFS(tblVerifyRisks[Priority],"Act")</f>
        <v>3</v>
      </c>
      <c r="I30" s="66">
        <f>IF(AND(ISNUMBER($G$30),ISNUMBER($H$30)),ABS($H$30-$G$30),"")</f>
        <v>0</v>
      </c>
      <c r="J30" s="67">
        <v>1E-09</v>
      </c>
      <c r="K30" s="39" t="str">
        <f>IF(AND(ISNUMBER($G$30),ISNUMBER($H$30)),IF(ABS($H$30-$G$30)&lt;=$J$30,"PASS","FAIL"),"FAIL")</f>
        <v>PASS</v>
      </c>
    </row>
    <row r="31" spans="2:11" ht="16.2" customHeight="1">
      <c r="B31" s="64">
        <v>21</v>
      </c>
      <c r="C31" s="61" t="s">
        <v>345</v>
      </c>
      <c r="D31" s="61"/>
      <c r="E31" s="61"/>
      <c r="F31" s="61"/>
      <c r="G31" s="65">
        <v>1</v>
      </c>
      <c r="H31" s="37">
        <f>COUNTIFS(tblVerifyRisks[Action status],"Overdue")</f>
        <v>1</v>
      </c>
      <c r="I31" s="66">
        <f>IF(AND(ISNUMBER($G$31),ISNUMBER($H$31)),ABS($H$31-$G$31),"")</f>
        <v>0</v>
      </c>
      <c r="J31" s="67">
        <v>1E-09</v>
      </c>
      <c r="K31" s="39" t="str">
        <f>IF(AND(ISNUMBER($G$31),ISNUMBER($H$31)),IF(ABS($H$31-$G$31)&lt;=$J$31,"PASS","FAIL"),"FAIL")</f>
        <v>PASS</v>
      </c>
    </row>
    <row r="32" spans="2:11" ht="16.2" customHeight="1">
      <c r="B32" s="64">
        <v>22</v>
      </c>
      <c r="C32" s="61" t="s">
        <v>346</v>
      </c>
      <c r="D32" s="61"/>
      <c r="E32" s="61"/>
      <c r="F32" s="61"/>
      <c r="G32" s="65">
        <v>140</v>
      </c>
      <c r="H32" s="37">
        <f>IF(COUNT(tblVerifyRisks[Sort key])=0,"",INT(MAX(tblVerifyRisks[Sort key])))</f>
        <v>140</v>
      </c>
      <c r="I32" s="66">
        <f>IF(AND(ISNUMBER($G$32),ISNUMBER($H$32)),ABS($H$32-$G$32),"")</f>
        <v>0</v>
      </c>
      <c r="J32" s="67">
        <v>1E-09</v>
      </c>
      <c r="K32" s="39" t="str">
        <f>IF(AND(ISNUMBER($G$32),ISNUMBER($H$32)),IF(ABS($H$32-$G$32)&lt;=$J$32,"PASS","FAIL"),"FAIL")</f>
        <v>PASS</v>
      </c>
    </row>
    <row r="33" spans="2:12" ht="16.2" customHeight="1">
      <c r="B33" s="64">
        <v>23</v>
      </c>
      <c r="C33" s="61" t="s">
        <v>347</v>
      </c>
      <c r="D33" s="61"/>
      <c r="E33" s="61"/>
      <c r="F33" s="61"/>
      <c r="G33" s="65">
        <v>700000</v>
      </c>
      <c r="H33" s="37">
        <f>SUMPRODUCT(tblVerifySuppliers[Annual spend]*(COUNTIFS(tblVerifyRisks[Supplier],tblVerifySuppliers[Supplier],tblVerifyRisks[Priority],"Act")&gt;0))</f>
        <v>700000</v>
      </c>
      <c r="I33" s="66">
        <f>IF(AND(ISNUMBER($G$33),ISNUMBER($H$33)),ABS($H$33-$G$33),"")</f>
        <v>0</v>
      </c>
      <c r="J33" s="67">
        <v>1E-09</v>
      </c>
      <c r="K33" s="39" t="str">
        <f>IF(AND(ISNUMBER($G$33),ISNUMBER($H$33)),IF(ABS($H$33-$G$33)&lt;=$J$33,"PASS","FAIL"),"FAIL")</f>
        <v>PASS</v>
      </c>
    </row>
    <row r="34" spans="2:12" ht="16.2" customHeight="1">
      <c r="B34" s="64">
        <v>24</v>
      </c>
      <c r="C34" s="61" t="s">
        <v>348</v>
      </c>
      <c r="D34" s="61"/>
      <c r="E34" s="61"/>
      <c r="F34" s="61"/>
      <c r="G34" s="60" t="s">
        <v>349</v>
      </c>
      <c r="H34" s="35" t="str">
        <f>IFERROR(INDEX(tblVerifyRisks[ID],MATCH(LARGE(tblVerifyRisks[Sort key],1),tblVerifyRisks[Sort key],0)),"")</f>
        <v>T-5</v>
      </c>
      <c r="I34" s="35"/>
      <c r="J34" s="62" t="s">
        <v>319</v>
      </c>
      <c r="K34" s="39" t="str">
        <f>IF($H$34&amp;""=$G$34&amp;"","PASS","FAIL")</f>
        <v>PASS</v>
      </c>
    </row>
    <row r="36" spans="2:12" ht="21" customHeight="1">
      <c r="B36" s="8" t="s">
        <v>350</v>
      </c>
      <c r="C36" s="8"/>
      <c r="D36" s="8"/>
      <c r="E36" s="8"/>
      <c r="F36" s="8"/>
      <c r="G36" s="8"/>
      <c r="H36" s="8"/>
      <c r="I36" s="8"/>
      <c r="J36" s="8"/>
      <c r="K36" s="8"/>
      <c r="L36" s="8"/>
    </row>
    <row r="37" spans="2:12" ht="5" customHeight="1"/>
    <row r="38" spans="2:12">
      <c r="B38" s="21" t="s">
        <v>351</v>
      </c>
      <c r="C38" s="21"/>
      <c r="D38" s="21"/>
      <c r="E38" s="21"/>
      <c r="F38" s="21"/>
      <c r="G38" s="21"/>
      <c r="H38" s="21"/>
      <c r="I38" s="21"/>
      <c r="J38" s="21"/>
      <c r="K38" s="21"/>
      <c r="L38" s="21"/>
    </row>
    <row r="39" spans="2:12">
      <c r="B39" s="31" t="s">
        <v>352</v>
      </c>
      <c r="C39" s="31"/>
      <c r="D39" s="31"/>
      <c r="E39" s="31"/>
      <c r="F39" s="31"/>
    </row>
    <row r="40" spans="2:12">
      <c r="B40" s="27" t="s">
        <v>353</v>
      </c>
      <c r="C40" s="27"/>
      <c r="D40" s="27"/>
      <c r="E40" s="65">
        <v>100</v>
      </c>
      <c r="F40" s="7"/>
    </row>
    <row r="41" spans="2:12">
      <c r="B41" s="27" t="s">
        <v>354</v>
      </c>
      <c r="C41" s="27"/>
      <c r="D41" s="27"/>
      <c r="E41" s="65">
        <v>9</v>
      </c>
      <c r="F41" s="7"/>
    </row>
    <row r="42" spans="2:12">
      <c r="B42" s="27" t="s">
        <v>355</v>
      </c>
      <c r="C42" s="27"/>
      <c r="D42" s="27"/>
      <c r="E42" s="69">
        <v>46307</v>
      </c>
      <c r="F42" s="7"/>
    </row>
    <row r="43" spans="2:12">
      <c r="B43" s="27" t="s">
        <v>356</v>
      </c>
      <c r="C43" s="27"/>
      <c r="D43" s="27"/>
      <c r="E43" s="65">
        <v>14</v>
      </c>
      <c r="F43" s="7"/>
    </row>
    <row r="45" spans="2:12">
      <c r="B45" s="31" t="s">
        <v>357</v>
      </c>
      <c r="C45" s="31"/>
      <c r="D45" s="31"/>
      <c r="E45" s="31"/>
      <c r="F45" s="31"/>
      <c r="G45" s="31"/>
      <c r="H45" s="31"/>
      <c r="I45" s="31"/>
      <c r="J45" s="31"/>
      <c r="K45" s="31"/>
      <c r="L45" s="31"/>
    </row>
    <row r="46" spans="2:12" ht="14" customHeight="1">
      <c r="B46" s="32"/>
      <c r="C46" s="32"/>
      <c r="D46" s="32"/>
      <c r="E46" s="32" t="str">
        <f>Currency&amp;"/year"</f>
        <v>EUR/year</v>
      </c>
      <c r="F46" s="32"/>
    </row>
    <row r="47" spans="2:12" ht="32" customHeight="1">
      <c r="B47" s="33" t="s">
        <v>60</v>
      </c>
      <c r="C47" s="33" t="s">
        <v>61</v>
      </c>
      <c r="D47" s="33" t="s">
        <v>62</v>
      </c>
      <c r="E47" s="33" t="s">
        <v>63</v>
      </c>
      <c r="F47" s="33" t="s">
        <v>64</v>
      </c>
    </row>
    <row r="48" spans="2:12">
      <c r="B48" s="60" t="s">
        <v>358</v>
      </c>
      <c r="C48" s="60" t="s">
        <v>359</v>
      </c>
      <c r="D48" s="60" t="s">
        <v>149</v>
      </c>
      <c r="E48" s="65">
        <v>500000</v>
      </c>
      <c r="F48" s="60" t="s">
        <v>89</v>
      </c>
    </row>
    <row r="49" spans="2:22">
      <c r="B49" s="60" t="s">
        <v>360</v>
      </c>
      <c r="C49" s="60" t="s">
        <v>361</v>
      </c>
      <c r="D49" s="60" t="s">
        <v>149</v>
      </c>
      <c r="E49" s="65">
        <v>200000</v>
      </c>
      <c r="F49" s="60" t="s">
        <v>93</v>
      </c>
    </row>
    <row r="50" spans="2:22">
      <c r="B50" s="60" t="s">
        <v>362</v>
      </c>
      <c r="C50" s="60" t="s">
        <v>363</v>
      </c>
      <c r="D50" s="60" t="s">
        <v>149</v>
      </c>
      <c r="E50" s="65">
        <v>300000</v>
      </c>
      <c r="F50" s="60" t="s">
        <v>93</v>
      </c>
    </row>
    <row r="52" spans="2:22">
      <c r="B52" s="31" t="s">
        <v>364</v>
      </c>
      <c r="C52" s="31"/>
      <c r="D52" s="31"/>
      <c r="E52" s="31"/>
      <c r="F52" s="31"/>
      <c r="G52" s="31"/>
      <c r="H52" s="31"/>
      <c r="I52" s="31"/>
      <c r="J52" s="31"/>
      <c r="K52" s="31"/>
      <c r="L52" s="31"/>
    </row>
    <row r="53" spans="2:22" ht="32" customHeight="1">
      <c r="B53" s="33" t="s">
        <v>127</v>
      </c>
      <c r="C53" s="33" t="s">
        <v>60</v>
      </c>
      <c r="D53" s="33" t="s">
        <v>61</v>
      </c>
      <c r="E53" s="33" t="s">
        <v>65</v>
      </c>
      <c r="F53" s="33" t="s">
        <v>128</v>
      </c>
      <c r="G53" s="33" t="s">
        <v>129</v>
      </c>
      <c r="H53" s="33" t="s">
        <v>130</v>
      </c>
      <c r="I53" s="33" t="s">
        <v>131</v>
      </c>
      <c r="J53" s="33" t="s">
        <v>73</v>
      </c>
      <c r="K53" s="33" t="s">
        <v>132</v>
      </c>
      <c r="L53" s="33" t="s">
        <v>133</v>
      </c>
      <c r="M53" s="33" t="s">
        <v>134</v>
      </c>
      <c r="N53" s="33" t="s">
        <v>135</v>
      </c>
      <c r="O53" s="33" t="s">
        <v>136</v>
      </c>
      <c r="P53" s="33" t="s">
        <v>137</v>
      </c>
      <c r="Q53" s="33" t="s">
        <v>138</v>
      </c>
      <c r="R53" s="33" t="s">
        <v>139</v>
      </c>
      <c r="S53" s="33" t="s">
        <v>140</v>
      </c>
      <c r="T53" s="33" t="s">
        <v>141</v>
      </c>
      <c r="U53" s="33" t="s">
        <v>142</v>
      </c>
      <c r="V53" s="33" t="s">
        <v>143</v>
      </c>
    </row>
    <row r="54" spans="2:22">
      <c r="B54" s="60" t="s">
        <v>365</v>
      </c>
      <c r="C54" s="60" t="s">
        <v>358</v>
      </c>
      <c r="D54" s="60" t="s">
        <v>359</v>
      </c>
      <c r="E54" s="60" t="s">
        <v>112</v>
      </c>
      <c r="F54" s="60" t="s">
        <v>366</v>
      </c>
      <c r="G54" s="65">
        <v>6</v>
      </c>
      <c r="H54" s="65">
        <v>4</v>
      </c>
      <c r="I54" s="65">
        <v>3</v>
      </c>
      <c r="J54" s="37">
        <f>N(tblVerifyRisks[[#This Row],[Severity]])*N(tblVerifyRisks[[#This Row],[Occurrence]])*N(tblVerifyRisks[[#This Row],[Detection]])</f>
        <v>72</v>
      </c>
      <c r="K54" s="37">
        <f>IF(tblVerifyRisks[[#This Row],[Supplier]]="","",N(tblVerifyRisks[[#This Row],[Severity]])*N(tblVerifyRisks[[#This Row],[Occurrence]]))</f>
        <v>24</v>
      </c>
      <c r="L54" s="38">
        <f>IF(tblVerifyRisks[[#This Row],[Supplier]]="","",tblVerifyRisks[[#This Row],[RPN]]-$E$40)</f>
        <v>-28</v>
      </c>
      <c r="M54" s="39" t="str">
        <f>IF(tblVerifyRisks[[#This Row],[Supplier]]="","",IF(tblVerifyRisks[[#This Row],[Closed]]&lt;&gt;"","Closed",IF(OR(tblVerifyRisks[[#This Row],[RPN]]&gt;=$E$40,tblVerifyRisks[[#This Row],[Severity]]&gt;=$E$41),"Act","Monitor")))</f>
        <v>Monitor</v>
      </c>
      <c r="N54" s="35">
        <f>IF(tblVerifyRisks[[#This Row],[Supplier]]="","",IF(AND(tblVerifyRisks[[#This Row],[RPN]]&gt;=$E$40,tblVerifyRisks[[#This Row],[Severity]]&gt;=$E$41),"RPN and severity",IF(tblVerifyRisks[[#This Row],[RPN]]&gt;=$E$40,"RPN at or over threshold",IF(tblVerifyRisks[[#This Row],[Severity]]&gt;=$E$41,"Severity at or over floor",""))))</f>
        <v/>
      </c>
      <c r="O54" s="60" t="s">
        <v>149</v>
      </c>
      <c r="P54" s="60" t="s">
        <v>149</v>
      </c>
      <c r="Q54" s="69"/>
      <c r="R54" s="69"/>
      <c r="S54" s="39">
        <f>IF(tblVerifyRisks[[#This Row],[Supplier]]="","",IF(tblVerifyRisks[[#This Row],[Closed]]&lt;&gt;"","Complete",IF(tblVerifyRisks[[#This Row],[Due]]="","",IF(tblVerifyRisks[[#This Row],[Due]]&lt;$E$42,"Overdue",IF(tblVerifyRisks[[#This Row],[Due]]&lt;=$E$42+$E$43,"Due soon","In progress")))))</f>
        <v/>
      </c>
      <c r="T54" s="40">
        <f>IF(tblVerifyRisks[[#This Row],[Supplier]]="","",IF(tblVerifyRisks[[#This Row],[Priority]]="Closed","",tblVerifyRisks[[#This Row],[RPN]]+1-ROW()/100000))</f>
        <v>72.99946</v>
      </c>
      <c r="U54" s="41" t="str">
        <f>IF(tblVerifyRisks[[#This Row],[Supplier]]="","",IF(tblVerifyRisks[[#This Row],[ID]]="","Missing id",IF(tblVerifyRisks[[#This Row],[Category]]="","Missing category",IF(tblVerifyRisks[[#This Row],[Severity]]="","Missing severity",IF(tblVerifyRisks[[#This Row],[Occurrence]]="","Missing occurrence",IF(tblVerifyRisks[[#This Row],[Detection]]="","Missing detection",IF(tblVerifyRisks[[#This Row],[Commodity]]="","Supplier not on Setup list",IF(OR(tblVerifyRisks[[#This Row],[Severity]]&lt;1,tblVerifyRisks[[#This Row],[Severity]]&gt;10,tblVerifyRisks[[#This Row],[Occurrence]]&lt;1,tblVerifyRisks[[#This Row],[Occurrence]]&gt;10,tblVerifyRisks[[#This Row],[Detection]]&lt;1,tblVerifyRisks[[#This Row],[Detection]]&gt;10),"Ratings must be 1 to 10",IF(AND(tblVerifyRisks[[#This Row],[Priority]]="Act",tblVerifyRisks[[#This Row],[Action]]=""),"Act risk has no action",IF(AND(tblVerifyRisks[[#This Row],[Priority]]="Act",OR(tblVerifyRisks[[#This Row],[Owner]]="",tblVerifyRisks[[#This Row],[Due]]="")),"Act risk needs owner and due date",IF(COUNTIF(tblVerifyRisks[ID],tblVerifyRisks[[#This Row],[ID]])&gt;1,"Duplicate ID","OK")))))))))))</f>
        <v>OK</v>
      </c>
      <c r="V54" s="60" t="s">
        <v>149</v>
      </c>
    </row>
    <row r="55" spans="2:22">
      <c r="B55" s="60" t="s">
        <v>367</v>
      </c>
      <c r="C55" s="60" t="s">
        <v>358</v>
      </c>
      <c r="D55" s="60" t="s">
        <v>359</v>
      </c>
      <c r="E55" s="60" t="s">
        <v>112</v>
      </c>
      <c r="F55" s="60" t="s">
        <v>368</v>
      </c>
      <c r="G55" s="65">
        <v>9</v>
      </c>
      <c r="H55" s="65">
        <v>2</v>
      </c>
      <c r="I55" s="65">
        <v>2</v>
      </c>
      <c r="J55" s="37">
        <f>N(tblVerifyRisks[[#This Row],[Severity]])*N(tblVerifyRisks[[#This Row],[Occurrence]])*N(tblVerifyRisks[[#This Row],[Detection]])</f>
        <v>36</v>
      </c>
      <c r="K55" s="37">
        <f>IF(tblVerifyRisks[[#This Row],[Supplier]]="","",N(tblVerifyRisks[[#This Row],[Severity]])*N(tblVerifyRisks[[#This Row],[Occurrence]]))</f>
        <v>18</v>
      </c>
      <c r="L55" s="38">
        <f>IF(tblVerifyRisks[[#This Row],[Supplier]]="","",tblVerifyRisks[[#This Row],[RPN]]-$E$40)</f>
        <v>-64</v>
      </c>
      <c r="M55" s="39" t="str">
        <f>IF(tblVerifyRisks[[#This Row],[Supplier]]="","",IF(tblVerifyRisks[[#This Row],[Closed]]&lt;&gt;"","Closed",IF(OR(tblVerifyRisks[[#This Row],[RPN]]&gt;=$E$40,tblVerifyRisks[[#This Row],[Severity]]&gt;=$E$41),"Act","Monitor")))</f>
        <v>Act</v>
      </c>
      <c r="N55" s="35" t="str">
        <f>IF(tblVerifyRisks[[#This Row],[Supplier]]="","",IF(AND(tblVerifyRisks[[#This Row],[RPN]]&gt;=$E$40,tblVerifyRisks[[#This Row],[Severity]]&gt;=$E$41),"RPN and severity",IF(tblVerifyRisks[[#This Row],[RPN]]&gt;=$E$40,"RPN at or over threshold",IF(tblVerifyRisks[[#This Row],[Severity]]&gt;=$E$41,"Severity at or over floor",""))))</f>
        <v>Severity at or over floor</v>
      </c>
      <c r="O55" s="60" t="s">
        <v>369</v>
      </c>
      <c r="P55" s="60" t="s">
        <v>153</v>
      </c>
      <c r="Q55" s="69">
        <v>46304</v>
      </c>
      <c r="R55" s="69"/>
      <c r="S55" s="39" t="str">
        <f>IF(tblVerifyRisks[[#This Row],[Supplier]]="","",IF(tblVerifyRisks[[#This Row],[Closed]]&lt;&gt;"","Complete",IF(tblVerifyRisks[[#This Row],[Due]]="","",IF(tblVerifyRisks[[#This Row],[Due]]&lt;$E$42,"Overdue",IF(tblVerifyRisks[[#This Row],[Due]]&lt;=$E$42+$E$43,"Due soon","In progress")))))</f>
        <v>Overdue</v>
      </c>
      <c r="T55" s="40">
        <f>IF(tblVerifyRisks[[#This Row],[Supplier]]="","",IF(tblVerifyRisks[[#This Row],[Priority]]="Closed","",tblVerifyRisks[[#This Row],[RPN]]+1-ROW()/100000))</f>
        <v>36.99945</v>
      </c>
      <c r="U55" s="41" t="str">
        <f>IF(tblVerifyRisks[[#This Row],[Supplier]]="","",IF(tblVerifyRisks[[#This Row],[ID]]="","Missing id",IF(tblVerifyRisks[[#This Row],[Category]]="","Missing category",IF(tblVerifyRisks[[#This Row],[Severity]]="","Missing severity",IF(tblVerifyRisks[[#This Row],[Occurrence]]="","Missing occurrence",IF(tblVerifyRisks[[#This Row],[Detection]]="","Missing detection",IF(tblVerifyRisks[[#This Row],[Commodity]]="","Supplier not on Setup list",IF(OR(tblVerifyRisks[[#This Row],[Severity]]&lt;1,tblVerifyRisks[[#This Row],[Severity]]&gt;10,tblVerifyRisks[[#This Row],[Occurrence]]&lt;1,tblVerifyRisks[[#This Row],[Occurrence]]&gt;10,tblVerifyRisks[[#This Row],[Detection]]&lt;1,tblVerifyRisks[[#This Row],[Detection]]&gt;10),"Ratings must be 1 to 10",IF(AND(tblVerifyRisks[[#This Row],[Priority]]="Act",tblVerifyRisks[[#This Row],[Action]]=""),"Act risk has no action",IF(AND(tblVerifyRisks[[#This Row],[Priority]]="Act",OR(tblVerifyRisks[[#This Row],[Owner]]="",tblVerifyRisks[[#This Row],[Due]]="")),"Act risk needs owner and due date",IF(COUNTIF(tblVerifyRisks[ID],tblVerifyRisks[[#This Row],[ID]])&gt;1,"Duplicate ID","OK")))))))))))</f>
        <v>OK</v>
      </c>
      <c r="V55" s="60" t="s">
        <v>149</v>
      </c>
    </row>
    <row r="56" spans="2:22">
      <c r="B56" s="60" t="s">
        <v>370</v>
      </c>
      <c r="C56" s="60" t="s">
        <v>360</v>
      </c>
      <c r="D56" s="60" t="s">
        <v>361</v>
      </c>
      <c r="E56" s="60" t="s">
        <v>112</v>
      </c>
      <c r="F56" s="60" t="s">
        <v>371</v>
      </c>
      <c r="G56" s="65">
        <v>5</v>
      </c>
      <c r="H56" s="65">
        <v>6</v>
      </c>
      <c r="I56" s="65">
        <v>4</v>
      </c>
      <c r="J56" s="37">
        <f>N(tblVerifyRisks[[#This Row],[Severity]])*N(tblVerifyRisks[[#This Row],[Occurrence]])*N(tblVerifyRisks[[#This Row],[Detection]])</f>
        <v>120</v>
      </c>
      <c r="K56" s="37">
        <f>IF(tblVerifyRisks[[#This Row],[Supplier]]="","",N(tblVerifyRisks[[#This Row],[Severity]])*N(tblVerifyRisks[[#This Row],[Occurrence]]))</f>
        <v>30</v>
      </c>
      <c r="L56" s="38">
        <f>IF(tblVerifyRisks[[#This Row],[Supplier]]="","",tblVerifyRisks[[#This Row],[RPN]]-$E$40)</f>
        <v>20</v>
      </c>
      <c r="M56" s="39" t="str">
        <f>IF(tblVerifyRisks[[#This Row],[Supplier]]="","",IF(tblVerifyRisks[[#This Row],[Closed]]&lt;&gt;"","Closed",IF(OR(tblVerifyRisks[[#This Row],[RPN]]&gt;=$E$40,tblVerifyRisks[[#This Row],[Severity]]&gt;=$E$41),"Act","Monitor")))</f>
        <v>Act</v>
      </c>
      <c r="N56" s="35" t="str">
        <f>IF(tblVerifyRisks[[#This Row],[Supplier]]="","",IF(AND(tblVerifyRisks[[#This Row],[RPN]]&gt;=$E$40,tblVerifyRisks[[#This Row],[Severity]]&gt;=$E$41),"RPN and severity",IF(tblVerifyRisks[[#This Row],[RPN]]&gt;=$E$40,"RPN at or over threshold",IF(tblVerifyRisks[[#This Row],[Severity]]&gt;=$E$41,"Severity at or over floor",""))))</f>
        <v>RPN at or over threshold</v>
      </c>
      <c r="O56" s="60" t="s">
        <v>372</v>
      </c>
      <c r="P56" s="60" t="s">
        <v>172</v>
      </c>
      <c r="Q56" s="69">
        <v>46317</v>
      </c>
      <c r="R56" s="69"/>
      <c r="S56" s="39" t="str">
        <f>IF(tblVerifyRisks[[#This Row],[Supplier]]="","",IF(tblVerifyRisks[[#This Row],[Closed]]&lt;&gt;"","Complete",IF(tblVerifyRisks[[#This Row],[Due]]="","",IF(tblVerifyRisks[[#This Row],[Due]]&lt;$E$42,"Overdue",IF(tblVerifyRisks[[#This Row],[Due]]&lt;=$E$42+$E$43,"Due soon","In progress")))))</f>
        <v>Due soon</v>
      </c>
      <c r="T56" s="40">
        <f>IF(tblVerifyRisks[[#This Row],[Supplier]]="","",IF(tblVerifyRisks[[#This Row],[Priority]]="Closed","",tblVerifyRisks[[#This Row],[RPN]]+1-ROW()/100000))</f>
        <v>120.99944</v>
      </c>
      <c r="U56" s="41" t="str">
        <f>IF(tblVerifyRisks[[#This Row],[Supplier]]="","",IF(tblVerifyRisks[[#This Row],[ID]]="","Missing id",IF(tblVerifyRisks[[#This Row],[Category]]="","Missing category",IF(tblVerifyRisks[[#This Row],[Severity]]="","Missing severity",IF(tblVerifyRisks[[#This Row],[Occurrence]]="","Missing occurrence",IF(tblVerifyRisks[[#This Row],[Detection]]="","Missing detection",IF(tblVerifyRisks[[#This Row],[Commodity]]="","Supplier not on Setup list",IF(OR(tblVerifyRisks[[#This Row],[Severity]]&lt;1,tblVerifyRisks[[#This Row],[Severity]]&gt;10,tblVerifyRisks[[#This Row],[Occurrence]]&lt;1,tblVerifyRisks[[#This Row],[Occurrence]]&gt;10,tblVerifyRisks[[#This Row],[Detection]]&lt;1,tblVerifyRisks[[#This Row],[Detection]]&gt;10),"Ratings must be 1 to 10",IF(AND(tblVerifyRisks[[#This Row],[Priority]]="Act",tblVerifyRisks[[#This Row],[Action]]=""),"Act risk has no action",IF(AND(tblVerifyRisks[[#This Row],[Priority]]="Act",OR(tblVerifyRisks[[#This Row],[Owner]]="",tblVerifyRisks[[#This Row],[Due]]="")),"Act risk needs owner and due date",IF(COUNTIF(tblVerifyRisks[ID],tblVerifyRisks[[#This Row],[ID]])&gt;1,"Duplicate ID","OK")))))))))))</f>
        <v>OK</v>
      </c>
      <c r="V56" s="60" t="s">
        <v>149</v>
      </c>
    </row>
    <row r="57" spans="2:22">
      <c r="B57" s="60" t="s">
        <v>373</v>
      </c>
      <c r="C57" s="60" t="s">
        <v>362</v>
      </c>
      <c r="D57" s="60" t="s">
        <v>363</v>
      </c>
      <c r="E57" s="60" t="s">
        <v>112</v>
      </c>
      <c r="F57" s="60" t="s">
        <v>374</v>
      </c>
      <c r="G57" s="65">
        <v>10</v>
      </c>
      <c r="H57" s="65">
        <v>5</v>
      </c>
      <c r="I57" s="65">
        <v>3</v>
      </c>
      <c r="J57" s="37">
        <f>N(tblVerifyRisks[[#This Row],[Severity]])*N(tblVerifyRisks[[#This Row],[Occurrence]])*N(tblVerifyRisks[[#This Row],[Detection]])</f>
        <v>150</v>
      </c>
      <c r="K57" s="37">
        <f>IF(tblVerifyRisks[[#This Row],[Supplier]]="","",N(tblVerifyRisks[[#This Row],[Severity]])*N(tblVerifyRisks[[#This Row],[Occurrence]]))</f>
        <v>50</v>
      </c>
      <c r="L57" s="38">
        <f>IF(tblVerifyRisks[[#This Row],[Supplier]]="","",tblVerifyRisks[[#This Row],[RPN]]-$E$40)</f>
        <v>50</v>
      </c>
      <c r="M57" s="39" t="str">
        <f>IF(tblVerifyRisks[[#This Row],[Supplier]]="","",IF(tblVerifyRisks[[#This Row],[Closed]]&lt;&gt;"","Closed",IF(OR(tblVerifyRisks[[#This Row],[RPN]]&gt;=$E$40,tblVerifyRisks[[#This Row],[Severity]]&gt;=$E$41),"Act","Monitor")))</f>
        <v>Closed</v>
      </c>
      <c r="N57" s="35" t="str">
        <f>IF(tblVerifyRisks[[#This Row],[Supplier]]="","",IF(AND(tblVerifyRisks[[#This Row],[RPN]]&gt;=$E$40,tblVerifyRisks[[#This Row],[Severity]]&gt;=$E$41),"RPN and severity",IF(tblVerifyRisks[[#This Row],[RPN]]&gt;=$E$40,"RPN at or over threshold",IF(tblVerifyRisks[[#This Row],[Severity]]&gt;=$E$41,"Severity at or over floor",""))))</f>
        <v>RPN and severity</v>
      </c>
      <c r="O57" s="60" t="s">
        <v>375</v>
      </c>
      <c r="P57" s="60" t="s">
        <v>172</v>
      </c>
      <c r="Q57" s="69">
        <v>46287</v>
      </c>
      <c r="R57" s="69">
        <v>46282</v>
      </c>
      <c r="S57" s="39" t="str">
        <f>IF(tblVerifyRisks[[#This Row],[Supplier]]="","",IF(tblVerifyRisks[[#This Row],[Closed]]&lt;&gt;"","Complete",IF(tblVerifyRisks[[#This Row],[Due]]="","",IF(tblVerifyRisks[[#This Row],[Due]]&lt;$E$42,"Overdue",IF(tblVerifyRisks[[#This Row],[Due]]&lt;=$E$42+$E$43,"Due soon","In progress")))))</f>
        <v>Complete</v>
      </c>
      <c r="T57" s="40">
        <f>IF(tblVerifyRisks[[#This Row],[Supplier]]="","",IF(tblVerifyRisks[[#This Row],[Priority]]="Closed","",tblVerifyRisks[[#This Row],[RPN]]+1-ROW()/100000))</f>
        <v/>
      </c>
      <c r="U57" s="41" t="str">
        <f>IF(tblVerifyRisks[[#This Row],[Supplier]]="","",IF(tblVerifyRisks[[#This Row],[ID]]="","Missing id",IF(tblVerifyRisks[[#This Row],[Category]]="","Missing category",IF(tblVerifyRisks[[#This Row],[Severity]]="","Missing severity",IF(tblVerifyRisks[[#This Row],[Occurrence]]="","Missing occurrence",IF(tblVerifyRisks[[#This Row],[Detection]]="","Missing detection",IF(tblVerifyRisks[[#This Row],[Commodity]]="","Supplier not on Setup list",IF(OR(tblVerifyRisks[[#This Row],[Severity]]&lt;1,tblVerifyRisks[[#This Row],[Severity]]&gt;10,tblVerifyRisks[[#This Row],[Occurrence]]&lt;1,tblVerifyRisks[[#This Row],[Occurrence]]&gt;10,tblVerifyRisks[[#This Row],[Detection]]&lt;1,tblVerifyRisks[[#This Row],[Detection]]&gt;10),"Ratings must be 1 to 10",IF(AND(tblVerifyRisks[[#This Row],[Priority]]="Act",tblVerifyRisks[[#This Row],[Action]]=""),"Act risk has no action",IF(AND(tblVerifyRisks[[#This Row],[Priority]]="Act",OR(tblVerifyRisks[[#This Row],[Owner]]="",tblVerifyRisks[[#This Row],[Due]]="")),"Act risk needs owner and due date",IF(COUNTIF(tblVerifyRisks[ID],tblVerifyRisks[[#This Row],[ID]])&gt;1,"Duplicate ID","OK")))))))))))</f>
        <v>OK</v>
      </c>
      <c r="V57" s="60" t="s">
        <v>149</v>
      </c>
    </row>
    <row r="58" spans="2:22">
      <c r="B58" s="60" t="s">
        <v>349</v>
      </c>
      <c r="C58" s="60" t="s">
        <v>360</v>
      </c>
      <c r="D58" s="60" t="s">
        <v>361</v>
      </c>
      <c r="E58" s="60" t="s">
        <v>112</v>
      </c>
      <c r="F58" s="60" t="s">
        <v>376</v>
      </c>
      <c r="G58" s="65">
        <v>7</v>
      </c>
      <c r="H58" s="65">
        <v>5</v>
      </c>
      <c r="I58" s="65">
        <v>4</v>
      </c>
      <c r="J58" s="37">
        <f>N(tblVerifyRisks[[#This Row],[Severity]])*N(tblVerifyRisks[[#This Row],[Occurrence]])*N(tblVerifyRisks[[#This Row],[Detection]])</f>
        <v>140</v>
      </c>
      <c r="K58" s="37">
        <f>IF(tblVerifyRisks[[#This Row],[Supplier]]="","",N(tblVerifyRisks[[#This Row],[Severity]])*N(tblVerifyRisks[[#This Row],[Occurrence]]))</f>
        <v>35</v>
      </c>
      <c r="L58" s="38">
        <f>IF(tblVerifyRisks[[#This Row],[Supplier]]="","",tblVerifyRisks[[#This Row],[RPN]]-$E$40)</f>
        <v>40</v>
      </c>
      <c r="M58" s="39" t="str">
        <f>IF(tblVerifyRisks[[#This Row],[Supplier]]="","",IF(tblVerifyRisks[[#This Row],[Closed]]&lt;&gt;"","Closed",IF(OR(tblVerifyRisks[[#This Row],[RPN]]&gt;=$E$40,tblVerifyRisks[[#This Row],[Severity]]&gt;=$E$41),"Act","Monitor")))</f>
        <v>Act</v>
      </c>
      <c r="N58" s="35" t="str">
        <f>IF(tblVerifyRisks[[#This Row],[Supplier]]="","",IF(AND(tblVerifyRisks[[#This Row],[RPN]]&gt;=$E$40,tblVerifyRisks[[#This Row],[Severity]]&gt;=$E$41),"RPN and severity",IF(tblVerifyRisks[[#This Row],[RPN]]&gt;=$E$40,"RPN at or over threshold",IF(tblVerifyRisks[[#This Row],[Severity]]&gt;=$E$41,"Severity at or over floor",""))))</f>
        <v>RPN at or over threshold</v>
      </c>
      <c r="O58" s="60" t="s">
        <v>149</v>
      </c>
      <c r="P58" s="60" t="s">
        <v>149</v>
      </c>
      <c r="Q58" s="69"/>
      <c r="R58" s="69"/>
      <c r="S58" s="39">
        <f>IF(tblVerifyRisks[[#This Row],[Supplier]]="","",IF(tblVerifyRisks[[#This Row],[Closed]]&lt;&gt;"","Complete",IF(tblVerifyRisks[[#This Row],[Due]]="","",IF(tblVerifyRisks[[#This Row],[Due]]&lt;$E$42,"Overdue",IF(tblVerifyRisks[[#This Row],[Due]]&lt;=$E$42+$E$43,"Due soon","In progress")))))</f>
        <v/>
      </c>
      <c r="T58" s="40">
        <f>IF(tblVerifyRisks[[#This Row],[Supplier]]="","",IF(tblVerifyRisks[[#This Row],[Priority]]="Closed","",tblVerifyRisks[[#This Row],[RPN]]+1-ROW()/100000))</f>
        <v>140.99942</v>
      </c>
      <c r="U58" s="41" t="str">
        <f>IF(tblVerifyRisks[[#This Row],[Supplier]]="","",IF(tblVerifyRisks[[#This Row],[ID]]="","Missing id",IF(tblVerifyRisks[[#This Row],[Category]]="","Missing category",IF(tblVerifyRisks[[#This Row],[Severity]]="","Missing severity",IF(tblVerifyRisks[[#This Row],[Occurrence]]="","Missing occurrence",IF(tblVerifyRisks[[#This Row],[Detection]]="","Missing detection",IF(tblVerifyRisks[[#This Row],[Commodity]]="","Supplier not on Setup list",IF(OR(tblVerifyRisks[[#This Row],[Severity]]&lt;1,tblVerifyRisks[[#This Row],[Severity]]&gt;10,tblVerifyRisks[[#This Row],[Occurrence]]&lt;1,tblVerifyRisks[[#This Row],[Occurrence]]&gt;10,tblVerifyRisks[[#This Row],[Detection]]&lt;1,tblVerifyRisks[[#This Row],[Detection]]&gt;10),"Ratings must be 1 to 10",IF(AND(tblVerifyRisks[[#This Row],[Priority]]="Act",tblVerifyRisks[[#This Row],[Action]]=""),"Act risk has no action",IF(AND(tblVerifyRisks[[#This Row],[Priority]]="Act",OR(tblVerifyRisks[[#This Row],[Owner]]="",tblVerifyRisks[[#This Row],[Due]]="")),"Act risk needs owner and due date",IF(COUNTIF(tblVerifyRisks[ID],tblVerifyRisks[[#This Row],[ID]])&gt;1,"Duplicate ID","OK")))))))))))</f>
        <v>Act risk has no action</v>
      </c>
      <c r="V58" s="60" t="s">
        <v>149</v>
      </c>
    </row>
  </sheetData>
  <sheetProtection sheet="1" formatColumns="0" formatRows="0"/>
  <mergeCells count="41">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B36:L36"/>
    <mergeCell ref="B38:L38"/>
    <mergeCell ref="B39:F39"/>
    <mergeCell ref="B40:D40"/>
    <mergeCell ref="B41:D41"/>
    <mergeCell ref="B42:D42"/>
    <mergeCell ref="B43:D43"/>
    <mergeCell ref="B45:L45"/>
    <mergeCell ref="B52:L5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54:U58">
    <cfRule type="expression" dxfId="3" priority="41">
      <formula>$U54="OK"</formula>
    </cfRule>
    <cfRule type="expression" dxfId="1" priority="42">
      <formula>AND($U54&lt;&gt;"",$U54&lt;&gt;"OK")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Supplier Risk Assessment&amp;R&amp;8&amp;A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20</vt:i4>
      </vt:variant>
    </vt:vector>
  </HeadingPairs>
  <TitlesOfParts>
    <vt:vector size="26" baseType="lpstr">
      <vt:lpstr>Start Here</vt:lpstr>
      <vt:lpstr>Setup</vt:lpstr>
      <vt:lpstr>Risk Register</vt:lpstr>
      <vt:lpstr>Dashboard</vt:lpstr>
      <vt:lpstr>Method</vt:lpstr>
      <vt:lpstr>Verify</vt:lpstr>
      <vt:lpstr>AsOf</vt:lpstr>
      <vt:lpstr>CoName</vt:lpstr>
      <vt:lpstr>Currency</vt:lpstr>
      <vt:lpstr>DueSoonDays</vt:lpstr>
      <vt:lpstr>KpiAct</vt:lpstr>
      <vt:lpstr>KpiMaxRPN</vt:lpstr>
      <vt:lpstr>KpiOverdue</vt:lpstr>
      <vt:lpstr>KpiSpend</vt:lpstr>
      <vt:lpstr>Dashboard!Print_Area</vt:lpstr>
      <vt:lpstr>Method!Print_Area</vt:lpstr>
      <vt:lpstr>'Risk Register'!Print_Area</vt:lpstr>
      <vt:lpstr>Setup!Print_Area</vt:lpstr>
      <vt:lpstr>'Start Here'!Print_Area</vt:lpstr>
      <vt:lpstr>Verify!Print_Area</vt:lpstr>
      <vt:lpstr>Method!Print_Titles</vt:lpstr>
      <vt:lpstr>'Risk Register'!Print_Titles</vt:lpstr>
      <vt:lpstr>RPNThreshold</vt:lpstr>
      <vt:lpstr>SelfCheck</vt:lpstr>
      <vt:lpstr>SelfCheckSummary</vt:lpstr>
      <vt:lpstr>SevFloor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Risk Assessment - free Excel template from MFG Calcs</dc:title>
  <dc:subject>Score every supplier risk for severity, occurrence and detection, see which ones to act on, and track the mitigation actions to closure.</dc:subject>
  <dc:creator>MFG Calcs</dc:creator>
  <cp:keywords>supplier risk, risk register, RPN, severity occurrence detection, supply chain risk, single source, supplier quality</cp:keywords>
  <dc:description>https://www.mfgcalcs.com/templates/supplier-risk-assessment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supplier-risk-assessment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https://www.mfgcalcs.com/templates/supplier-risk-assessment</vt:lpwstr>
  </property>
  <property fmtid="{D5CDD505-2E9C-101B-9397-08002B2CF9AE}" pid="7" name="Template sheet roles">
    <vt:lpwstr>Start Here=start;Setup=setup;Risk Register=work;Dashboard=dashboard;Method=method;Verify=verify</vt:lpwstr>
  </property>
</Properties>
</file>