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Monthly Log" sheetId="3" r:id="rId3"/>
    <sheet name="Dashboard" sheetId="4" r:id="rId4"/>
    <sheet name="Method" sheetId="5" r:id="rId5"/>
    <sheet name="Verify" sheetId="6" r:id="rId6"/>
  </sheets>
  <definedNames>
    <definedName name="DashFrom">Dashboard!$G$4</definedName>
    <definedName name="DashSupplier">Dashboard!$C$4</definedName>
    <definedName name="DashTo">Dashboard!$K$4</definedName>
    <definedName name="FFrom">IF(DashFrom="",0,DashFrom)</definedName>
    <definedName name="FTo">IF(DashTo="",2958465,DashTo)</definedName>
    <definedName name="KpiBelow">Dashboard!$B$8</definedName>
    <definedName name="KpiLowest">Dashboard!$D$8</definedName>
    <definedName name="KpiOTD">Dashboard!$J$8</definedName>
    <definedName name="KpiPPM">Dashboard!$G$8</definedName>
    <definedName name="MinScore">Setup!$C$10</definedName>
    <definedName name="PlantName">Setup!$C$6</definedName>
    <definedName name="PpmZero">Setup!$C$11</definedName>
    <definedName name="_xlnm.Print_Area" localSheetId="3">Dashboard!$A$1:$P$65</definedName>
    <definedName name="_xlnm.Print_Area" localSheetId="4">Method!$A$1:$D$58</definedName>
    <definedName name="_xlnm.Print_Area" localSheetId="2">'Monthly Log'!$A$1:$Q$53</definedName>
    <definedName name="_xlnm.Print_Area" localSheetId="1">Setup!$A$1:$E$28</definedName>
    <definedName name="_xlnm.Print_Area" localSheetId="0">'Start Here'!$A$1:$F$55</definedName>
    <definedName name="_xlnm.Print_Area" localSheetId="5">Verify!$A$1:$Q$67</definedName>
    <definedName name="_xlnm.Print_Titles" localSheetId="4">Method!$1:$2</definedName>
    <definedName name="_xlnm.Print_Titles" localSheetId="2">'Monthly Log'!$1:$5</definedName>
    <definedName name="SelfCheck">Verify!$D$4</definedName>
    <definedName name="SelfCheckSummary">Verify!$F$4</definedName>
    <definedName name="Suppliers">tblSuppliers[Supplier]</definedName>
    <definedName name="TargetOTD">Setup!$C$13</definedName>
    <definedName name="TargetPPM">Setup!$C$12</definedName>
    <definedName name="WeightD">Setup!$C$8</definedName>
    <definedName name="WeightQ">Setup!$C$7</definedName>
    <definedName name="WeightR">Setup!$C$9</definedName>
  </definedNames>
  <calcPr calcId="124519" fullCalcOnLoad="1"/>
</workbook>
</file>

<file path=xl/sharedStrings.xml><?xml version="1.0" encoding="utf-8"?>
<sst xmlns="http://schemas.openxmlformats.org/spreadsheetml/2006/main" count="502" uniqueCount="247">
  <si>
    <t>Supplier Scorecard</t>
  </si>
  <si>
    <t>Read this first: what the workbook does and how to use it.</t>
  </si>
  <si>
    <t>mfgcalcs.com</t>
  </si>
  <si>
    <t>Score every supplier each month on quality (PPM), on-time delivery and responsiveness, weighted your way, and rank them against your minimum.</t>
  </si>
  <si>
    <t>For: Supplier quality engineers, buyers, purchasing and supply-chain managers in any manufacturing plant.</t>
  </si>
  <si>
    <t>Version 1.0.0  ·  updated 15 October 2026</t>
  </si>
  <si>
    <t>Quick start</t>
  </si>
  <si>
    <t>1.</t>
  </si>
  <si>
    <t>On Setup, set the pillar weights, your minimum composite score, the PPM that scores zero and your PPM and on-time targets, then list your suppliers.</t>
  </si>
  <si>
    <t>2.</t>
  </si>
  <si>
    <t>On Monthly Log, add one row per supplier per month: units received and rejected, deliveries due and on time, and a 0-100 responsiveness rating.</t>
  </si>
  <si>
    <t>3.</t>
  </si>
  <si>
    <t>Read the Check column: anything other than OK names the problem in words.</t>
  </si>
  <si>
    <t>4.</t>
  </si>
  <si>
    <t>Open the Dashboard to see the ranking, who is below your minimum and why; use the supplier and month filters at the top.</t>
  </si>
  <si>
    <t>What is in this workbook</t>
  </si>
  <si>
    <t>Start Here</t>
  </si>
  <si>
    <t>Setup</t>
  </si>
  <si>
    <t>Weights, your minimum score, the quality scale, targets and the supplier list.</t>
  </si>
  <si>
    <t>Monthly Log</t>
  </si>
  <si>
    <t>One row per supplier per month: receipts, rejects, deliveries and a responsiveness rating.</t>
  </si>
  <si>
    <t>Dashboard</t>
  </si>
  <si>
    <t>Composite scores against your minimum, the three pillars and the monthly trend, for the suppliers and months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</si>
  <si>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</si>
  <si>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</si>
  <si>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</si>
  <si>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</si>
  <si>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</si>
  <si>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</si>
  <si>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</si>
  <si>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</si>
  <si>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</si>
  <si>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</si>
  <si>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</si>
  <si>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</si>
  <si>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</si>
  <si>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</si>
  <si>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</si>
  <si>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</si>
  <si>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</si>
  <si>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</si>
  <si>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</si>
  <si>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</si>
  <si>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Supplier Scorecard Calculator on mfgcalcs.com</t>
  </si>
  <si>
    <t>Latest version</t>
  </si>
  <si>
    <t>mfgcalcs.com/templates/supplier-scorecard</t>
  </si>
  <si>
    <t>More free templates</t>
  </si>
  <si>
    <t>mfgcalcs.com/templates</t>
  </si>
  <si>
    <t>Version</t>
  </si>
  <si>
    <t>1.0.0 (updated 15 October 2026)</t>
  </si>
  <si>
    <t>About the example data</t>
  </si>
  <si>
    <t>Every number already in this workbook is example data for Halvorsen Pump Works, a fictional business invented for this template, so the dashboard and charts show something meaningful on day one. It scores eight suppliers monthly from April to September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</si>
  <si>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</si>
  <si>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</si>
  <si>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</si>
  <si>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</si>
  <si>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</si>
  <si>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</si>
  <si>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</si>
  <si>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</si>
  <si>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Supplier</t>
  </si>
  <si>
    <t>Commodity</t>
  </si>
  <si>
    <t>Country</t>
  </si>
  <si>
    <t>Notes</t>
  </si>
  <si>
    <t>Company and scoring</t>
  </si>
  <si>
    <t>Company or plant</t>
  </si>
  <si>
    <t>Halvorsen Pump Works (example)</t>
  </si>
  <si>
    <t>Weight: quality</t>
  </si>
  <si>
    <t>weight</t>
  </si>
  <si>
    <t>Weight: delivery</t>
  </si>
  <si>
    <t>Weight: responsiveness</t>
  </si>
  <si>
    <t>Minimum acceptable composite</t>
  </si>
  <si>
    <t>points</t>
  </si>
  <si>
    <t>PPM that scores zero on quality</t>
  </si>
  <si>
    <t>PPM</t>
  </si>
  <si>
    <t>PPM target</t>
  </si>
  <si>
    <t>On-time delivery target</t>
  </si>
  <si>
    <t>%</t>
  </si>
  <si>
    <t>Weights, the minimum, the PPM scale and the targets are yours to set; nothing here is an industry benchmark. The 50/30/20 weights match the live Supplier Scorecard calculator so the two agree.</t>
  </si>
  <si>
    <t>Suppliers (feeds the dropdown on the log)</t>
  </si>
  <si>
    <t>Suppliers (example)</t>
  </si>
  <si>
    <t>Anders Castings</t>
  </si>
  <si>
    <t>Iron castings</t>
  </si>
  <si>
    <t>Sweden</t>
  </si>
  <si>
    <t>Pump casings and covers</t>
  </si>
  <si>
    <t>Brightline Plastics</t>
  </si>
  <si>
    <t>Moulded parts</t>
  </si>
  <si>
    <t>UK</t>
  </si>
  <si>
    <t>Impeller shrouds, caps</t>
  </si>
  <si>
    <t>Corvo Fasteners</t>
  </si>
  <si>
    <t>Fasteners</t>
  </si>
  <si>
    <t>Germany</t>
  </si>
  <si>
    <t>Bolts, studs, washers</t>
  </si>
  <si>
    <t>Deccan Forgings</t>
  </si>
  <si>
    <t>Forgings</t>
  </si>
  <si>
    <t>India</t>
  </si>
  <si>
    <t>Shaft blanks, flanges</t>
  </si>
  <si>
    <t>Eastgate Electronics</t>
  </si>
  <si>
    <t>PCB assemblies</t>
  </si>
  <si>
    <t>Mexico</t>
  </si>
  <si>
    <t>Motor controller boards</t>
  </si>
  <si>
    <t>Fenwick Seals</t>
  </si>
  <si>
    <t>Seals and gaskets</t>
  </si>
  <si>
    <t>Canada</t>
  </si>
  <si>
    <t>Mechanical seals, O-rings</t>
  </si>
  <si>
    <t>Galloway Steel</t>
  </si>
  <si>
    <t>Bar stock</t>
  </si>
  <si>
    <t>USA</t>
  </si>
  <si>
    <t>Stainless bar, cut to length</t>
  </si>
  <si>
    <t>Huron Packaging</t>
  </si>
  <si>
    <t>Packaging</t>
  </si>
  <si>
    <t>Crates and cartons</t>
  </si>
  <si>
    <t>Month</t>
  </si>
  <si>
    <t>Units received</t>
  </si>
  <si>
    <t>Units rejected</t>
  </si>
  <si>
    <t>Deliveries due</t>
  </si>
  <si>
    <t>Deliveries on time</t>
  </si>
  <si>
    <t>Responsiveness (pts)</t>
  </si>
  <si>
    <t>Quality (pts)</t>
  </si>
  <si>
    <t>On-time delivery</t>
  </si>
  <si>
    <t>Delivery (pts)</t>
  </si>
  <si>
    <t>Composite (pts)</t>
  </si>
  <si>
    <t>Status</t>
  </si>
  <si>
    <t>View date</t>
  </si>
  <si>
    <t>Check</t>
  </si>
  <si>
    <t>Example data for Halvorsen Pump Works (fictional). Replace it with your own: select the example rows, right-click, Delete &gt; Table Rows. Yellow = you type; blue = calculated; Check names any problem.</t>
  </si>
  <si>
    <t/>
  </si>
  <si>
    <t>Hardness escape, 8D raised</t>
  </si>
  <si>
    <t>Supplier visit, new contact</t>
  </si>
  <si>
    <t>Containment at dock</t>
  </si>
  <si>
    <t>From month</t>
  </si>
  <si>
    <t>To month</t>
  </si>
  <si>
    <t>SUPPLIERS BELOW MINIMUM</t>
  </si>
  <si>
    <t>LOWEST COMPOSITE SCORE</t>
  </si>
  <si>
    <t>INCOMING PPM, ALL SUPPLIERS</t>
  </si>
  <si>
    <t>ON-TIME DELIVERY, ALL SUPPLIERS</t>
  </si>
  <si>
    <t>Composite under your minimum</t>
  </si>
  <si>
    <t>Rank last in the table below</t>
  </si>
  <si>
    <t>Supplier ranking over the months in view (pillar scores from period totals)</t>
  </si>
  <si>
    <t>Received (units)</t>
  </si>
  <si>
    <t>Respons. (pts)</t>
  </si>
  <si>
    <t>vs minimum</t>
  </si>
  <si>
    <t>Rank</t>
  </si>
  <si>
    <t>Quality points</t>
  </si>
  <si>
    <t>Delivery points</t>
  </si>
  <si>
    <t>Respons. points</t>
  </si>
  <si>
    <t>Minimum</t>
  </si>
  <si>
    <t>Monthly trend (last 6 months in view)</t>
  </si>
  <si>
    <t>Rejected (units)</t>
  </si>
  <si>
    <t>The Dashboard shows the 8 suppliers of the Setup list and the last 6 months in view. If you add suppliers, extend the ranking block (see Method) or they will not appear here.</t>
  </si>
  <si>
    <t>What this workbook calculates</t>
  </si>
  <si>
    <t>A supplier scorecard turns what receiving and purchasing already record into one comparable number per supplier. Each month gets three pillar scores on a 0-100 scale: quality from the reject rate in parts per million (PPM), delivery from the on-time delivery rate, and responsiveness as you rate it. The composite is their weighted average with your weights. Period figures on the Dashboard are formed from the sums of the log (total rejected / total received), so a big month counts more than a small one.</t>
  </si>
  <si>
    <t>Calculations</t>
  </si>
  <si>
    <t>Quantity</t>
  </si>
  <si>
    <t>How it is calculated</t>
  </si>
  <si>
    <t>Units</t>
  </si>
  <si>
    <t>Units rejected / units received x 1,000,000.</t>
  </si>
  <si>
    <t>Quality score</t>
  </si>
  <si>
    <t>100 x (1 - PPM / the PPM that scores zero), never below 0. A linear scale you anchor on Setup.</t>
  </si>
  <si>
    <t>Deliveries on time / deliveries due.</t>
  </si>
  <si>
    <t>Delivery score</t>
  </si>
  <si>
    <t>On-time delivery x 100.</t>
  </si>
  <si>
    <t>Responsiveness score</t>
  </si>
  <si>
    <t>Your 0-100 rating, typed per month. Over a period: the average of the monthly ratings.</t>
  </si>
  <si>
    <t>Composite score</t>
  </si>
  <si>
    <t>(Wq x quality + Wd x delivery + Wr x responsiveness) / (Wq + Wd + Wr). With 50/30/20: 0.5 x Q + 0.3 x D + 0.2 x R.</t>
  </si>
  <si>
    <t>Pillar points</t>
  </si>
  <si>
    <t>Each weight / sum of weights x its pillar score: the part of the composite each pillar earned (the stacked chart).</t>
  </si>
  <si>
    <t>Status and gap</t>
  </si>
  <si>
    <t>Composite - minimum. On target at or above the minimum, Near target within 5% below it, Below target under that.</t>
  </si>
  <si>
    <t>1 + the number of suppliers with a higher composite (ties share a rank).</t>
  </si>
  <si>
    <t>-</t>
  </si>
  <si>
    <t>Period roll-ups</t>
  </si>
  <si>
    <t>SUMIFS over the log rows whose View date is filled (inside the supplier and month filters); PPM and on-time delivery are formed from those sums.</t>
  </si>
  <si>
    <t>Assumptions</t>
  </si>
  <si>
    <t>Rejected units are charged to the supplier (supplier-caused), whether found at receiving or later in production.</t>
  </si>
  <si>
    <t>A delivery is on time when it arrives complete inside your window (for example 2 days early to 0 days late); use one definition for every supplier.</t>
  </si>
  <si>
    <t>Responsiveness is a judgement: write your rubric down (quote turnaround, corrective-action closure, communication) and apply it the same way every month.</t>
  </si>
  <si>
    <t>One row per supplier per month; the Month is the 1st of the month.</t>
  </si>
  <si>
    <t>Limitations</t>
  </si>
  <si>
    <t>PPM compares suppliers fairly only for similar parts and inspection levels; a supplier of 60,000 fasteners and one of 900 bars are not equally inspected.</t>
  </si>
  <si>
    <t>The quality scale is linear and anchored by you; a different anchor changes every quality score and ranking.</t>
  </si>
  <si>
    <t>Months with no deliveries or no receipts give no score for that pillar and no composite for the row (Check says so).</t>
  </si>
  <si>
    <t>The Dashboard has fixed blocks for 8 suppliers and the last 6 months in view; longer lists need the blocks extended (a warning appears).</t>
  </si>
  <si>
    <t>Agreement with the live calculator</t>
  </si>
  <si>
    <t>The live Supplier Scorecard calculator takes three pillar scores (0-100) and a minimum and returns the composite = quality x 0.5 + delivery x 0.3 + responsiveness x 0.2, each pillar's contribution and the gap to the minimum. With the default 50/30/20 weights this workbook gives the same numbers; it also derives the quality and delivery scores from your receiving data, lets you change the weights, and logs every month. The build checks the reference against the calculator's engine for its own example (92, 95, 70, minimum 85: composite 88.5) and a supplier below the minimum.</t>
  </si>
  <si>
    <t>Open the Supplier Scorecard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</si>
  <si>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</si>
  <si>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</si>
  <si>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IATF 16949:2016, clause 8.4.2.4 (supplier monitoring: delivered quality, delivery performance), by reference; no text reproduced.</t>
  </si>
  <si>
    <t>ISO 9001:2015, clause 8.4.1 (evaluation and re-evaluation of external providers), by reference.</t>
  </si>
  <si>
    <t>AIAG CQI-19, Sub-tier Supplier Management Process Guideline, by reference.</t>
  </si>
  <si>
    <t>MFG Calcs Supplier Scorecard calculator: the same 50/30/20 composite for one set of pillar scores.</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</si>
  <si>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</si>
  <si>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</si>
  <si>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</si>
  <si>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</si>
  <si>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</si>
  <si>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</si>
  <si>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</si>
  <si>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</si>
  <si>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</si>
  <si>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</si>
  <si>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</si>
  <si>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</si>
  <si>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</si>
  <si>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</si>
  <si>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</si>
  <si>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</si>
  <si>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PPM</t>
  </si>
  <si>
    <t>Row 1 (calculator example): quality score</t>
  </si>
  <si>
    <t>Row 1 (calculator example): composite</t>
  </si>
  <si>
    <t>Row 2 (below minimum): PPM</t>
  </si>
  <si>
    <t>Row 2 (below minimum): quality score</t>
  </si>
  <si>
    <t>Row 2 (below minimum): composite</t>
  </si>
  <si>
    <t>Row 3 (PPM past the zero anchor): PPM</t>
  </si>
  <si>
    <t>Row 3 (PPM past the zero anchor): quality score</t>
  </si>
  <si>
    <t>Row 3 (PPM past the zero anchor): composite</t>
  </si>
  <si>
    <t>Row 1: delivery score</t>
  </si>
  <si>
    <t>Row 1: status against minimum 85</t>
  </si>
  <si>
    <t>On target</t>
  </si>
  <si>
    <t>exact</t>
  </si>
  <si>
    <t>Row 2: status against minimum 85</t>
  </si>
  <si>
    <t>Below target</t>
  </si>
  <si>
    <t>Supplier A period PPM (from sums)</t>
  </si>
  <si>
    <t>Supplier A period composite</t>
  </si>
  <si>
    <t>Supplier B period on-time delivery (from sums)</t>
  </si>
  <si>
    <t>Supplier A quality points (weight share x score)</t>
  </si>
  <si>
    <t>All rows: PPM (Dashboard formula)</t>
  </si>
  <si>
    <t>All rows: on-time delivery (Dashboard formula)</t>
  </si>
  <si>
    <t>Row 4: Check reports on time &gt; due</t>
  </si>
  <si>
    <t>On time &gt; due</t>
  </si>
  <si>
    <t>Fixed test inputs</t>
  </si>
  <si>
    <t>White cells are fixed test inputs; blue cells are the workbook's formulas evaluated on them.</t>
  </si>
  <si>
    <t>Parameters</t>
  </si>
  <si>
    <t>Filter: from (0 = no limit)</t>
  </si>
  <si>
    <t>Filter: to (2958465 = no limit)</t>
  </si>
  <si>
    <t>Filter: supplier (blank = all)</t>
  </si>
  <si>
    <t>Minimum composite</t>
  </si>
  <si>
    <t>PPM that scores zero</t>
  </si>
  <si>
    <t>On-time target</t>
  </si>
  <si>
    <t>Test supplier list</t>
  </si>
  <si>
    <t>Supplier A</t>
  </si>
  <si>
    <t>Test</t>
  </si>
  <si>
    <t>Supplier B</t>
  </si>
  <si>
    <t>Test supplier-months</t>
  </si>
  <si>
    <t>Test ranking (Setup list: Supplier A, Supplier B)</t>
  </si>
</sst>
</file>

<file path=xl/styles.xml><?xml version="1.0" encoding="utf-8"?>
<styleSheet xmlns="http://schemas.openxmlformats.org/spreadsheetml/2006/main">
  <numFmts count="10">
    <numFmt numFmtId="164" formatCode="#,##0"/>
    <numFmt numFmtId="165" formatCode="#,##0.0"/>
    <numFmt numFmtId="166" formatCode="0.0%"/>
    <numFmt numFmtId="167" formatCode="d mmm yyyy"/>
    <numFmt numFmtId="168" formatCode="&quot;Target &quot;#,##0"/>
    <numFmt numFmtId="169" formatCode="&quot;Target &quot;0.0%"/>
    <numFmt numFmtId="170" formatCode="+#,##0.0;-#,##0.0;0.0"/>
    <numFmt numFmtId="171" formatCode="mmm yyyy"/>
    <numFmt numFmtId="172" formatCode="0.0E+00"/>
    <numFmt numFmtId="173" formatCode="#,##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4">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167"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7" fontId="10" fillId="4" borderId="3" xfId="0" applyNumberFormat="1" applyFont="1" applyFill="1" applyBorder="1" applyAlignment="1">
      <alignment vertical="center"/>
    </xf>
    <xf numFmtId="0" fontId="20" fillId="4" borderId="3" xfId="0" applyFont="1" applyFill="1" applyBorder="1" applyAlignment="1">
      <alignment vertical="center"/>
    </xf>
    <xf numFmtId="167" fontId="10" fillId="3" borderId="2" xfId="0" applyNumberFormat="1" applyFont="1" applyFill="1" applyBorder="1" applyAlignment="1" applyProtection="1">
      <alignment horizontal="left" vertical="center"/>
      <protection locked="0"/>
    </xf>
    <xf numFmtId="0" fontId="21" fillId="0" borderId="0" xfId="0" applyFont="1" applyAlignment="1">
      <alignment vertical="center"/>
    </xf>
    <xf numFmtId="0" fontId="22" fillId="9" borderId="6" xfId="0" applyFont="1" applyFill="1" applyBorder="1" applyAlignment="1">
      <alignment vertical="center" wrapText="1"/>
    </xf>
    <xf numFmtId="164"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166" fontId="4" fillId="9" borderId="7" xfId="0" applyNumberFormat="1" applyFont="1" applyFill="1" applyBorder="1" applyAlignment="1">
      <alignment horizontal="left" vertical="center"/>
    </xf>
    <xf numFmtId="0" fontId="24" fillId="9" borderId="7" xfId="0" applyFont="1" applyFill="1" applyBorder="1" applyAlignment="1">
      <alignment vertical="center"/>
    </xf>
    <xf numFmtId="168" fontId="24" fillId="9" borderId="7" xfId="0" applyNumberFormat="1" applyFont="1" applyFill="1" applyBorder="1" applyAlignment="1">
      <alignment horizontal="left" vertical="center"/>
    </xf>
    <xf numFmtId="169" fontId="24" fillId="9" borderId="7" xfId="0" applyNumberFormat="1" applyFont="1" applyFill="1" applyBorder="1" applyAlignment="1">
      <alignment horizontal="lef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70" fontId="10" fillId="4" borderId="3" xfId="0" applyNumberFormat="1" applyFont="1" applyFill="1" applyBorder="1" applyAlignment="1">
      <alignment vertical="center"/>
    </xf>
    <xf numFmtId="165" fontId="10" fillId="0" borderId="9" xfId="0" applyNumberFormat="1" applyFont="1" applyBorder="1" applyAlignment="1">
      <alignment vertical="center"/>
    </xf>
    <xf numFmtId="171" fontId="9"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4" fontId="9" fillId="0" borderId="9" xfId="0" applyNumberFormat="1" applyFont="1" applyBorder="1" applyAlignment="1">
      <alignment horizontal="center" vertical="center"/>
    </xf>
    <xf numFmtId="164"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0" fontId="10" fillId="4" borderId="3" xfId="0" applyFont="1" applyFill="1" applyBorder="1" applyAlignment="1">
      <alignment vertical="center"/>
    </xf>
    <xf numFmtId="166"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Composite score by supplier</a:t>
            </a:r>
          </a:p>
        </c:rich>
      </c:tx>
      <c:layout/>
    </c:title>
    <c:plotArea>
      <c:layout/>
      <c:barChart>
        <c:barDir val="col"/>
        <c:grouping val="clustered"/>
        <c:ser>
          <c:idx val="0"/>
          <c:order val="0"/>
          <c:tx>
            <c:v>Composite</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Dashboard!$B$32:$B$39</c:f>
              <c:strCache>
                <c:ptCount val="8"/>
                <c:pt idx="0">
                  <c:v>Anders Castings</c:v>
                </c:pt>
                <c:pt idx="1">
                  <c:v>Brightline Plastics</c:v>
                </c:pt>
                <c:pt idx="2">
                  <c:v>Corvo Fasteners</c:v>
                </c:pt>
                <c:pt idx="3">
                  <c:v>Deccan Forgings</c:v>
                </c:pt>
                <c:pt idx="4">
                  <c:v>Eastgate Electronics</c:v>
                </c:pt>
                <c:pt idx="5">
                  <c:v>Fenwick Seals</c:v>
                </c:pt>
                <c:pt idx="6">
                  <c:v>Galloway Steel</c:v>
                </c:pt>
                <c:pt idx="7">
                  <c:v>Huron Packaging</c:v>
                </c:pt>
              </c:strCache>
            </c:strRef>
          </c:cat>
          <c:val>
            <c:numRef>
              <c:f>Dashboard!$I$32:$I$39</c:f>
              <c:numCache>
                <c:formatCode>General</c:formatCode>
                <c:ptCount val="8"/>
                <c:pt idx="0">
                  <c:v>88.3142938334754</c:v>
                </c:pt>
                <c:pt idx="1">
                  <c:v>90.4774867516148</c:v>
                </c:pt>
                <c:pt idx="2">
                  <c:v>96.6114825556525</c:v>
                </c:pt>
                <c:pt idx="3">
                  <c:v>69.7846556233653</c:v>
                </c:pt>
                <c:pt idx="4">
                  <c:v>82.6129170052718</c:v>
                </c:pt>
                <c:pt idx="5">
                  <c:v>94.9186111892044</c:v>
                </c:pt>
                <c:pt idx="6">
                  <c:v>93.9009009009009</c:v>
                </c:pt>
                <c:pt idx="7">
                  <c:v>90.1572207534699</c:v>
                </c:pt>
              </c:numCache>
            </c:numRef>
          </c:val>
        </c:ser>
        <c:gapWidth val="60"/>
        <c:overlap val="-10"/>
        <c:axId val="50010001"/>
        <c:axId val="50010002"/>
      </c:barChart>
      <c:lineChart>
        <c:grouping val="standard"/>
        <c:ser>
          <c:idx val="1"/>
          <c:order val="1"/>
          <c:tx>
            <c:v>Minimum</c:v>
          </c:tx>
          <c:spPr>
            <a:ln w="19050">
              <a:solidFill>
                <a:srgbClr val="4A5361"/>
              </a:solidFill>
              <a:prstDash val="dash"/>
            </a:ln>
          </c:spPr>
          <c:marker>
            <c:symbol val="none"/>
          </c:marker>
          <c:cat>
            <c:strRef>
              <c:f>Dashboard!$B$32:$B$39</c:f>
              <c:strCache>
                <c:ptCount val="8"/>
                <c:pt idx="0">
                  <c:v>Anders Castings</c:v>
                </c:pt>
                <c:pt idx="1">
                  <c:v>Brightline Plastics</c:v>
                </c:pt>
                <c:pt idx="2">
                  <c:v>Corvo Fasteners</c:v>
                </c:pt>
                <c:pt idx="3">
                  <c:v>Deccan Forgings</c:v>
                </c:pt>
                <c:pt idx="4">
                  <c:v>Eastgate Electronics</c:v>
                </c:pt>
                <c:pt idx="5">
                  <c:v>Fenwick Seals</c:v>
                </c:pt>
                <c:pt idx="6">
                  <c:v>Galloway Steel</c:v>
                </c:pt>
                <c:pt idx="7">
                  <c:v>Huron Packaging</c:v>
                </c:pt>
              </c:strCache>
            </c:strRef>
          </c:cat>
          <c:val>
            <c:numRef>
              <c:f>Dashboard!$P$32:$P$39</c:f>
              <c:numCache>
                <c:formatCode>General</c:formatCode>
                <c:ptCount val="8"/>
                <c:pt idx="0">
                  <c:v>85</c:v>
                </c:pt>
                <c:pt idx="1">
                  <c:v>85</c:v>
                </c:pt>
                <c:pt idx="2">
                  <c:v>85</c:v>
                </c:pt>
                <c:pt idx="3">
                  <c:v>85</c:v>
                </c:pt>
                <c:pt idx="4">
                  <c:v>85</c:v>
                </c:pt>
                <c:pt idx="5">
                  <c:v>85</c:v>
                </c:pt>
                <c:pt idx="6">
                  <c:v>85</c:v>
                </c:pt>
                <c:pt idx="7">
                  <c:v>85</c:v>
                </c:pt>
              </c:numCache>
            </c:numRef>
          </c:val>
        </c:ser>
        <c:marker val="1"/>
        <c:axId val="50010001"/>
        <c:axId val="50010002"/>
      </c:lineChart>
      <c:catAx>
        <c:axId val="5001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ax val="100"/>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each supplier's points come from</a:t>
            </a:r>
          </a:p>
        </c:rich>
      </c:tx>
      <c:layout/>
    </c:title>
    <c:plotArea>
      <c:layout/>
      <c:barChart>
        <c:barDir val="bar"/>
        <c:grouping val="stacked"/>
        <c:ser>
          <c:idx val="0"/>
          <c:order val="0"/>
          <c:tx>
            <c:v>Quality</c:v>
          </c:tx>
          <c:spPr>
            <a:solidFill>
              <a:srgbClr val="3B64D8"/>
            </a:solidFill>
            <a:ln w="9525">
              <a:solidFill>
                <a:srgbClr val="FFFFFF"/>
              </a:solidFill>
            </a:ln>
          </c:spPr>
          <c:cat>
            <c:strRef>
              <c:f>Dashboard!$B$32:$B$39</c:f>
              <c:strCache>
                <c:ptCount val="8"/>
                <c:pt idx="0">
                  <c:v>Anders Castings</c:v>
                </c:pt>
                <c:pt idx="1">
                  <c:v>Brightline Plastics</c:v>
                </c:pt>
                <c:pt idx="2">
                  <c:v>Corvo Fasteners</c:v>
                </c:pt>
                <c:pt idx="3">
                  <c:v>Deccan Forgings</c:v>
                </c:pt>
                <c:pt idx="4">
                  <c:v>Eastgate Electronics</c:v>
                </c:pt>
                <c:pt idx="5">
                  <c:v>Fenwick Seals</c:v>
                </c:pt>
                <c:pt idx="6">
                  <c:v>Galloway Steel</c:v>
                </c:pt>
                <c:pt idx="7">
                  <c:v>Huron Packaging</c:v>
                </c:pt>
              </c:strCache>
            </c:strRef>
          </c:cat>
          <c:val>
            <c:numRef>
              <c:f>Dashboard!$M$32:$M$39</c:f>
              <c:numCache>
                <c:formatCode>General</c:formatCode>
                <c:ptCount val="8"/>
                <c:pt idx="0">
                  <c:v>43.9613526570048</c:v>
                </c:pt>
                <c:pt idx="1">
                  <c:v>46.9451484431571</c:v>
                </c:pt>
                <c:pt idx="2">
                  <c:v>49.4158303817395</c:v>
                </c:pt>
                <c:pt idx="3">
                  <c:v>29.8387096774194</c:v>
                </c:pt>
                <c:pt idx="4">
                  <c:v>46.0148777895855</c:v>
                </c:pt>
                <c:pt idx="5">
                  <c:v>48.4186111892044</c:v>
                </c:pt>
                <c:pt idx="6">
                  <c:v>50</c:v>
                </c:pt>
                <c:pt idx="7">
                  <c:v>46.2822207534699</c:v>
                </c:pt>
              </c:numCache>
            </c:numRef>
          </c:val>
        </c:ser>
        <c:ser>
          <c:idx val="1"/>
          <c:order val="1"/>
          <c:tx>
            <c:v>Delivery</c:v>
          </c:tx>
          <c:spPr>
            <a:solidFill>
              <a:srgbClr val="E8702A"/>
            </a:solidFill>
            <a:ln w="9525">
              <a:solidFill>
                <a:srgbClr val="FFFFFF"/>
              </a:solidFill>
            </a:ln>
          </c:spPr>
          <c:cat>
            <c:strRef>
              <c:f>Dashboard!$B$32:$B$39</c:f>
              <c:strCache>
                <c:ptCount val="8"/>
                <c:pt idx="0">
                  <c:v>Anders Castings</c:v>
                </c:pt>
                <c:pt idx="1">
                  <c:v>Brightline Plastics</c:v>
                </c:pt>
                <c:pt idx="2">
                  <c:v>Corvo Fasteners</c:v>
                </c:pt>
                <c:pt idx="3">
                  <c:v>Deccan Forgings</c:v>
                </c:pt>
                <c:pt idx="4">
                  <c:v>Eastgate Electronics</c:v>
                </c:pt>
                <c:pt idx="5">
                  <c:v>Fenwick Seals</c:v>
                </c:pt>
                <c:pt idx="6">
                  <c:v>Galloway Steel</c:v>
                </c:pt>
                <c:pt idx="7">
                  <c:v>Huron Packaging</c:v>
                </c:pt>
              </c:strCache>
            </c:strRef>
          </c:cat>
          <c:val>
            <c:numRef>
              <c:f>Dashboard!$N$32:$N$39</c:f>
              <c:numCache>
                <c:formatCode>General</c:formatCode>
                <c:ptCount val="8"/>
                <c:pt idx="0">
                  <c:v>27.3529411764706</c:v>
                </c:pt>
                <c:pt idx="1">
                  <c:v>26.865671641791</c:v>
                </c:pt>
                <c:pt idx="2">
                  <c:v>28.695652173913</c:v>
                </c:pt>
                <c:pt idx="3">
                  <c:v>25.9459459459459</c:v>
                </c:pt>
                <c:pt idx="4">
                  <c:v>21.7647058823529</c:v>
                </c:pt>
                <c:pt idx="5">
                  <c:v>29</c:v>
                </c:pt>
                <c:pt idx="6">
                  <c:v>27.5675675675676</c:v>
                </c:pt>
                <c:pt idx="7">
                  <c:v>29.375</c:v>
                </c:pt>
              </c:numCache>
            </c:numRef>
          </c:val>
        </c:ser>
        <c:ser>
          <c:idx val="2"/>
          <c:order val="2"/>
          <c:tx>
            <c:v>Responsiveness</c:v>
          </c:tx>
          <c:spPr>
            <a:solidFill>
              <a:srgbClr val="1BA37A"/>
            </a:solidFill>
            <a:ln w="9525">
              <a:solidFill>
                <a:srgbClr val="FFFFFF"/>
              </a:solidFill>
            </a:ln>
          </c:spPr>
          <c:cat>
            <c:strRef>
              <c:f>Dashboard!$B$32:$B$39</c:f>
              <c:strCache>
                <c:ptCount val="8"/>
                <c:pt idx="0">
                  <c:v>Anders Castings</c:v>
                </c:pt>
                <c:pt idx="1">
                  <c:v>Brightline Plastics</c:v>
                </c:pt>
                <c:pt idx="2">
                  <c:v>Corvo Fasteners</c:v>
                </c:pt>
                <c:pt idx="3">
                  <c:v>Deccan Forgings</c:v>
                </c:pt>
                <c:pt idx="4">
                  <c:v>Eastgate Electronics</c:v>
                </c:pt>
                <c:pt idx="5">
                  <c:v>Fenwick Seals</c:v>
                </c:pt>
                <c:pt idx="6">
                  <c:v>Galloway Steel</c:v>
                </c:pt>
                <c:pt idx="7">
                  <c:v>Huron Packaging</c:v>
                </c:pt>
              </c:strCache>
            </c:strRef>
          </c:cat>
          <c:val>
            <c:numRef>
              <c:f>Dashboard!$O$32:$O$39</c:f>
              <c:numCache>
                <c:formatCode>General</c:formatCode>
                <c:ptCount val="8"/>
                <c:pt idx="0">
                  <c:v>17</c:v>
                </c:pt>
                <c:pt idx="1">
                  <c:v>16.6666666666667</c:v>
                </c:pt>
                <c:pt idx="2">
                  <c:v>18.5</c:v>
                </c:pt>
                <c:pt idx="3">
                  <c:v>14</c:v>
                </c:pt>
                <c:pt idx="4">
                  <c:v>14.8333333333333</c:v>
                </c:pt>
                <c:pt idx="5">
                  <c:v>17.5</c:v>
                </c:pt>
                <c:pt idx="6">
                  <c:v>16.3333333333333</c:v>
                </c:pt>
                <c:pt idx="7">
                  <c:v>14.5</c:v>
                </c:pt>
              </c:numCache>
            </c:numRef>
          </c:val>
        </c:ser>
        <c:gapWidth val="60"/>
        <c:overlap val="10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ax val="100"/>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Pillar scores by month</a:t>
            </a:r>
          </a:p>
        </c:rich>
      </c:tx>
      <c:layout/>
    </c:title>
    <c:plotArea>
      <c:layout/>
      <c:lineChart>
        <c:grouping val="standard"/>
        <c:ser>
          <c:idx val="0"/>
          <c:order val="0"/>
          <c:tx>
            <c:v>Quality</c:v>
          </c:tx>
          <c:spPr>
            <a:ln w="28575">
              <a:solidFill>
                <a:srgbClr val="3B64D8"/>
              </a:solidFill>
            </a:ln>
          </c:spPr>
          <c:marker>
            <c:symbol val="circle"/>
            <c:size val="5"/>
            <c:spPr>
              <a:solidFill>
                <a:srgbClr val="3B64D8"/>
              </a:solidFill>
              <a:ln>
                <a:solidFill>
                  <a:srgbClr val="3B64D8"/>
                </a:solidFill>
              </a:ln>
            </c:spPr>
          </c:marker>
          <c:cat>
            <c:numRef>
              <c:f>Dashboard!$B$43:$B$48</c:f>
              <c:numCache>
                <c:formatCode>General</c:formatCode>
                <c:ptCount val="6"/>
                <c:pt idx="0">
                  <c:v>46113</c:v>
                </c:pt>
                <c:pt idx="1">
                  <c:v>46143</c:v>
                </c:pt>
                <c:pt idx="2">
                  <c:v>46174</c:v>
                </c:pt>
                <c:pt idx="3">
                  <c:v>46204</c:v>
                </c:pt>
                <c:pt idx="4">
                  <c:v>46235</c:v>
                </c:pt>
                <c:pt idx="5">
                  <c:v>46266</c:v>
                </c:pt>
              </c:numCache>
            </c:numRef>
          </c:cat>
          <c:val>
            <c:numRef>
              <c:f>Dashboard!$F$43:$F$48</c:f>
              <c:numCache>
                <c:formatCode>General</c:formatCode>
                <c:ptCount val="6"/>
                <c:pt idx="0">
                  <c:v>96.7256057629339</c:v>
                </c:pt>
                <c:pt idx="1">
                  <c:v>96.8190271116766</c:v>
                </c:pt>
                <c:pt idx="2">
                  <c:v>94.0283228118069</c:v>
                </c:pt>
                <c:pt idx="3">
                  <c:v>95.3882274023143</c:v>
                </c:pt>
                <c:pt idx="4">
                  <c:v>96.135639068689</c:v>
                </c:pt>
                <c:pt idx="5">
                  <c:v>97.2590031205195</c:v>
                </c:pt>
              </c:numCache>
            </c:numRef>
          </c:val>
        </c:ser>
        <c:ser>
          <c:idx val="1"/>
          <c:order val="1"/>
          <c:tx>
            <c:v>Delivery</c:v>
          </c:tx>
          <c:spPr>
            <a:ln w="28575">
              <a:solidFill>
                <a:srgbClr val="E8702A"/>
              </a:solidFill>
            </a:ln>
          </c:spPr>
          <c:marker>
            <c:symbol val="circle"/>
            <c:size val="5"/>
            <c:spPr>
              <a:solidFill>
                <a:srgbClr val="E8702A"/>
              </a:solidFill>
              <a:ln>
                <a:solidFill>
                  <a:srgbClr val="E8702A"/>
                </a:solidFill>
              </a:ln>
            </c:spPr>
          </c:marker>
          <c:cat>
            <c:numRef>
              <c:f>Dashboard!$B$43:$B$48</c:f>
              <c:numCache>
                <c:formatCode>General</c:formatCode>
                <c:ptCount val="6"/>
                <c:pt idx="0">
                  <c:v>46113</c:v>
                </c:pt>
                <c:pt idx="1">
                  <c:v>46143</c:v>
                </c:pt>
                <c:pt idx="2">
                  <c:v>46174</c:v>
                </c:pt>
                <c:pt idx="3">
                  <c:v>46204</c:v>
                </c:pt>
                <c:pt idx="4">
                  <c:v>46235</c:v>
                </c:pt>
                <c:pt idx="5">
                  <c:v>46266</c:v>
                </c:pt>
              </c:numCache>
            </c:numRef>
          </c:cat>
          <c:val>
            <c:numRef>
              <c:f>Dashboard!$H$43:$H$48</c:f>
              <c:numCache>
                <c:formatCode>General</c:formatCode>
                <c:ptCount val="6"/>
                <c:pt idx="0">
                  <c:v>92.7536231884058</c:v>
                </c:pt>
                <c:pt idx="1">
                  <c:v>92.5373134328358</c:v>
                </c:pt>
                <c:pt idx="2">
                  <c:v>85.5072463768116</c:v>
                </c:pt>
                <c:pt idx="3">
                  <c:v>91.1764705882353</c:v>
                </c:pt>
                <c:pt idx="4">
                  <c:v>89.5522388059702</c:v>
                </c:pt>
                <c:pt idx="5">
                  <c:v>92.0634920634921</c:v>
                </c:pt>
              </c:numCache>
            </c:numRef>
          </c:val>
        </c:ser>
        <c:ser>
          <c:idx val="2"/>
          <c:order val="2"/>
          <c:tx>
            <c:v>Responsiveness</c:v>
          </c:tx>
          <c:spPr>
            <a:ln w="28575">
              <a:solidFill>
                <a:srgbClr val="1BA37A"/>
              </a:solidFill>
            </a:ln>
          </c:spPr>
          <c:marker>
            <c:symbol val="circle"/>
            <c:size val="5"/>
            <c:spPr>
              <a:solidFill>
                <a:srgbClr val="1BA37A"/>
              </a:solidFill>
              <a:ln>
                <a:solidFill>
                  <a:srgbClr val="1BA37A"/>
                </a:solidFill>
              </a:ln>
            </c:spPr>
          </c:marker>
          <c:cat>
            <c:numRef>
              <c:f>Dashboard!$B$43:$B$48</c:f>
              <c:numCache>
                <c:formatCode>General</c:formatCode>
                <c:ptCount val="6"/>
                <c:pt idx="0">
                  <c:v>46113</c:v>
                </c:pt>
                <c:pt idx="1">
                  <c:v>46143</c:v>
                </c:pt>
                <c:pt idx="2">
                  <c:v>46174</c:v>
                </c:pt>
                <c:pt idx="3">
                  <c:v>46204</c:v>
                </c:pt>
                <c:pt idx="4">
                  <c:v>46235</c:v>
                </c:pt>
                <c:pt idx="5">
                  <c:v>46266</c:v>
                </c:pt>
              </c:numCache>
            </c:numRef>
          </c:cat>
          <c:val>
            <c:numRef>
              <c:f>Dashboard!$I$43:$I$48</c:f>
              <c:numCache>
                <c:formatCode>General</c:formatCode>
                <c:ptCount val="6"/>
                <c:pt idx="0">
                  <c:v>78.75</c:v>
                </c:pt>
                <c:pt idx="1">
                  <c:v>80</c:v>
                </c:pt>
                <c:pt idx="2">
                  <c:v>78.75</c:v>
                </c:pt>
                <c:pt idx="3">
                  <c:v>78.75</c:v>
                </c:pt>
                <c:pt idx="4">
                  <c:v>83.125</c:v>
                </c:pt>
                <c:pt idx="5">
                  <c:v>85.625</c:v>
                </c:pt>
              </c:numCache>
            </c:numRef>
          </c:val>
        </c:ser>
        <c:ser>
          <c:idx val="3"/>
          <c:order val="3"/>
          <c:tx>
            <c:v>Minimum</c:v>
          </c:tx>
          <c:spPr>
            <a:ln w="19050">
              <a:solidFill>
                <a:srgbClr val="4A5361"/>
              </a:solidFill>
              <a:prstDash val="dash"/>
            </a:ln>
          </c:spPr>
          <c:marker>
            <c:symbol val="none"/>
          </c:marker>
          <c:cat>
            <c:numRef>
              <c:f>Dashboard!$B$43:$B$48</c:f>
              <c:numCache>
                <c:formatCode>General</c:formatCode>
                <c:ptCount val="6"/>
                <c:pt idx="0">
                  <c:v>46113</c:v>
                </c:pt>
                <c:pt idx="1">
                  <c:v>46143</c:v>
                </c:pt>
                <c:pt idx="2">
                  <c:v>46174</c:v>
                </c:pt>
                <c:pt idx="3">
                  <c:v>46204</c:v>
                </c:pt>
                <c:pt idx="4">
                  <c:v>46235</c:v>
                </c:pt>
                <c:pt idx="5">
                  <c:v>46266</c:v>
                </c:pt>
              </c:numCache>
            </c:numRef>
          </c:cat>
          <c:val>
            <c:numRef>
              <c:f>Dashboard!$K$43:$K$48</c:f>
              <c:numCache>
                <c:formatCode>General</c:formatCode>
                <c:ptCount val="6"/>
                <c:pt idx="0">
                  <c:v>85</c:v>
                </c:pt>
                <c:pt idx="1">
                  <c:v>85</c:v>
                </c:pt>
                <c:pt idx="2">
                  <c:v>85</c:v>
                </c:pt>
                <c:pt idx="3">
                  <c:v>85</c:v>
                </c:pt>
                <c:pt idx="4">
                  <c:v>85</c:v>
                </c:pt>
                <c:pt idx="5">
                  <c:v>85</c:v>
                </c:pt>
              </c:numCache>
            </c:numRef>
          </c:val>
        </c:ser>
        <c:marker val="1"/>
        <c:axId val="50030001"/>
        <c:axId val="50030002"/>
      </c:lineChart>
      <c:catAx>
        <c:axId val="50030001"/>
        <c:scaling>
          <c:orientation val="minMax"/>
        </c:scaling>
        <c:axPos val="b"/>
        <c:numFmt formatCode="mmm yyyy"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ax val="100"/>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27</xdr:row>
      <xdr:rowOff>152400</xdr:rowOff>
    </xdr:to>
    <xdr:graphicFrame macro="">
      <xdr:nvGraphicFramePr>
        <xdr:cNvPr id="2" name="Chart 1" descr="Column chart of each supplier's composite score over the months in view, with your minimum acceptable score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27</xdr:row>
      <xdr:rowOff>152400</xdr:rowOff>
    </xdr:to>
    <xdr:graphicFrame macro="">
      <xdr:nvGraphicFramePr>
        <xdr:cNvPr id="3" name="Chart 2" descr="Stacked bar chart splitting each supplier's composite score into weighted quality, delivery and responsiveness point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49</xdr:row>
      <xdr:rowOff>38100</xdr:rowOff>
    </xdr:from>
    <xdr:to>
      <xdr:col>11</xdr:col>
      <xdr:colOff>676275</xdr:colOff>
      <xdr:row>60</xdr:row>
      <xdr:rowOff>152400</xdr:rowOff>
    </xdr:to>
    <xdr:graphicFrame macro="">
      <xdr:nvGraphicFramePr>
        <xdr:cNvPr id="4" name="Chart 3" descr="Line chart of the quality, delivery and responsiveness scores for each month in view, with your minimum composite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ables/table1.xml><?xml version="1.0" encoding="utf-8"?>
<table xmlns="http://schemas.openxmlformats.org/spreadsheetml/2006/main" id="1" name="tblSuppliers" displayName="tblSuppliers" ref="B20:E28" totalsRowShown="0">
  <autoFilter ref="B20:E28"/>
  <tableColumns count="4">
    <tableColumn id="1" name="Supplier"/>
    <tableColumn id="2" name="Commodity"/>
    <tableColumn id="3" name="Country"/>
    <tableColumn id="4" name="Notes"/>
  </tableColumns>
  <tableStyleInfo name="TableStyleLight1" showFirstColumn="0" showLastColumn="0" showRowStripes="0" showColumnStripes="0"/>
</table>
</file>

<file path=xl/tables/table2.xml><?xml version="1.0" encoding="utf-8"?>
<table xmlns="http://schemas.openxmlformats.org/spreadsheetml/2006/main" id="2" name="tblScores" displayName="tblScores" ref="B5:Q53" totalsRowShown="0">
  <autoFilter ref="B5:Q53"/>
  <tableColumns count="16">
    <tableColumn id="1" name="Month"/>
    <tableColumn id="2" name="Supplier"/>
    <tableColumn id="3" name="Units received"/>
    <tableColumn id="4" name="Units rejected"/>
    <tableColumn id="5" name="Deliveries due"/>
    <tableColumn id="6" name="Deliveries on time"/>
    <tableColumn id="7" name="Responsiveness (pts)"/>
    <tableColumn id="8" name="PPM">
      <calculatedColumnFormula>IF(tblScores[[#This Row],[Month]]="","",IF(tblScores[[#This Row],[Units received]]&gt;0,tblScores[[#This Row],[Units rejected]]/tblScores[[#This Row],[Units received]]*1000000,""))</calculatedColumnFormula>
    </tableColumn>
    <tableColumn id="9" name="Quality (pts)">
      <calculatedColumnFormula>IF(tblScores[[#This Row],[Month]]="","",IF(ISNUMBER(tblScores[[#This Row],[PPM]]),100*MAX(0,1-tblScores[[#This Row],[PPM]]/PpmZero),""))</calculatedColumnFormula>
    </tableColumn>
    <tableColumn id="10" name="On-time delivery">
      <calculatedColumnFormula>IF(tblScores[[#This Row],[Month]]="","",IF(tblScores[[#This Row],[Deliveries due]]&gt;0,tblScores[[#This Row],[Deliveries on time]]/tblScores[[#This Row],[Deliveries due]],""))</calculatedColumnFormula>
    </tableColumn>
    <tableColumn id="11" name="Delivery (pts)">
      <calculatedColumnFormula>IF(tblScores[[#This Row],[Month]]="","",IF(ISNUMBER(tblScores[[#This Row],[On-time delivery]]),100*tblScores[[#This Row],[On-time delivery]],""))</calculatedColumnFormula>
    </tableColumn>
    <tableColumn id="12" name="Composite (pts)">
      <calculatedColumnFormula>IF(tblScores[[#This Row],[Month]]="","",IF(AND(ISNUMBER(tblScores[[#This Row],[Quality (pts)]]),ISNUMBER(tblScores[[#This Row],[Delivery (pts)]]),ISNUMBER(tblScores[[#This Row],[Responsiveness (pts)]])),(WeightQ*tblScores[[#This Row],[Quality (pts)]]+WeightD*tblScores[[#This Row],[Delivery (pts)]]+WeightR*tblScores[[#This Row],[Responsiveness (pts)]])/(WeightQ+WeightD+WeightR),""))</calculatedColumnFormula>
    </tableColumn>
    <tableColumn id="13" name="Status">
      <calculatedColumnFormula>IF(NOT(ISNUMBER(tblScores[[#This Row],[Composite (pts)]])),"",IF(tblScores[[#This Row],[Composite (pts)]]&gt;=MinScore,"On target",IF(tblScores[[#This Row],[Composite (pts)]]&gt;=MinScore*(1-0.05),"Near target","Below target")))</calculatedColumnFormula>
    </tableColumn>
    <tableColumn id="14" name="View date">
      <calculatedColumnFormula>IF(tblScores[[#This Row],[Month]]="","",IF(AND(tblScores[[#This Row],[Month]]&gt;=FFrom,tblScores[[#This Row],[Month]]&lt;=FTo,OR(DashSupplier="",tblScores[[#This Row],[Supplier]]=DashSupplier)),tblScores[[#This Row],[Month]],""))</calculatedColumnFormula>
    </tableColumn>
    <tableColumn id="15" name="Check">
      <calculatedColumnFormula>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calculatedColumnFormula>
    </tableColumn>
    <tableColumn id="16" name="Notes"/>
  </tableColumns>
  <tableStyleInfo name="TableStyleLight1" showFirstColumn="0" showLastColumn="0" showRowStripes="0" showColumnStripes="0"/>
</table>
</file>

<file path=xl/tables/table3.xml><?xml version="1.0" encoding="utf-8"?>
<table xmlns="http://schemas.openxmlformats.org/spreadsheetml/2006/main" id="3" name="tblVerifySuppliers" displayName="tblVerifySuppliers" ref="B47:E49" totalsRowShown="0">
  <tableColumns count="4">
    <tableColumn id="1" name="Supplier"/>
    <tableColumn id="2" name="Commodity"/>
    <tableColumn id="3" name="Country"/>
    <tableColumn id="4" name="Notes"/>
  </tableColumns>
  <tableStyleInfo name="TableStyleLight1" showFirstColumn="0" showLastColumn="0" showRowStripes="0" showColumnStripes="0"/>
</table>
</file>

<file path=xl/tables/table4.xml><?xml version="1.0" encoding="utf-8"?>
<table xmlns="http://schemas.openxmlformats.org/spreadsheetml/2006/main" id="4" name="tblVerifyScores" displayName="tblVerifyScores" ref="B52:Q56" totalsRowShown="0">
  <tableColumns count="16">
    <tableColumn id="1" name="Month"/>
    <tableColumn id="2" name="Supplier"/>
    <tableColumn id="3" name="Units received"/>
    <tableColumn id="4" name="Units rejected"/>
    <tableColumn id="5" name="Deliveries due"/>
    <tableColumn id="6" name="Deliveries on time"/>
    <tableColumn id="7" name="Responsiveness (pts)"/>
    <tableColumn id="8" name="PPM">
      <calculatedColumnFormula>IF(tblVerifyScores[[#This Row],[Month]]="","",IF(tblVerifyScores[[#This Row],[Units received]]&gt;0,tblVerifyScores[[#This Row],[Units rejected]]/tblVerifyScores[[#This Row],[Units received]]*1000000,""))</calculatedColumnFormula>
    </tableColumn>
    <tableColumn id="9" name="Quality (pts)">
      <calculatedColumnFormula>IF(tblVerifyScores[[#This Row],[Month]]="","",IF(ISNUMBER(tblVerifyScores[[#This Row],[PPM]]),100*MAX(0,1-tblVerifyScores[[#This Row],[PPM]]/$E$42),""))</calculatedColumnFormula>
    </tableColumn>
    <tableColumn id="10" name="On-time delivery">
      <calculatedColumnFormula>IF(tblVerifyScores[[#This Row],[Month]]="","",IF(tblVerifyScores[[#This Row],[Deliveries due]]&gt;0,tblVerifyScores[[#This Row],[Deliveries on time]]/tblVerifyScores[[#This Row],[Deliveries due]],""))</calculatedColumnFormula>
    </tableColumn>
    <tableColumn id="11" name="Delivery (pts)">
      <calculatedColumnFormula>IF(tblVerifyScores[[#This Row],[Month]]="","",IF(ISNUMBER(tblVerifyScores[[#This Row],[On-time delivery]]),100*tblVerifyScores[[#This Row],[On-time delivery]],""))</calculatedColumnFormula>
    </tableColumn>
    <tableColumn id="12" name="Composite (pts)">
      <calculatedColumnFormula>IF(tblVerifyScores[[#This Row],[Month]]="","",IF(AND(ISNUMBER(tblVerifyScores[[#This Row],[Quality (pts)]]),ISNUMBER(tblVerifyScores[[#This Row],[Delivery (pts)]]),ISNUMBER(tblVerifyScores[[#This Row],[Responsiveness (pts)]])),($E$38*tblVerifyScores[[#This Row],[Quality (pts)]]+$E$39*tblVerifyScores[[#This Row],[Delivery (pts)]]+$E$40*tblVerifyScores[[#This Row],[Responsiveness (pts)]])/($E$38+$E$39+$E$40),""))</calculatedColumnFormula>
    </tableColumn>
    <tableColumn id="13" name="Status">
      <calculatedColumnFormula>IF(NOT(ISNUMBER(tblVerifyScores[[#This Row],[Composite (pts)]])),"",IF(tblVerifyScores[[#This Row],[Composite (pts)]]&gt;=$E$41,"On target",IF(tblVerifyScores[[#This Row],[Composite (pts)]]&gt;=$E$41*(1-0.05),"Near target","Below target")))</calculatedColumnFormula>
    </tableColumn>
    <tableColumn id="14" name="View date">
      <calculatedColumnFormula>IF(tblVerifyScores[[#This Row],[Month]]="","",IF(AND(tblVerifyScores[[#This Row],[Month]]&gt;=$E$35,tblVerifyScores[[#This Row],[Month]]&lt;=$E$36,OR($E$37="",tblVerifyScores[[#This Row],[Supplier]]=$E$37)),tblVerifyScores[[#This Row],[Month]],""))</calculatedColumnFormula>
    </tableColumn>
    <tableColumn id="15" name="Check">
      <calculatedColumnFormula>IF(tblVerifyScores[[#This Row],[Month]]="","",IF(tblVerifyScores[[#This Row],[Supplier]]="","Missing supplier",IF(tblVerifyScores[[#This Row],[Units received]]="","Missing units received",IF(tblVerifyScores[[#This Row],[Deliveries due]]="","Missing deliveries due",IF(COUNTIF(tblVerifySuppliers[Supplier],tblVerifyScores[[#This Row],[Supplier]])=0,"Supplier not on Setup list",IF(tblVerifyScores[[#This Row],[Units rejected]]&gt;tblVerifyScores[[#This Row],[Units received]],"Rejected &gt; received",IF(tblVerifyScores[[#This Row],[Deliveries on time]]&gt;tblVerifyScores[[#This Row],[Deliveries due]],"On time &gt; due",IF(tblVerifyScores[[#This Row],[Units received]]=0,"No units received",IF(tblVerifyScores[[#This Row],[Deliveries due]]=0,"No deliveries due",IF(DAY(tblVerifyScores[[#This Row],[Month]])&lt;&gt;1,"Use the 1st of the month",IF(COUNTIFS(tblVerifyScores[Month],tblVerifyScores[[#This Row],[Month]],tblVerifyScores[Supplier],tblVerifyScores[[#This Row],[Supplier]])&gt;1,"Duplicate supplier month","OK")))))))))))</calculatedColumnFormula>
    </tableColumn>
    <tableColumn id="16"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scorecard" TargetMode="External"/><Relationship Id="rId2" Type="http://schemas.openxmlformats.org/officeDocument/2006/relationships/hyperlink" Target="https://www.mfgcalcs.com/calculators/supplier-quality-development-audits/supplier-scorecard?utm_source=mfgcalcs-template&amp;utm_medium=xlsx&amp;utm_campaign=supplier-scorecard" TargetMode="External"/><Relationship Id="rId3" Type="http://schemas.openxmlformats.org/officeDocument/2006/relationships/hyperlink" Target="https://www.mfgcalcs.com/templates/supplier-scorecard?utm_source=mfgcalcs-template&amp;utm_medium=xlsx&amp;utm_campaign=supplier-scorecard" TargetMode="External"/><Relationship Id="rId4" Type="http://schemas.openxmlformats.org/officeDocument/2006/relationships/hyperlink" Target="https://www.mfgcalcs.com/templates?utm_source=mfgcalcs-template&amp;utm_medium=xlsx&amp;utm_campaign=supplier-scorecard"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scorecard"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scorecard"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scorecard"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scorecard" TargetMode="External"/><Relationship Id="rId2" Type="http://schemas.openxmlformats.org/officeDocument/2006/relationships/hyperlink" Target="https://www.mfgcalcs.com/calculators/supplier-quality-development-audits/supplier-scorecard?utm_source=mfgcalcs-template&amp;utm_medium=xlsx&amp;utm_campaign=supplier-scorecard"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upplier-scorecard"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16.2"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19 of 19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61.8"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Monthly Log'!A1" tooltip="Go to Monthly Log" display="Monthly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Supplier Scorecard&amp;R&amp;8&amp;A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8"/>
  <sheetViews>
    <sheetView showGridLines="0" workbookViewId="0"/>
  </sheetViews>
  <sheetFormatPr defaultRowHeight="15"/>
  <cols>
    <col min="1" max="1" width="2.7109375" customWidth="1"/>
    <col min="2" max="2" width="30.7109375" customWidth="1"/>
    <col min="3" max="3" width="14.7109375" customWidth="1"/>
    <col min="4" max="4" width="12.7109375" customWidth="1"/>
    <col min="5" max="5" width="40.7109375" customWidth="1"/>
  </cols>
  <sheetData>
    <row r="1" spans="1:5" ht="30" customHeight="1">
      <c r="A1" s="1" t="s">
        <v>0</v>
      </c>
      <c r="B1" s="1"/>
      <c r="C1" s="1"/>
      <c r="D1" s="1"/>
      <c r="E1" s="1"/>
    </row>
    <row r="2" spans="1:5" ht="32.4" customHeight="1">
      <c r="B2" s="2" t="s">
        <v>18</v>
      </c>
      <c r="C2" s="2"/>
      <c r="D2" s="2"/>
      <c r="E2" s="3" t="s">
        <v>2</v>
      </c>
    </row>
    <row r="3" spans="1:5" ht="6" customHeight="1"/>
    <row r="4" spans="1:5" ht="21" customHeight="1">
      <c r="B4" s="8" t="s">
        <v>64</v>
      </c>
      <c r="C4" s="8"/>
      <c r="D4" s="8"/>
      <c r="E4" s="8"/>
    </row>
    <row r="5" spans="1:5" ht="5" customHeight="1"/>
    <row r="6" spans="1:5">
      <c r="B6" s="27" t="s">
        <v>65</v>
      </c>
      <c r="C6" s="28" t="s">
        <v>66</v>
      </c>
      <c r="D6" s="28"/>
    </row>
    <row r="7" spans="1:5">
      <c r="B7" s="27" t="s">
        <v>67</v>
      </c>
      <c r="C7" s="29">
        <v>50</v>
      </c>
      <c r="D7" s="7" t="s">
        <v>68</v>
      </c>
    </row>
    <row r="8" spans="1:5">
      <c r="B8" s="27" t="s">
        <v>69</v>
      </c>
      <c r="C8" s="29">
        <v>30</v>
      </c>
      <c r="D8" s="7" t="s">
        <v>68</v>
      </c>
    </row>
    <row r="9" spans="1:5">
      <c r="B9" s="27" t="s">
        <v>70</v>
      </c>
      <c r="C9" s="29">
        <v>20</v>
      </c>
      <c r="D9" s="7" t="s">
        <v>68</v>
      </c>
    </row>
    <row r="10" spans="1:5">
      <c r="B10" s="27" t="s">
        <v>71</v>
      </c>
      <c r="C10" s="30">
        <v>85</v>
      </c>
      <c r="D10" s="7" t="s">
        <v>72</v>
      </c>
    </row>
    <row r="11" spans="1:5">
      <c r="B11" s="27" t="s">
        <v>73</v>
      </c>
      <c r="C11" s="29">
        <v>4000</v>
      </c>
      <c r="D11" s="7" t="s">
        <v>74</v>
      </c>
    </row>
    <row r="12" spans="1:5">
      <c r="B12" s="27" t="s">
        <v>75</v>
      </c>
      <c r="C12" s="29">
        <v>500</v>
      </c>
      <c r="D12" s="7" t="s">
        <v>74</v>
      </c>
    </row>
    <row r="13" spans="1:5">
      <c r="B13" s="27" t="s">
        <v>76</v>
      </c>
      <c r="C13" s="31">
        <v>0.95</v>
      </c>
      <c r="D13" s="7" t="s">
        <v>77</v>
      </c>
    </row>
    <row r="15" spans="1:5" ht="35.4" customHeight="1">
      <c r="B15" s="25" t="s">
        <v>78</v>
      </c>
      <c r="C15" s="25"/>
      <c r="D15" s="25"/>
      <c r="E15" s="25"/>
    </row>
    <row r="17" spans="2:5" ht="21" customHeight="1">
      <c r="B17" s="8" t="s">
        <v>79</v>
      </c>
      <c r="C17" s="8"/>
      <c r="D17" s="8"/>
      <c r="E17" s="8"/>
    </row>
    <row r="18" spans="2:5" ht="5" customHeight="1"/>
    <row r="19" spans="2:5">
      <c r="B19" s="32" t="s">
        <v>80</v>
      </c>
      <c r="C19" s="32"/>
      <c r="D19" s="32"/>
      <c r="E19" s="32"/>
    </row>
    <row r="20" spans="2:5" ht="20" customHeight="1">
      <c r="B20" s="33" t="s">
        <v>60</v>
      </c>
      <c r="C20" s="33" t="s">
        <v>61</v>
      </c>
      <c r="D20" s="33" t="s">
        <v>62</v>
      </c>
      <c r="E20" s="33" t="s">
        <v>63</v>
      </c>
    </row>
    <row r="21" spans="2:5">
      <c r="B21" s="28" t="s">
        <v>81</v>
      </c>
      <c r="C21" s="28" t="s">
        <v>82</v>
      </c>
      <c r="D21" s="28" t="s">
        <v>83</v>
      </c>
      <c r="E21" s="28" t="s">
        <v>84</v>
      </c>
    </row>
    <row r="22" spans="2:5">
      <c r="B22" s="28" t="s">
        <v>85</v>
      </c>
      <c r="C22" s="28" t="s">
        <v>86</v>
      </c>
      <c r="D22" s="28" t="s">
        <v>87</v>
      </c>
      <c r="E22" s="28" t="s">
        <v>88</v>
      </c>
    </row>
    <row r="23" spans="2:5">
      <c r="B23" s="28" t="s">
        <v>89</v>
      </c>
      <c r="C23" s="28" t="s">
        <v>90</v>
      </c>
      <c r="D23" s="28" t="s">
        <v>91</v>
      </c>
      <c r="E23" s="28" t="s">
        <v>92</v>
      </c>
    </row>
    <row r="24" spans="2:5">
      <c r="B24" s="28" t="s">
        <v>93</v>
      </c>
      <c r="C24" s="28" t="s">
        <v>94</v>
      </c>
      <c r="D24" s="28" t="s">
        <v>95</v>
      </c>
      <c r="E24" s="28" t="s">
        <v>96</v>
      </c>
    </row>
    <row r="25" spans="2:5">
      <c r="B25" s="28" t="s">
        <v>97</v>
      </c>
      <c r="C25" s="28" t="s">
        <v>98</v>
      </c>
      <c r="D25" s="28" t="s">
        <v>99</v>
      </c>
      <c r="E25" s="28" t="s">
        <v>100</v>
      </c>
    </row>
    <row r="26" spans="2:5">
      <c r="B26" s="28" t="s">
        <v>101</v>
      </c>
      <c r="C26" s="28" t="s">
        <v>102</v>
      </c>
      <c r="D26" s="28" t="s">
        <v>103</v>
      </c>
      <c r="E26" s="28" t="s">
        <v>104</v>
      </c>
    </row>
    <row r="27" spans="2:5">
      <c r="B27" s="28" t="s">
        <v>105</v>
      </c>
      <c r="C27" s="28" t="s">
        <v>106</v>
      </c>
      <c r="D27" s="28" t="s">
        <v>107</v>
      </c>
      <c r="E27" s="28" t="s">
        <v>108</v>
      </c>
    </row>
    <row r="28" spans="2:5">
      <c r="B28" s="28" t="s">
        <v>109</v>
      </c>
      <c r="C28" s="28" t="s">
        <v>110</v>
      </c>
      <c r="D28" s="28" t="s">
        <v>107</v>
      </c>
      <c r="E28" s="28" t="s">
        <v>111</v>
      </c>
    </row>
  </sheetData>
  <mergeCells count="7">
    <mergeCell ref="A1:E1"/>
    <mergeCell ref="B2:D2"/>
    <mergeCell ref="B4:E4"/>
    <mergeCell ref="C6:D6"/>
    <mergeCell ref="B15:E15"/>
    <mergeCell ref="B17:E17"/>
    <mergeCell ref="B19:E19"/>
  </mergeCells>
  <dataValidations count="12">
    <dataValidation type="textLength" allowBlank="1" showInputMessage="1" showErrorMessage="1" errorTitle="Check this entry" error="Text up to 80 characters." promptTitle="Company or plant" prompt="Text up to 80 characters." sqref="C6">
      <formula1>0</formula1>
      <formula2>80</formula2>
    </dataValidation>
    <dataValidation type="decimal" allowBlank="1" showInputMessage="1" showErrorMessage="1" errorTitle="Check this entry" error="Enter a number from 0 to 100." promptTitle="Weight: quality" prompt="Relative weight of the quality pillar. Weights are divided by their sum, so 50/30/20 and 5/3/2 give the same composite. Enter a number from 0 to 100." sqref="C7">
      <formula1>0</formula1>
      <formula2>100</formula2>
    </dataValidation>
    <dataValidation type="decimal" allowBlank="1" showInputMessage="1" showErrorMessage="1" errorTitle="Check this entry" error="Enter a number from 0 to 100." promptTitle="Weight: delivery" prompt="Relative weight of on-time delivery. Enter a number from 0 to 100." sqref="C8">
      <formula1>0</formula1>
      <formula2>100</formula2>
    </dataValidation>
    <dataValidation type="decimal" allowBlank="1" showInputMessage="1" showErrorMessage="1" errorTitle="Check this entry" error="Enter a number from 0 to 100." promptTitle="Weight: responsiveness" prompt="Relative weight of the responsiveness rating. Enter a number from 0 to 100." sqref="C9">
      <formula1>0</formula1>
      <formula2>100</formula2>
    </dataValidation>
    <dataValidation type="decimal" allowBlank="1" showInputMessage="1" showErrorMessage="1" errorTitle="Check this entry" error="Enter a number from 0 to 100." promptTitle="Minimum acceptable composite" prompt="Your own threshold (0-100). Suppliers below it are flagged 'Below target'; within 5% of it, 'Near target'. Enter a number from 0 to 100." sqref="C10">
      <formula1>0</formula1>
      <formula2>100</formula2>
    </dataValidation>
    <dataValidation type="decimal" allowBlank="1" showInputMessage="1" showErrorMessage="1" errorTitle="Check this entry" error="Enter a number from 1 to 1,000,000." promptTitle="PPM that scores zero on quality" prompt="Quality score = 100 x (1 - PPM / this value), never below 0. With 4,000: 0 PPM scores 100, 400 PPM scores 90, 4,000 PPM or more scores 0. Enter a number from 1 to 1,000,000." sqref="C11">
      <formula1>1</formula1>
      <formula2>1000000</formula2>
    </dataValidation>
    <dataValidation type="decimal" allowBlank="1" showInputMessage="1" showErrorMessage="1" errorTitle="Check this entry" error="Enter a number from 0 to 1,000,000." promptTitle="PPM target" prompt="Your incoming-quality target for the Dashboard tile (lower is better). Enter a number from 0 to 1,000,000." sqref="C12">
      <formula1>0</formula1>
      <formula2>1000000</formula2>
    </dataValidation>
    <dataValidation type="decimal" allowBlank="1" showInputMessage="1" showErrorMessage="1" errorTitle="Check this entry" error="Enter a percentage from 0% to 100% (type 85% or 0.85)." promptTitle="On-time delivery target" prompt="Your delivery target for the Dashboard tile. Enter a percentage from 0% to 100% (type 85% or 0.85)." sqref="C13">
      <formula1>0</formula1>
      <formula2>1</formula2>
    </dataValidation>
    <dataValidation type="textLength" allowBlank="1" showInputMessage="1" showErrorMessage="1" errorTitle="Check this entry" error="Text up to 60 characters." promptTitle="Supplier" prompt="Text up to 60 characters." sqref="B21:B128">
      <formula1>0</formula1>
      <formula2>60</formula2>
    </dataValidation>
    <dataValidation type="textLength" allowBlank="1" showInputMessage="1" showErrorMessage="1" errorTitle="Check this entry" error="Text up to 40 characters." promptTitle="Commodity" prompt="Text up to 40 characters." sqref="C21:C128">
      <formula1>0</formula1>
      <formula2>40</formula2>
    </dataValidation>
    <dataValidation type="textLength" allowBlank="1" showInputMessage="1" showErrorMessage="1" errorTitle="Check this entry" error="Text up to 40 characters." promptTitle="Country" prompt="Text up to 40 characters." sqref="D21:D128">
      <formula1>0</formula1>
      <formula2>40</formula2>
    </dataValidation>
    <dataValidation type="textLength" allowBlank="1" showInputMessage="1" showErrorMessage="1" errorTitle="Check this entry" error="Text up to 120 characters." promptTitle="Notes" prompt="Text up to 120 characters." sqref="E21:E128">
      <formula1>0</formula1>
      <formula2>120</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Supplier Scorecard&amp;R&amp;8&amp;A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Q53"/>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2.7109375" customWidth="1"/>
    <col min="2" max="2" width="12.28515625" customWidth="1"/>
    <col min="3" max="3" width="19.7109375" customWidth="1"/>
    <col min="4" max="5" width="10.7109375" customWidth="1"/>
    <col min="6" max="7" width="10.28515625" customWidth="1"/>
    <col min="8" max="8" width="12.7109375" customWidth="1"/>
    <col min="9" max="9" width="8.7109375" customWidth="1"/>
    <col min="10" max="10" width="9.28515625" customWidth="1"/>
    <col min="11" max="11" width="10.28515625" customWidth="1"/>
    <col min="12" max="12" width="9.28515625" customWidth="1"/>
    <col min="13" max="13" width="10.7109375" customWidth="1"/>
    <col min="14" max="15" width="12.28515625" customWidth="1"/>
    <col min="16" max="16" width="24.7109375" customWidth="1"/>
    <col min="17" max="17" width="28.7109375" customWidth="1"/>
  </cols>
  <sheetData>
    <row r="1" spans="1:17" ht="30" customHeight="1" x14ac:dyDescent="0.25">
      <c r="A1" s="1" t="s">
        <v>0</v>
      </c>
      <c r="B1" s="1"/>
      <c r="C1" s="1"/>
      <c r="D1" s="1"/>
      <c r="E1" s="1"/>
      <c r="F1" s="1"/>
      <c r="G1" s="1"/>
      <c r="H1" s="1"/>
      <c r="I1" s="1"/>
      <c r="J1" s="1"/>
      <c r="K1" s="1"/>
      <c r="L1" s="1"/>
      <c r="M1" s="1"/>
      <c r="N1" s="1"/>
      <c r="O1" s="1"/>
      <c r="P1" s="1"/>
      <c r="Q1" s="1"/>
    </row>
    <row r="2" spans="1:17" ht="21" customHeight="1" x14ac:dyDescent="0.25">
      <c r="B2" s="2" t="s">
        <v>20</v>
      </c>
      <c r="C2" s="2"/>
      <c r="D2" s="2"/>
      <c r="E2" s="2"/>
      <c r="F2" s="2"/>
      <c r="G2" s="2"/>
      <c r="H2" s="2"/>
      <c r="I2" s="2"/>
      <c r="J2" s="2"/>
      <c r="K2" s="2"/>
      <c r="L2" s="2"/>
      <c r="M2" s="2"/>
      <c r="N2" s="2"/>
      <c r="O2" s="2"/>
      <c r="P2" s="2"/>
      <c r="Q2" s="3" t="s">
        <v>2</v>
      </c>
    </row>
    <row r="3" spans="1:17" ht="6" customHeight="1" x14ac:dyDescent="0.25"/>
    <row r="4" spans="1:17" ht="29.76" customHeight="1" x14ac:dyDescent="0.25">
      <c r="B4" s="34" t="s">
        <v>125</v>
      </c>
      <c r="C4" s="34"/>
      <c r="D4" s="34"/>
      <c r="E4" s="34"/>
      <c r="F4" s="34"/>
      <c r="G4" s="34"/>
      <c r="H4" s="34"/>
      <c r="I4" s="34"/>
      <c r="J4" s="34"/>
      <c r="K4" s="34"/>
      <c r="L4" s="34"/>
      <c r="M4" s="34"/>
      <c r="N4" s="34"/>
      <c r="O4" s="34"/>
      <c r="P4" s="34"/>
      <c r="Q4" s="34"/>
    </row>
    <row r="5" spans="1:17" ht="32" customHeight="1" x14ac:dyDescent="0.25">
      <c r="B5" s="33" t="s">
        <v>112</v>
      </c>
      <c r="C5" s="33" t="s">
        <v>60</v>
      </c>
      <c r="D5" s="33" t="s">
        <v>113</v>
      </c>
      <c r="E5" s="33" t="s">
        <v>114</v>
      </c>
      <c r="F5" s="33" t="s">
        <v>115</v>
      </c>
      <c r="G5" s="33" t="s">
        <v>116</v>
      </c>
      <c r="H5" s="33" t="s">
        <v>117</v>
      </c>
      <c r="I5" s="33" t="s">
        <v>74</v>
      </c>
      <c r="J5" s="33" t="s">
        <v>118</v>
      </c>
      <c r="K5" s="33" t="s">
        <v>119</v>
      </c>
      <c r="L5" s="33" t="s">
        <v>120</v>
      </c>
      <c r="M5" s="33" t="s">
        <v>121</v>
      </c>
      <c r="N5" s="33" t="s">
        <v>122</v>
      </c>
      <c r="O5" s="33" t="s">
        <v>123</v>
      </c>
      <c r="P5" s="33" t="s">
        <v>124</v>
      </c>
      <c r="Q5" s="33" t="s">
        <v>63</v>
      </c>
    </row>
    <row r="6" spans="1:17" x14ac:dyDescent="0.25">
      <c r="B6" s="35">
        <v>46113</v>
      </c>
      <c r="C6" s="28" t="s">
        <v>81</v>
      </c>
      <c r="D6" s="29">
        <v>2670</v>
      </c>
      <c r="E6" s="29">
        <v>2</v>
      </c>
      <c r="F6" s="29">
        <v>6</v>
      </c>
      <c r="G6" s="29">
        <v>6</v>
      </c>
      <c r="H6" s="29">
        <v>85</v>
      </c>
      <c r="I6" s="36">
        <f>IF(tblScores[[#This Row],[Month]]="","",IF(tblScores[[#This Row],[Units received]]&gt;0,tblScores[[#This Row],[Units rejected]]/tblScores[[#This Row],[Units received]]*1000000,""))</f>
        <v>749.063670411985</v>
      </c>
      <c r="J6" s="37">
        <f>IF(tblScores[[#This Row],[Month]]="","",IF(ISNUMBER(tblScores[[#This Row],[PPM]]),100*MAX(0,1-tblScores[[#This Row],[PPM]]/PpmZero),""))</f>
        <v>81.2734082397004</v>
      </c>
      <c r="K6" s="38">
        <f>IF(tblScores[[#This Row],[Month]]="","",IF(tblScores[[#This Row],[Deliveries due]]&gt;0,tblScores[[#This Row],[Deliveries on time]]/tblScores[[#This Row],[Deliveries due]],""))</f>
        <v>1</v>
      </c>
      <c r="L6" s="37">
        <f>IF(tblScores[[#This Row],[Month]]="","",IF(ISNUMBER(tblScores[[#This Row],[On-time delivery]]),100*tblScores[[#This Row],[On-time delivery]],""))</f>
        <v>100</v>
      </c>
      <c r="M6"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87.6367041198502</v>
      </c>
      <c r="N6" s="39" t="str">
        <f>IF(NOT(ISNUMBER(tblScores[[#This Row],[Composite (pts)]])),"",IF(tblScores[[#This Row],[Composite (pts)]]&gt;=MinScore,"On target",IF(tblScores[[#This Row],[Composite (pts)]]&gt;=MinScore*(1-0.05),"Near target","Below target")))</f>
        <v>On target</v>
      </c>
      <c r="O6" s="40">
        <f>IF(tblScores[[#This Row],[Month]]="","",IF(AND(tblScores[[#This Row],[Month]]&gt;=FFrom,tblScores[[#This Row],[Month]]&lt;=FTo,OR(DashSupplier="",tblScores[[#This Row],[Supplier]]=DashSupplier)),tblScores[[#This Row],[Month]],""))</f>
        <v>46113</v>
      </c>
      <c r="P6"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6" s="28" t="s">
        <v>126</v>
      </c>
    </row>
    <row r="7" spans="1:17" x14ac:dyDescent="0.25">
      <c r="B7" s="35">
        <v>46113</v>
      </c>
      <c r="C7" s="28" t="s">
        <v>85</v>
      </c>
      <c r="D7" s="29">
        <v>20470</v>
      </c>
      <c r="E7" s="29">
        <v>5</v>
      </c>
      <c r="F7" s="29">
        <v>12</v>
      </c>
      <c r="G7" s="29">
        <v>11</v>
      </c>
      <c r="H7" s="29">
        <v>80</v>
      </c>
      <c r="I7" s="36">
        <f>IF(tblScores[[#This Row],[Month]]="","",IF(tblScores[[#This Row],[Units received]]&gt;0,tblScores[[#This Row],[Units rejected]]/tblScores[[#This Row],[Units received]]*1000000,""))</f>
        <v>244.259892525647</v>
      </c>
      <c r="J7" s="37">
        <f>IF(tblScores[[#This Row],[Month]]="","",IF(ISNUMBER(tblScores[[#This Row],[PPM]]),100*MAX(0,1-tblScores[[#This Row],[PPM]]/PpmZero),""))</f>
        <v>93.8935026868588</v>
      </c>
      <c r="K7" s="38">
        <f>IF(tblScores[[#This Row],[Month]]="","",IF(tblScores[[#This Row],[Deliveries due]]&gt;0,tblScores[[#This Row],[Deliveries on time]]/tblScores[[#This Row],[Deliveries due]],""))</f>
        <v>0.916666666666667</v>
      </c>
      <c r="L7" s="37">
        <f>IF(tblScores[[#This Row],[Month]]="","",IF(ISNUMBER(tblScores[[#This Row],[On-time delivery]]),100*tblScores[[#This Row],[On-time delivery]],""))</f>
        <v>91.6666666666667</v>
      </c>
      <c r="M7"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90.4467513434294</v>
      </c>
      <c r="N7" s="39" t="str">
        <f>IF(NOT(ISNUMBER(tblScores[[#This Row],[Composite (pts)]])),"",IF(tblScores[[#This Row],[Composite (pts)]]&gt;=MinScore,"On target",IF(tblScores[[#This Row],[Composite (pts)]]&gt;=MinScore*(1-0.05),"Near target","Below target")))</f>
        <v>On target</v>
      </c>
      <c r="O7" s="40">
        <f>IF(tblScores[[#This Row],[Month]]="","",IF(AND(tblScores[[#This Row],[Month]]&gt;=FFrom,tblScores[[#This Row],[Month]]&lt;=FTo,OR(DashSupplier="",tblScores[[#This Row],[Supplier]]=DashSupplier)),tblScores[[#This Row],[Month]],""))</f>
        <v>46113</v>
      </c>
      <c r="P7"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7" s="28" t="s">
        <v>126</v>
      </c>
    </row>
    <row r="8" spans="1:17" x14ac:dyDescent="0.25">
      <c r="B8" s="35">
        <v>46113</v>
      </c>
      <c r="C8" s="28" t="s">
        <v>89</v>
      </c>
      <c r="D8" s="29">
        <v>62220</v>
      </c>
      <c r="E8" s="29">
        <v>2</v>
      </c>
      <c r="F8" s="29">
        <v>13</v>
      </c>
      <c r="G8" s="29">
        <v>12</v>
      </c>
      <c r="H8" s="29">
        <v>90</v>
      </c>
      <c r="I8" s="36">
        <f>IF(tblScores[[#This Row],[Month]]="","",IF(tblScores[[#This Row],[Units received]]&gt;0,tblScores[[#This Row],[Units rejected]]/tblScores[[#This Row],[Units received]]*1000000,""))</f>
        <v>32.1440051430408</v>
      </c>
      <c r="J8" s="37">
        <f>IF(tblScores[[#This Row],[Month]]="","",IF(ISNUMBER(tblScores[[#This Row],[PPM]]),100*MAX(0,1-tblScores[[#This Row],[PPM]]/PpmZero),""))</f>
        <v>99.196399871424</v>
      </c>
      <c r="K8" s="38">
        <f>IF(tblScores[[#This Row],[Month]]="","",IF(tblScores[[#This Row],[Deliveries due]]&gt;0,tblScores[[#This Row],[Deliveries on time]]/tblScores[[#This Row],[Deliveries due]],""))</f>
        <v>0.923076923076923</v>
      </c>
      <c r="L8" s="37">
        <f>IF(tblScores[[#This Row],[Month]]="","",IF(ISNUMBER(tblScores[[#This Row],[On-time delivery]]),100*tblScores[[#This Row],[On-time delivery]],""))</f>
        <v>92.3076923076923</v>
      </c>
      <c r="M8"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95.2905076280197</v>
      </c>
      <c r="N8" s="39" t="str">
        <f>IF(NOT(ISNUMBER(tblScores[[#This Row],[Composite (pts)]])),"",IF(tblScores[[#This Row],[Composite (pts)]]&gt;=MinScore,"On target",IF(tblScores[[#This Row],[Composite (pts)]]&gt;=MinScore*(1-0.05),"Near target","Below target")))</f>
        <v>On target</v>
      </c>
      <c r="O8" s="40">
        <f>IF(tblScores[[#This Row],[Month]]="","",IF(AND(tblScores[[#This Row],[Month]]&gt;=FFrom,tblScores[[#This Row],[Month]]&lt;=FTo,OR(DashSupplier="",tblScores[[#This Row],[Supplier]]=DashSupplier)),tblScores[[#This Row],[Month]],""))</f>
        <v>46113</v>
      </c>
      <c r="P8"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8" s="28" t="s">
        <v>126</v>
      </c>
    </row>
    <row r="9" spans="1:17" x14ac:dyDescent="0.25">
      <c r="B9" s="35">
        <v>46113</v>
      </c>
      <c r="C9" s="28" t="s">
        <v>93</v>
      </c>
      <c r="D9" s="29">
        <v>2910</v>
      </c>
      <c r="E9" s="29">
        <v>2</v>
      </c>
      <c r="F9" s="29">
        <v>5</v>
      </c>
      <c r="G9" s="29">
        <v>5</v>
      </c>
      <c r="H9" s="29">
        <v>80</v>
      </c>
      <c r="I9" s="36">
        <f>IF(tblScores[[#This Row],[Month]]="","",IF(tblScores[[#This Row],[Units received]]&gt;0,tblScores[[#This Row],[Units rejected]]/tblScores[[#This Row],[Units received]]*1000000,""))</f>
        <v>687.285223367698</v>
      </c>
      <c r="J9" s="37">
        <f>IF(tblScores[[#This Row],[Month]]="","",IF(ISNUMBER(tblScores[[#This Row],[PPM]]),100*MAX(0,1-tblScores[[#This Row],[PPM]]/PpmZero),""))</f>
        <v>82.8178694158076</v>
      </c>
      <c r="K9" s="38">
        <f>IF(tblScores[[#This Row],[Month]]="","",IF(tblScores[[#This Row],[Deliveries due]]&gt;0,tblScores[[#This Row],[Deliveries on time]]/tblScores[[#This Row],[Deliveries due]],""))</f>
        <v>1</v>
      </c>
      <c r="L9" s="37">
        <f>IF(tblScores[[#This Row],[Month]]="","",IF(ISNUMBER(tblScores[[#This Row],[On-time delivery]]),100*tblScores[[#This Row],[On-time delivery]],""))</f>
        <v>100</v>
      </c>
      <c r="M9"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87.4089347079038</v>
      </c>
      <c r="N9" s="39" t="str">
        <f>IF(NOT(ISNUMBER(tblScores[[#This Row],[Composite (pts)]])),"",IF(tblScores[[#This Row],[Composite (pts)]]&gt;=MinScore,"On target",IF(tblScores[[#This Row],[Composite (pts)]]&gt;=MinScore*(1-0.05),"Near target","Below target")))</f>
        <v>On target</v>
      </c>
      <c r="O9" s="40">
        <f>IF(tblScores[[#This Row],[Month]]="","",IF(AND(tblScores[[#This Row],[Month]]&gt;=FFrom,tblScores[[#This Row],[Month]]&lt;=FTo,OR(DashSupplier="",tblScores[[#This Row],[Supplier]]=DashSupplier)),tblScores[[#This Row],[Month]],""))</f>
        <v>46113</v>
      </c>
      <c r="P9"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9" s="28" t="s">
        <v>126</v>
      </c>
    </row>
    <row r="10" spans="1:17" x14ac:dyDescent="0.25">
      <c r="B10" s="35">
        <v>46113</v>
      </c>
      <c r="C10" s="28" t="s">
        <v>97</v>
      </c>
      <c r="D10" s="29">
        <v>1610</v>
      </c>
      <c r="E10" s="29">
        <v>0</v>
      </c>
      <c r="F10" s="29">
        <v>9</v>
      </c>
      <c r="G10" s="29">
        <v>8</v>
      </c>
      <c r="H10" s="29">
        <v>75</v>
      </c>
      <c r="I10" s="36">
        <f>IF(tblScores[[#This Row],[Month]]="","",IF(tblScores[[#This Row],[Units received]]&gt;0,tblScores[[#This Row],[Units rejected]]/tblScores[[#This Row],[Units received]]*1000000,""))</f>
        <v>0</v>
      </c>
      <c r="J10" s="37">
        <f>IF(tblScores[[#This Row],[Month]]="","",IF(ISNUMBER(tblScores[[#This Row],[PPM]]),100*MAX(0,1-tblScores[[#This Row],[PPM]]/PpmZero),""))</f>
        <v>100</v>
      </c>
      <c r="K10" s="38">
        <f>IF(tblScores[[#This Row],[Month]]="","",IF(tblScores[[#This Row],[Deliveries due]]&gt;0,tblScores[[#This Row],[Deliveries on time]]/tblScores[[#This Row],[Deliveries due]],""))</f>
        <v>0.888888888888889</v>
      </c>
      <c r="L10" s="37">
        <f>IF(tblScores[[#This Row],[Month]]="","",IF(ISNUMBER(tblScores[[#This Row],[On-time delivery]]),100*tblScores[[#This Row],[On-time delivery]],""))</f>
        <v>88.8888888888889</v>
      </c>
      <c r="M10"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91.6666666666667</v>
      </c>
      <c r="N10" s="39" t="str">
        <f>IF(NOT(ISNUMBER(tblScores[[#This Row],[Composite (pts)]])),"",IF(tblScores[[#This Row],[Composite (pts)]]&gt;=MinScore,"On target",IF(tblScores[[#This Row],[Composite (pts)]]&gt;=MinScore*(1-0.05),"Near target","Below target")))</f>
        <v>On target</v>
      </c>
      <c r="O10" s="40">
        <f>IF(tblScores[[#This Row],[Month]]="","",IF(AND(tblScores[[#This Row],[Month]]&gt;=FFrom,tblScores[[#This Row],[Month]]&lt;=FTo,OR(DashSupplier="",tblScores[[#This Row],[Supplier]]=DashSupplier)),tblScores[[#This Row],[Month]],""))</f>
        <v>46113</v>
      </c>
      <c r="P10"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10" s="28" t="s">
        <v>126</v>
      </c>
    </row>
    <row r="11" spans="1:17" x14ac:dyDescent="0.25">
      <c r="B11" s="35">
        <v>46113</v>
      </c>
      <c r="C11" s="28" t="s">
        <v>101</v>
      </c>
      <c r="D11" s="29">
        <v>11380</v>
      </c>
      <c r="E11" s="29">
        <v>2</v>
      </c>
      <c r="F11" s="29">
        <v>9</v>
      </c>
      <c r="G11" s="29">
        <v>8</v>
      </c>
      <c r="H11" s="29">
        <v>85</v>
      </c>
      <c r="I11" s="36">
        <f>IF(tblScores[[#This Row],[Month]]="","",IF(tblScores[[#This Row],[Units received]]&gt;0,tblScores[[#This Row],[Units rejected]]/tblScores[[#This Row],[Units received]]*1000000,""))</f>
        <v>175.746924428823</v>
      </c>
      <c r="J11" s="37">
        <f>IF(tblScores[[#This Row],[Month]]="","",IF(ISNUMBER(tblScores[[#This Row],[PPM]]),100*MAX(0,1-tblScores[[#This Row],[PPM]]/PpmZero),""))</f>
        <v>95.6063268892794</v>
      </c>
      <c r="K11" s="38">
        <f>IF(tblScores[[#This Row],[Month]]="","",IF(tblScores[[#This Row],[Deliveries due]]&gt;0,tblScores[[#This Row],[Deliveries on time]]/tblScores[[#This Row],[Deliveries due]],""))</f>
        <v>0.888888888888889</v>
      </c>
      <c r="L11" s="37">
        <f>IF(tblScores[[#This Row],[Month]]="","",IF(ISNUMBER(tblScores[[#This Row],[On-time delivery]]),100*tblScores[[#This Row],[On-time delivery]],""))</f>
        <v>88.8888888888889</v>
      </c>
      <c r="M11"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91.4698301113064</v>
      </c>
      <c r="N11" s="39" t="str">
        <f>IF(NOT(ISNUMBER(tblScores[[#This Row],[Composite (pts)]])),"",IF(tblScores[[#This Row],[Composite (pts)]]&gt;=MinScore,"On target",IF(tblScores[[#This Row],[Composite (pts)]]&gt;=MinScore*(1-0.05),"Near target","Below target")))</f>
        <v>On target</v>
      </c>
      <c r="O11" s="40">
        <f>IF(tblScores[[#This Row],[Month]]="","",IF(AND(tblScores[[#This Row],[Month]]&gt;=FFrom,tblScores[[#This Row],[Month]]&lt;=FTo,OR(DashSupplier="",tblScores[[#This Row],[Supplier]]=DashSupplier)),tblScores[[#This Row],[Month]],""))</f>
        <v>46113</v>
      </c>
      <c r="P11"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11" s="28" t="s">
        <v>126</v>
      </c>
    </row>
    <row r="12" spans="1:17" x14ac:dyDescent="0.25">
      <c r="B12" s="35">
        <v>46113</v>
      </c>
      <c r="C12" s="28" t="s">
        <v>105</v>
      </c>
      <c r="D12" s="29">
        <v>810</v>
      </c>
      <c r="E12" s="29">
        <v>0</v>
      </c>
      <c r="F12" s="29">
        <v>7</v>
      </c>
      <c r="G12" s="29">
        <v>6</v>
      </c>
      <c r="H12" s="29">
        <v>80</v>
      </c>
      <c r="I12" s="36">
        <f>IF(tblScores[[#This Row],[Month]]="","",IF(tblScores[[#This Row],[Units received]]&gt;0,tblScores[[#This Row],[Units rejected]]/tblScores[[#This Row],[Units received]]*1000000,""))</f>
        <v>0</v>
      </c>
      <c r="J12" s="37">
        <f>IF(tblScores[[#This Row],[Month]]="","",IF(ISNUMBER(tblScores[[#This Row],[PPM]]),100*MAX(0,1-tblScores[[#This Row],[PPM]]/PpmZero),""))</f>
        <v>100</v>
      </c>
      <c r="K12" s="38">
        <f>IF(tblScores[[#This Row],[Month]]="","",IF(tblScores[[#This Row],[Deliveries due]]&gt;0,tblScores[[#This Row],[Deliveries on time]]/tblScores[[#This Row],[Deliveries due]],""))</f>
        <v>0.857142857142857</v>
      </c>
      <c r="L12" s="37">
        <f>IF(tblScores[[#This Row],[Month]]="","",IF(ISNUMBER(tblScores[[#This Row],[On-time delivery]]),100*tblScores[[#This Row],[On-time delivery]],""))</f>
        <v>85.7142857142857</v>
      </c>
      <c r="M12"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91.7142857142857</v>
      </c>
      <c r="N12" s="39" t="str">
        <f>IF(NOT(ISNUMBER(tblScores[[#This Row],[Composite (pts)]])),"",IF(tblScores[[#This Row],[Composite (pts)]]&gt;=MinScore,"On target",IF(tblScores[[#This Row],[Composite (pts)]]&gt;=MinScore*(1-0.05),"Near target","Below target")))</f>
        <v>On target</v>
      </c>
      <c r="O12" s="40">
        <f>IF(tblScores[[#This Row],[Month]]="","",IF(AND(tblScores[[#This Row],[Month]]&gt;=FFrom,tblScores[[#This Row],[Month]]&lt;=FTo,OR(DashSupplier="",tblScores[[#This Row],[Supplier]]=DashSupplier)),tblScores[[#This Row],[Month]],""))</f>
        <v>46113</v>
      </c>
      <c r="P12"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12" s="28" t="s">
        <v>126</v>
      </c>
    </row>
    <row r="13" spans="1:17" x14ac:dyDescent="0.25">
      <c r="B13" s="35">
        <v>46113</v>
      </c>
      <c r="C13" s="28" t="s">
        <v>109</v>
      </c>
      <c r="D13" s="29">
        <v>4820</v>
      </c>
      <c r="E13" s="29">
        <v>1</v>
      </c>
      <c r="F13" s="29">
        <v>8</v>
      </c>
      <c r="G13" s="29">
        <v>8</v>
      </c>
      <c r="H13" s="29">
        <v>55</v>
      </c>
      <c r="I13" s="36">
        <f>IF(tblScores[[#This Row],[Month]]="","",IF(tblScores[[#This Row],[Units received]]&gt;0,tblScores[[#This Row],[Units rejected]]/tblScores[[#This Row],[Units received]]*1000000,""))</f>
        <v>207.46887966805</v>
      </c>
      <c r="J13" s="37">
        <f>IF(tblScores[[#This Row],[Month]]="","",IF(ISNUMBER(tblScores[[#This Row],[PPM]]),100*MAX(0,1-tblScores[[#This Row],[PPM]]/PpmZero),""))</f>
        <v>94.8132780082988</v>
      </c>
      <c r="K13" s="38">
        <f>IF(tblScores[[#This Row],[Month]]="","",IF(tblScores[[#This Row],[Deliveries due]]&gt;0,tblScores[[#This Row],[Deliveries on time]]/tblScores[[#This Row],[Deliveries due]],""))</f>
        <v>1</v>
      </c>
      <c r="L13" s="37">
        <f>IF(tblScores[[#This Row],[Month]]="","",IF(ISNUMBER(tblScores[[#This Row],[On-time delivery]]),100*tblScores[[#This Row],[On-time delivery]],""))</f>
        <v>100</v>
      </c>
      <c r="M13"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88.4066390041494</v>
      </c>
      <c r="N13" s="39" t="str">
        <f>IF(NOT(ISNUMBER(tblScores[[#This Row],[Composite (pts)]])),"",IF(tblScores[[#This Row],[Composite (pts)]]&gt;=MinScore,"On target",IF(tblScores[[#This Row],[Composite (pts)]]&gt;=MinScore*(1-0.05),"Near target","Below target")))</f>
        <v>On target</v>
      </c>
      <c r="O13" s="40">
        <f>IF(tblScores[[#This Row],[Month]]="","",IF(AND(tblScores[[#This Row],[Month]]&gt;=FFrom,tblScores[[#This Row],[Month]]&lt;=FTo,OR(DashSupplier="",tblScores[[#This Row],[Supplier]]=DashSupplier)),tblScores[[#This Row],[Month]],""))</f>
        <v>46113</v>
      </c>
      <c r="P13"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13" s="28" t="s">
        <v>126</v>
      </c>
    </row>
    <row r="14" spans="1:17" x14ac:dyDescent="0.25">
      <c r="B14" s="35">
        <v>46143</v>
      </c>
      <c r="C14" s="28" t="s">
        <v>81</v>
      </c>
      <c r="D14" s="29">
        <v>2510</v>
      </c>
      <c r="E14" s="29">
        <v>1</v>
      </c>
      <c r="F14" s="29">
        <v>6</v>
      </c>
      <c r="G14" s="29">
        <v>6</v>
      </c>
      <c r="H14" s="29">
        <v>85</v>
      </c>
      <c r="I14" s="36">
        <f>IF(tblScores[[#This Row],[Month]]="","",IF(tblScores[[#This Row],[Units received]]&gt;0,tblScores[[#This Row],[Units rejected]]/tblScores[[#This Row],[Units received]]*1000000,""))</f>
        <v>398.406374501992</v>
      </c>
      <c r="J14" s="37">
        <f>IF(tblScores[[#This Row],[Month]]="","",IF(ISNUMBER(tblScores[[#This Row],[PPM]]),100*MAX(0,1-tblScores[[#This Row],[PPM]]/PpmZero),""))</f>
        <v>90.0398406374502</v>
      </c>
      <c r="K14" s="38">
        <f>IF(tblScores[[#This Row],[Month]]="","",IF(tblScores[[#This Row],[Deliveries due]]&gt;0,tblScores[[#This Row],[Deliveries on time]]/tblScores[[#This Row],[Deliveries due]],""))</f>
        <v>1</v>
      </c>
      <c r="L14" s="37">
        <f>IF(tblScores[[#This Row],[Month]]="","",IF(ISNUMBER(tblScores[[#This Row],[On-time delivery]]),100*tblScores[[#This Row],[On-time delivery]],""))</f>
        <v>100</v>
      </c>
      <c r="M14"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92.0199203187251</v>
      </c>
      <c r="N14" s="39" t="str">
        <f>IF(NOT(ISNUMBER(tblScores[[#This Row],[Composite (pts)]])),"",IF(tblScores[[#This Row],[Composite (pts)]]&gt;=MinScore,"On target",IF(tblScores[[#This Row],[Composite (pts)]]&gt;=MinScore*(1-0.05),"Near target","Below target")))</f>
        <v>On target</v>
      </c>
      <c r="O14" s="40">
        <f>IF(tblScores[[#This Row],[Month]]="","",IF(AND(tblScores[[#This Row],[Month]]&gt;=FFrom,tblScores[[#This Row],[Month]]&lt;=FTo,OR(DashSupplier="",tblScores[[#This Row],[Supplier]]=DashSupplier)),tblScores[[#This Row],[Month]],""))</f>
        <v>46143</v>
      </c>
      <c r="P14"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14" s="28" t="s">
        <v>126</v>
      </c>
    </row>
    <row r="15" spans="1:17" x14ac:dyDescent="0.25">
      <c r="B15" s="35">
        <v>46143</v>
      </c>
      <c r="C15" s="28" t="s">
        <v>85</v>
      </c>
      <c r="D15" s="29">
        <v>15430</v>
      </c>
      <c r="E15" s="29">
        <v>3</v>
      </c>
      <c r="F15" s="29">
        <v>11</v>
      </c>
      <c r="G15" s="29">
        <v>8</v>
      </c>
      <c r="H15" s="29">
        <v>85</v>
      </c>
      <c r="I15" s="36">
        <f>IF(tblScores[[#This Row],[Month]]="","",IF(tblScores[[#This Row],[Units received]]&gt;0,tblScores[[#This Row],[Units rejected]]/tblScores[[#This Row],[Units received]]*1000000,""))</f>
        <v>194.426441996111</v>
      </c>
      <c r="J15" s="37">
        <f>IF(tblScores[[#This Row],[Month]]="","",IF(ISNUMBER(tblScores[[#This Row],[PPM]]),100*MAX(0,1-tblScores[[#This Row],[PPM]]/PpmZero),""))</f>
        <v>95.1393389500972</v>
      </c>
      <c r="K15" s="38">
        <f>IF(tblScores[[#This Row],[Month]]="","",IF(tblScores[[#This Row],[Deliveries due]]&gt;0,tblScores[[#This Row],[Deliveries on time]]/tblScores[[#This Row],[Deliveries due]],""))</f>
        <v>0.727272727272727</v>
      </c>
      <c r="L15" s="37">
        <f>IF(tblScores[[#This Row],[Month]]="","",IF(ISNUMBER(tblScores[[#This Row],[On-time delivery]]),100*tblScores[[#This Row],[On-time delivery]],""))</f>
        <v>72.7272727272727</v>
      </c>
      <c r="M15"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86.3878512932304</v>
      </c>
      <c r="N15" s="39" t="str">
        <f>IF(NOT(ISNUMBER(tblScores[[#This Row],[Composite (pts)]])),"",IF(tblScores[[#This Row],[Composite (pts)]]&gt;=MinScore,"On target",IF(tblScores[[#This Row],[Composite (pts)]]&gt;=MinScore*(1-0.05),"Near target","Below target")))</f>
        <v>On target</v>
      </c>
      <c r="O15" s="40">
        <f>IF(tblScores[[#This Row],[Month]]="","",IF(AND(tblScores[[#This Row],[Month]]&gt;=FFrom,tblScores[[#This Row],[Month]]&lt;=FTo,OR(DashSupplier="",tblScores[[#This Row],[Supplier]]=DashSupplier)),tblScores[[#This Row],[Month]],""))</f>
        <v>46143</v>
      </c>
      <c r="P15"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15" s="28" t="s">
        <v>126</v>
      </c>
    </row>
    <row r="16" spans="1:17" x14ac:dyDescent="0.25">
      <c r="B16" s="35">
        <v>46143</v>
      </c>
      <c r="C16" s="28" t="s">
        <v>89</v>
      </c>
      <c r="D16" s="29">
        <v>61240</v>
      </c>
      <c r="E16" s="29">
        <v>2</v>
      </c>
      <c r="F16" s="29">
        <v>11</v>
      </c>
      <c r="G16" s="29">
        <v>11</v>
      </c>
      <c r="H16" s="29">
        <v>95</v>
      </c>
      <c r="I16" s="36">
        <f>IF(tblScores[[#This Row],[Month]]="","",IF(tblScores[[#This Row],[Units received]]&gt;0,tblScores[[#This Row],[Units rejected]]/tblScores[[#This Row],[Units received]]*1000000,""))</f>
        <v>32.6583932070542</v>
      </c>
      <c r="J16" s="37">
        <f>IF(tblScores[[#This Row],[Month]]="","",IF(ISNUMBER(tblScores[[#This Row],[PPM]]),100*MAX(0,1-tblScores[[#This Row],[PPM]]/PpmZero),""))</f>
        <v>99.1835401698236</v>
      </c>
      <c r="K16" s="38">
        <f>IF(tblScores[[#This Row],[Month]]="","",IF(tblScores[[#This Row],[Deliveries due]]&gt;0,tblScores[[#This Row],[Deliveries on time]]/tblScores[[#This Row],[Deliveries due]],""))</f>
        <v>1</v>
      </c>
      <c r="L16" s="37">
        <f>IF(tblScores[[#This Row],[Month]]="","",IF(ISNUMBER(tblScores[[#This Row],[On-time delivery]]),100*tblScores[[#This Row],[On-time delivery]],""))</f>
        <v>100</v>
      </c>
      <c r="M16"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98.5917700849118</v>
      </c>
      <c r="N16" s="39" t="str">
        <f>IF(NOT(ISNUMBER(tblScores[[#This Row],[Composite (pts)]])),"",IF(tblScores[[#This Row],[Composite (pts)]]&gt;=MinScore,"On target",IF(tblScores[[#This Row],[Composite (pts)]]&gt;=MinScore*(1-0.05),"Near target","Below target")))</f>
        <v>On target</v>
      </c>
      <c r="O16" s="40">
        <f>IF(tblScores[[#This Row],[Month]]="","",IF(AND(tblScores[[#This Row],[Month]]&gt;=FFrom,tblScores[[#This Row],[Month]]&lt;=FTo,OR(DashSupplier="",tblScores[[#This Row],[Supplier]]=DashSupplier)),tblScores[[#This Row],[Month]],""))</f>
        <v>46143</v>
      </c>
      <c r="P16"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16" s="28" t="s">
        <v>126</v>
      </c>
    </row>
    <row r="17" spans="2:17" x14ac:dyDescent="0.25">
      <c r="B17" s="35">
        <v>46143</v>
      </c>
      <c r="C17" s="28" t="s">
        <v>93</v>
      </c>
      <c r="D17" s="29">
        <v>3190</v>
      </c>
      <c r="E17" s="29">
        <v>3</v>
      </c>
      <c r="F17" s="29">
        <v>7</v>
      </c>
      <c r="G17" s="29">
        <v>6</v>
      </c>
      <c r="H17" s="29">
        <v>75</v>
      </c>
      <c r="I17" s="36">
        <f>IF(tblScores[[#This Row],[Month]]="","",IF(tblScores[[#This Row],[Units received]]&gt;0,tblScores[[#This Row],[Units rejected]]/tblScores[[#This Row],[Units received]]*1000000,""))</f>
        <v>940.438871473354</v>
      </c>
      <c r="J17" s="37">
        <f>IF(tblScores[[#This Row],[Month]]="","",IF(ISNUMBER(tblScores[[#This Row],[PPM]]),100*MAX(0,1-tblScores[[#This Row],[PPM]]/PpmZero),""))</f>
        <v>76.4890282131661</v>
      </c>
      <c r="K17" s="38">
        <f>IF(tblScores[[#This Row],[Month]]="","",IF(tblScores[[#This Row],[Deliveries due]]&gt;0,tblScores[[#This Row],[Deliveries on time]]/tblScores[[#This Row],[Deliveries due]],""))</f>
        <v>0.857142857142857</v>
      </c>
      <c r="L17" s="37">
        <f>IF(tblScores[[#This Row],[Month]]="","",IF(ISNUMBER(tblScores[[#This Row],[On-time delivery]]),100*tblScores[[#This Row],[On-time delivery]],""))</f>
        <v>85.7142857142857</v>
      </c>
      <c r="M17"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78.9587998208688</v>
      </c>
      <c r="N17" s="39" t="str">
        <f>IF(NOT(ISNUMBER(tblScores[[#This Row],[Composite (pts)]])),"",IF(tblScores[[#This Row],[Composite (pts)]]&gt;=MinScore,"On target",IF(tblScores[[#This Row],[Composite (pts)]]&gt;=MinScore*(1-0.05),"Near target","Below target")))</f>
        <v>Below target</v>
      </c>
      <c r="O17" s="40">
        <f>IF(tblScores[[#This Row],[Month]]="","",IF(AND(tblScores[[#This Row],[Month]]&gt;=FFrom,tblScores[[#This Row],[Month]]&lt;=FTo,OR(DashSupplier="",tblScores[[#This Row],[Supplier]]=DashSupplier)),tblScores[[#This Row],[Month]],""))</f>
        <v>46143</v>
      </c>
      <c r="P17"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17" s="28" t="s">
        <v>126</v>
      </c>
    </row>
    <row r="18" spans="2:17" x14ac:dyDescent="0.25">
      <c r="B18" s="35">
        <v>46143</v>
      </c>
      <c r="C18" s="28" t="s">
        <v>97</v>
      </c>
      <c r="D18" s="29">
        <v>1610</v>
      </c>
      <c r="E18" s="29">
        <v>1</v>
      </c>
      <c r="F18" s="29">
        <v>8</v>
      </c>
      <c r="G18" s="29">
        <v>7</v>
      </c>
      <c r="H18" s="29">
        <v>70</v>
      </c>
      <c r="I18" s="36">
        <f>IF(tblScores[[#This Row],[Month]]="","",IF(tblScores[[#This Row],[Units received]]&gt;0,tblScores[[#This Row],[Units rejected]]/tblScores[[#This Row],[Units received]]*1000000,""))</f>
        <v>621.11801242236</v>
      </c>
      <c r="J18" s="37">
        <f>IF(tblScores[[#This Row],[Month]]="","",IF(ISNUMBER(tblScores[[#This Row],[PPM]]),100*MAX(0,1-tblScores[[#This Row],[PPM]]/PpmZero),""))</f>
        <v>84.472049689441</v>
      </c>
      <c r="K18" s="38">
        <f>IF(tblScores[[#This Row],[Month]]="","",IF(tblScores[[#This Row],[Deliveries due]]&gt;0,tblScores[[#This Row],[Deliveries on time]]/tblScores[[#This Row],[Deliveries due]],""))</f>
        <v>0.875</v>
      </c>
      <c r="L18" s="37">
        <f>IF(tblScores[[#This Row],[Month]]="","",IF(ISNUMBER(tblScores[[#This Row],[On-time delivery]]),100*tblScores[[#This Row],[On-time delivery]],""))</f>
        <v>87.5</v>
      </c>
      <c r="M18"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82.4860248447205</v>
      </c>
      <c r="N18" s="39" t="str">
        <f>IF(NOT(ISNUMBER(tblScores[[#This Row],[Composite (pts)]])),"",IF(tblScores[[#This Row],[Composite (pts)]]&gt;=MinScore,"On target",IF(tblScores[[#This Row],[Composite (pts)]]&gt;=MinScore*(1-0.05),"Near target","Below target")))</f>
        <v>Near target</v>
      </c>
      <c r="O18" s="40">
        <f>IF(tblScores[[#This Row],[Month]]="","",IF(AND(tblScores[[#This Row],[Month]]&gt;=FFrom,tblScores[[#This Row],[Month]]&lt;=FTo,OR(DashSupplier="",tblScores[[#This Row],[Supplier]]=DashSupplier)),tblScores[[#This Row],[Month]],""))</f>
        <v>46143</v>
      </c>
      <c r="P18"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18" s="28" t="s">
        <v>126</v>
      </c>
    </row>
    <row r="19" spans="2:17" x14ac:dyDescent="0.25">
      <c r="B19" s="35">
        <v>46143</v>
      </c>
      <c r="C19" s="28" t="s">
        <v>101</v>
      </c>
      <c r="D19" s="29">
        <v>11720</v>
      </c>
      <c r="E19" s="29">
        <v>1</v>
      </c>
      <c r="F19" s="29">
        <v>10</v>
      </c>
      <c r="G19" s="29">
        <v>10</v>
      </c>
      <c r="H19" s="29">
        <v>90</v>
      </c>
      <c r="I19" s="36">
        <f>IF(tblScores[[#This Row],[Month]]="","",IF(tblScores[[#This Row],[Units received]]&gt;0,tblScores[[#This Row],[Units rejected]]/tblScores[[#This Row],[Units received]]*1000000,""))</f>
        <v>85.3242320819113</v>
      </c>
      <c r="J19" s="37">
        <f>IF(tblScores[[#This Row],[Month]]="","",IF(ISNUMBER(tblScores[[#This Row],[PPM]]),100*MAX(0,1-tblScores[[#This Row],[PPM]]/PpmZero),""))</f>
        <v>97.8668941979522</v>
      </c>
      <c r="K19" s="38">
        <f>IF(tblScores[[#This Row],[Month]]="","",IF(tblScores[[#This Row],[Deliveries due]]&gt;0,tblScores[[#This Row],[Deliveries on time]]/tblScores[[#This Row],[Deliveries due]],""))</f>
        <v>1</v>
      </c>
      <c r="L19" s="37">
        <f>IF(tblScores[[#This Row],[Month]]="","",IF(ISNUMBER(tblScores[[#This Row],[On-time delivery]]),100*tblScores[[#This Row],[On-time delivery]],""))</f>
        <v>100</v>
      </c>
      <c r="M19"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96.9334470989761</v>
      </c>
      <c r="N19" s="39" t="str">
        <f>IF(NOT(ISNUMBER(tblScores[[#This Row],[Composite (pts)]])),"",IF(tblScores[[#This Row],[Composite (pts)]]&gt;=MinScore,"On target",IF(tblScores[[#This Row],[Composite (pts)]]&gt;=MinScore*(1-0.05),"Near target","Below target")))</f>
        <v>On target</v>
      </c>
      <c r="O19" s="40">
        <f>IF(tblScores[[#This Row],[Month]]="","",IF(AND(tblScores[[#This Row],[Month]]&gt;=FFrom,tblScores[[#This Row],[Month]]&lt;=FTo,OR(DashSupplier="",tblScores[[#This Row],[Supplier]]=DashSupplier)),tblScores[[#This Row],[Month]],""))</f>
        <v>46143</v>
      </c>
      <c r="P19"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19" s="28" t="s">
        <v>126</v>
      </c>
    </row>
    <row r="20" spans="2:17" x14ac:dyDescent="0.25">
      <c r="B20" s="35">
        <v>46143</v>
      </c>
      <c r="C20" s="28" t="s">
        <v>105</v>
      </c>
      <c r="D20" s="29">
        <v>830</v>
      </c>
      <c r="E20" s="29">
        <v>0</v>
      </c>
      <c r="F20" s="29">
        <v>7</v>
      </c>
      <c r="G20" s="29">
        <v>7</v>
      </c>
      <c r="H20" s="29">
        <v>80</v>
      </c>
      <c r="I20" s="36">
        <f>IF(tblScores[[#This Row],[Month]]="","",IF(tblScores[[#This Row],[Units received]]&gt;0,tblScores[[#This Row],[Units rejected]]/tblScores[[#This Row],[Units received]]*1000000,""))</f>
        <v>0</v>
      </c>
      <c r="J20" s="37">
        <f>IF(tblScores[[#This Row],[Month]]="","",IF(ISNUMBER(tblScores[[#This Row],[PPM]]),100*MAX(0,1-tblScores[[#This Row],[PPM]]/PpmZero),""))</f>
        <v>100</v>
      </c>
      <c r="K20" s="38">
        <f>IF(tblScores[[#This Row],[Month]]="","",IF(tblScores[[#This Row],[Deliveries due]]&gt;0,tblScores[[#This Row],[Deliveries on time]]/tblScores[[#This Row],[Deliveries due]],""))</f>
        <v>1</v>
      </c>
      <c r="L20" s="37">
        <f>IF(tblScores[[#This Row],[Month]]="","",IF(ISNUMBER(tblScores[[#This Row],[On-time delivery]]),100*tblScores[[#This Row],[On-time delivery]],""))</f>
        <v>100</v>
      </c>
      <c r="M20"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96</v>
      </c>
      <c r="N20" s="39" t="str">
        <f>IF(NOT(ISNUMBER(tblScores[[#This Row],[Composite (pts)]])),"",IF(tblScores[[#This Row],[Composite (pts)]]&gt;=MinScore,"On target",IF(tblScores[[#This Row],[Composite (pts)]]&gt;=MinScore*(1-0.05),"Near target","Below target")))</f>
        <v>On target</v>
      </c>
      <c r="O20" s="40">
        <f>IF(tblScores[[#This Row],[Month]]="","",IF(AND(tblScores[[#This Row],[Month]]&gt;=FFrom,tblScores[[#This Row],[Month]]&lt;=FTo,OR(DashSupplier="",tblScores[[#This Row],[Supplier]]=DashSupplier)),tblScores[[#This Row],[Month]],""))</f>
        <v>46143</v>
      </c>
      <c r="P20"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20" s="28" t="s">
        <v>126</v>
      </c>
    </row>
    <row r="21" spans="2:17" x14ac:dyDescent="0.25">
      <c r="B21" s="35">
        <v>46143</v>
      </c>
      <c r="C21" s="28" t="s">
        <v>109</v>
      </c>
      <c r="D21" s="29">
        <v>5640</v>
      </c>
      <c r="E21" s="29">
        <v>2</v>
      </c>
      <c r="F21" s="29">
        <v>7</v>
      </c>
      <c r="G21" s="29">
        <v>7</v>
      </c>
      <c r="H21" s="29">
        <v>60</v>
      </c>
      <c r="I21" s="36">
        <f>IF(tblScores[[#This Row],[Month]]="","",IF(tblScores[[#This Row],[Units received]]&gt;0,tblScores[[#This Row],[Units rejected]]/tblScores[[#This Row],[Units received]]*1000000,""))</f>
        <v>354.609929078014</v>
      </c>
      <c r="J21" s="37">
        <f>IF(tblScores[[#This Row],[Month]]="","",IF(ISNUMBER(tblScores[[#This Row],[PPM]]),100*MAX(0,1-tblScores[[#This Row],[PPM]]/PpmZero),""))</f>
        <v>91.1347517730496</v>
      </c>
      <c r="K21" s="38">
        <f>IF(tblScores[[#This Row],[Month]]="","",IF(tblScores[[#This Row],[Deliveries due]]&gt;0,tblScores[[#This Row],[Deliveries on time]]/tblScores[[#This Row],[Deliveries due]],""))</f>
        <v>1</v>
      </c>
      <c r="L21" s="37">
        <f>IF(tblScores[[#This Row],[Month]]="","",IF(ISNUMBER(tblScores[[#This Row],[On-time delivery]]),100*tblScores[[#This Row],[On-time delivery]],""))</f>
        <v>100</v>
      </c>
      <c r="M21"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87.5673758865248</v>
      </c>
      <c r="N21" s="39" t="str">
        <f>IF(NOT(ISNUMBER(tblScores[[#This Row],[Composite (pts)]])),"",IF(tblScores[[#This Row],[Composite (pts)]]&gt;=MinScore,"On target",IF(tblScores[[#This Row],[Composite (pts)]]&gt;=MinScore*(1-0.05),"Near target","Below target")))</f>
        <v>On target</v>
      </c>
      <c r="O21" s="40">
        <f>IF(tblScores[[#This Row],[Month]]="","",IF(AND(tblScores[[#This Row],[Month]]&gt;=FFrom,tblScores[[#This Row],[Month]]&lt;=FTo,OR(DashSupplier="",tblScores[[#This Row],[Supplier]]=DashSupplier)),tblScores[[#This Row],[Month]],""))</f>
        <v>46143</v>
      </c>
      <c r="P21"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21" s="28" t="s">
        <v>126</v>
      </c>
    </row>
    <row r="22" spans="2:17" x14ac:dyDescent="0.25">
      <c r="B22" s="35">
        <v>46174</v>
      </c>
      <c r="C22" s="28" t="s">
        <v>81</v>
      </c>
      <c r="D22" s="29">
        <v>2170</v>
      </c>
      <c r="E22" s="29">
        <v>1</v>
      </c>
      <c r="F22" s="29">
        <v>6</v>
      </c>
      <c r="G22" s="29">
        <v>5</v>
      </c>
      <c r="H22" s="29">
        <v>80</v>
      </c>
      <c r="I22" s="36">
        <f>IF(tblScores[[#This Row],[Month]]="","",IF(tblScores[[#This Row],[Units received]]&gt;0,tblScores[[#This Row],[Units rejected]]/tblScores[[#This Row],[Units received]]*1000000,""))</f>
        <v>460.829493087558</v>
      </c>
      <c r="J22" s="37">
        <f>IF(tblScores[[#This Row],[Month]]="","",IF(ISNUMBER(tblScores[[#This Row],[PPM]]),100*MAX(0,1-tblScores[[#This Row],[PPM]]/PpmZero),""))</f>
        <v>88.4792626728111</v>
      </c>
      <c r="K22" s="38">
        <f>IF(tblScores[[#This Row],[Month]]="","",IF(tblScores[[#This Row],[Deliveries due]]&gt;0,tblScores[[#This Row],[Deliveries on time]]/tblScores[[#This Row],[Deliveries due]],""))</f>
        <v>0.833333333333333</v>
      </c>
      <c r="L22" s="37">
        <f>IF(tblScores[[#This Row],[Month]]="","",IF(ISNUMBER(tblScores[[#This Row],[On-time delivery]]),100*tblScores[[#This Row],[On-time delivery]],""))</f>
        <v>83.3333333333333</v>
      </c>
      <c r="M22"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85.2396313364055</v>
      </c>
      <c r="N22" s="39" t="str">
        <f>IF(NOT(ISNUMBER(tblScores[[#This Row],[Composite (pts)]])),"",IF(tblScores[[#This Row],[Composite (pts)]]&gt;=MinScore,"On target",IF(tblScores[[#This Row],[Composite (pts)]]&gt;=MinScore*(1-0.05),"Near target","Below target")))</f>
        <v>On target</v>
      </c>
      <c r="O22" s="40">
        <f>IF(tblScores[[#This Row],[Month]]="","",IF(AND(tblScores[[#This Row],[Month]]&gt;=FFrom,tblScores[[#This Row],[Month]]&lt;=FTo,OR(DashSupplier="",tblScores[[#This Row],[Supplier]]=DashSupplier)),tblScores[[#This Row],[Month]],""))</f>
        <v>46174</v>
      </c>
      <c r="P22"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22" s="28" t="s">
        <v>126</v>
      </c>
    </row>
    <row r="23" spans="2:17" x14ac:dyDescent="0.25">
      <c r="B23" s="35">
        <v>46174</v>
      </c>
      <c r="C23" s="28" t="s">
        <v>85</v>
      </c>
      <c r="D23" s="29">
        <v>17230</v>
      </c>
      <c r="E23" s="29">
        <v>6</v>
      </c>
      <c r="F23" s="29">
        <v>12</v>
      </c>
      <c r="G23" s="29">
        <v>10</v>
      </c>
      <c r="H23" s="29">
        <v>85</v>
      </c>
      <c r="I23" s="36">
        <f>IF(tblScores[[#This Row],[Month]]="","",IF(tblScores[[#This Row],[Units received]]&gt;0,tblScores[[#This Row],[Units rejected]]/tblScores[[#This Row],[Units received]]*1000000,""))</f>
        <v>348.229831688915</v>
      </c>
      <c r="J23" s="37">
        <f>IF(tblScores[[#This Row],[Month]]="","",IF(ISNUMBER(tblScores[[#This Row],[PPM]]),100*MAX(0,1-tblScores[[#This Row],[PPM]]/PpmZero),""))</f>
        <v>91.2942542077771</v>
      </c>
      <c r="K23" s="38">
        <f>IF(tblScores[[#This Row],[Month]]="","",IF(tblScores[[#This Row],[Deliveries due]]&gt;0,tblScores[[#This Row],[Deliveries on time]]/tblScores[[#This Row],[Deliveries due]],""))</f>
        <v>0.833333333333333</v>
      </c>
      <c r="L23" s="37">
        <f>IF(tblScores[[#This Row],[Month]]="","",IF(ISNUMBER(tblScores[[#This Row],[On-time delivery]]),100*tblScores[[#This Row],[On-time delivery]],""))</f>
        <v>83.3333333333333</v>
      </c>
      <c r="M23"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87.6471271038886</v>
      </c>
      <c r="N23" s="39" t="str">
        <f>IF(NOT(ISNUMBER(tblScores[[#This Row],[Composite (pts)]])),"",IF(tblScores[[#This Row],[Composite (pts)]]&gt;=MinScore,"On target",IF(tblScores[[#This Row],[Composite (pts)]]&gt;=MinScore*(1-0.05),"Near target","Below target")))</f>
        <v>On target</v>
      </c>
      <c r="O23" s="40">
        <f>IF(tblScores[[#This Row],[Month]]="","",IF(AND(tblScores[[#This Row],[Month]]&gt;=FFrom,tblScores[[#This Row],[Month]]&lt;=FTo,OR(DashSupplier="",tblScores[[#This Row],[Supplier]]=DashSupplier)),tblScores[[#This Row],[Month]],""))</f>
        <v>46174</v>
      </c>
      <c r="P23"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23" s="28" t="s">
        <v>126</v>
      </c>
    </row>
    <row r="24" spans="2:17" x14ac:dyDescent="0.25">
      <c r="B24" s="35">
        <v>46174</v>
      </c>
      <c r="C24" s="28" t="s">
        <v>89</v>
      </c>
      <c r="D24" s="29">
        <v>74140</v>
      </c>
      <c r="E24" s="29">
        <v>4</v>
      </c>
      <c r="F24" s="29">
        <v>11</v>
      </c>
      <c r="G24" s="29">
        <v>10</v>
      </c>
      <c r="H24" s="29">
        <v>90</v>
      </c>
      <c r="I24" s="36">
        <f>IF(tblScores[[#This Row],[Month]]="","",IF(tblScores[[#This Row],[Units received]]&gt;0,tblScores[[#This Row],[Units rejected]]/tblScores[[#This Row],[Units received]]*1000000,""))</f>
        <v>53.9519827353655</v>
      </c>
      <c r="J24" s="37">
        <f>IF(tblScores[[#This Row],[Month]]="","",IF(ISNUMBER(tblScores[[#This Row],[PPM]]),100*MAX(0,1-tblScores[[#This Row],[PPM]]/PpmZero),""))</f>
        <v>98.6512004316159</v>
      </c>
      <c r="K24" s="38">
        <f>IF(tblScores[[#This Row],[Month]]="","",IF(tblScores[[#This Row],[Deliveries due]]&gt;0,tblScores[[#This Row],[Deliveries on time]]/tblScores[[#This Row],[Deliveries due]],""))</f>
        <v>0.909090909090909</v>
      </c>
      <c r="L24" s="37">
        <f>IF(tblScores[[#This Row],[Month]]="","",IF(ISNUMBER(tblScores[[#This Row],[On-time delivery]]),100*tblScores[[#This Row],[On-time delivery]],""))</f>
        <v>90.9090909090909</v>
      </c>
      <c r="M24"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94.5983274885352</v>
      </c>
      <c r="N24" s="39" t="str">
        <f>IF(NOT(ISNUMBER(tblScores[[#This Row],[Composite (pts)]])),"",IF(tblScores[[#This Row],[Composite (pts)]]&gt;=MinScore,"On target",IF(tblScores[[#This Row],[Composite (pts)]]&gt;=MinScore*(1-0.05),"Near target","Below target")))</f>
        <v>On target</v>
      </c>
      <c r="O24" s="40">
        <f>IF(tblScores[[#This Row],[Month]]="","",IF(AND(tblScores[[#This Row],[Month]]&gt;=FFrom,tblScores[[#This Row],[Month]]&lt;=FTo,OR(DashSupplier="",tblScores[[#This Row],[Supplier]]=DashSupplier)),tblScores[[#This Row],[Month]],""))</f>
        <v>46174</v>
      </c>
      <c r="P24"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24" s="28" t="s">
        <v>126</v>
      </c>
    </row>
    <row r="25" spans="2:17" x14ac:dyDescent="0.25">
      <c r="B25" s="35">
        <v>46174</v>
      </c>
      <c r="C25" s="28" t="s">
        <v>93</v>
      </c>
      <c r="D25" s="29">
        <v>3250</v>
      </c>
      <c r="E25" s="29">
        <v>14</v>
      </c>
      <c r="F25" s="29">
        <v>7</v>
      </c>
      <c r="G25" s="29">
        <v>7</v>
      </c>
      <c r="H25" s="29">
        <v>60</v>
      </c>
      <c r="I25" s="36">
        <f>IF(tblScores[[#This Row],[Month]]="","",IF(tblScores[[#This Row],[Units received]]&gt;0,tblScores[[#This Row],[Units rejected]]/tblScores[[#This Row],[Units received]]*1000000,""))</f>
        <v>4307.69230769231</v>
      </c>
      <c r="J25" s="37">
        <f>IF(tblScores[[#This Row],[Month]]="","",IF(ISNUMBER(tblScores[[#This Row],[PPM]]),100*MAX(0,1-tblScores[[#This Row],[PPM]]/PpmZero),""))</f>
        <v>0</v>
      </c>
      <c r="K25" s="38">
        <f>IF(tblScores[[#This Row],[Month]]="","",IF(tblScores[[#This Row],[Deliveries due]]&gt;0,tblScores[[#This Row],[Deliveries on time]]/tblScores[[#This Row],[Deliveries due]],""))</f>
        <v>1</v>
      </c>
      <c r="L25" s="37">
        <f>IF(tblScores[[#This Row],[Month]]="","",IF(ISNUMBER(tblScores[[#This Row],[On-time delivery]]),100*tblScores[[#This Row],[On-time delivery]],""))</f>
        <v>100</v>
      </c>
      <c r="M25"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42</v>
      </c>
      <c r="N25" s="39" t="str">
        <f>IF(NOT(ISNUMBER(tblScores[[#This Row],[Composite (pts)]])),"",IF(tblScores[[#This Row],[Composite (pts)]]&gt;=MinScore,"On target",IF(tblScores[[#This Row],[Composite (pts)]]&gt;=MinScore*(1-0.05),"Near target","Below target")))</f>
        <v>Below target</v>
      </c>
      <c r="O25" s="40">
        <f>IF(tblScores[[#This Row],[Month]]="","",IF(AND(tblScores[[#This Row],[Month]]&gt;=FFrom,tblScores[[#This Row],[Month]]&lt;=FTo,OR(DashSupplier="",tblScores[[#This Row],[Supplier]]=DashSupplier)),tblScores[[#This Row],[Month]],""))</f>
        <v>46174</v>
      </c>
      <c r="P25"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25" s="28" t="s">
        <v>127</v>
      </c>
    </row>
    <row r="26" spans="2:17" x14ac:dyDescent="0.25">
      <c r="B26" s="35">
        <v>46174</v>
      </c>
      <c r="C26" s="28" t="s">
        <v>97</v>
      </c>
      <c r="D26" s="29">
        <v>1440</v>
      </c>
      <c r="E26" s="29">
        <v>0</v>
      </c>
      <c r="F26" s="29">
        <v>10</v>
      </c>
      <c r="G26" s="29">
        <v>6</v>
      </c>
      <c r="H26" s="29">
        <v>75</v>
      </c>
      <c r="I26" s="36">
        <f>IF(tblScores[[#This Row],[Month]]="","",IF(tblScores[[#This Row],[Units received]]&gt;0,tblScores[[#This Row],[Units rejected]]/tblScores[[#This Row],[Units received]]*1000000,""))</f>
        <v>0</v>
      </c>
      <c r="J26" s="37">
        <f>IF(tblScores[[#This Row],[Month]]="","",IF(ISNUMBER(tblScores[[#This Row],[PPM]]),100*MAX(0,1-tblScores[[#This Row],[PPM]]/PpmZero),""))</f>
        <v>100</v>
      </c>
      <c r="K26" s="38">
        <f>IF(tblScores[[#This Row],[Month]]="","",IF(tblScores[[#This Row],[Deliveries due]]&gt;0,tblScores[[#This Row],[Deliveries on time]]/tblScores[[#This Row],[Deliveries due]],""))</f>
        <v>0.6</v>
      </c>
      <c r="L26" s="37">
        <f>IF(tblScores[[#This Row],[Month]]="","",IF(ISNUMBER(tblScores[[#This Row],[On-time delivery]]),100*tblScores[[#This Row],[On-time delivery]],""))</f>
        <v>60</v>
      </c>
      <c r="M26"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83</v>
      </c>
      <c r="N26" s="39" t="str">
        <f>IF(NOT(ISNUMBER(tblScores[[#This Row],[Composite (pts)]])),"",IF(tblScores[[#This Row],[Composite (pts)]]&gt;=MinScore,"On target",IF(tblScores[[#This Row],[Composite (pts)]]&gt;=MinScore*(1-0.05),"Near target","Below target")))</f>
        <v>Near target</v>
      </c>
      <c r="O26" s="40">
        <f>IF(tblScores[[#This Row],[Month]]="","",IF(AND(tblScores[[#This Row],[Month]]&gt;=FFrom,tblScores[[#This Row],[Month]]&lt;=FTo,OR(DashSupplier="",tblScores[[#This Row],[Supplier]]=DashSupplier)),tblScores[[#This Row],[Month]],""))</f>
        <v>46174</v>
      </c>
      <c r="P26"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26" s="28" t="s">
        <v>126</v>
      </c>
    </row>
    <row r="27" spans="2:17" x14ac:dyDescent="0.25">
      <c r="B27" s="35">
        <v>46174</v>
      </c>
      <c r="C27" s="28" t="s">
        <v>101</v>
      </c>
      <c r="D27" s="29">
        <v>13230</v>
      </c>
      <c r="E27" s="29">
        <v>1</v>
      </c>
      <c r="F27" s="29">
        <v>11</v>
      </c>
      <c r="G27" s="29">
        <v>10</v>
      </c>
      <c r="H27" s="29">
        <v>85</v>
      </c>
      <c r="I27" s="36">
        <f>IF(tblScores[[#This Row],[Month]]="","",IF(tblScores[[#This Row],[Units received]]&gt;0,tblScores[[#This Row],[Units rejected]]/tblScores[[#This Row],[Units received]]*1000000,""))</f>
        <v>75.5857898715042</v>
      </c>
      <c r="J27" s="37">
        <f>IF(tblScores[[#This Row],[Month]]="","",IF(ISNUMBER(tblScores[[#This Row],[PPM]]),100*MAX(0,1-tblScores[[#This Row],[PPM]]/PpmZero),""))</f>
        <v>98.1103552532124</v>
      </c>
      <c r="K27" s="38">
        <f>IF(tblScores[[#This Row],[Month]]="","",IF(tblScores[[#This Row],[Deliveries due]]&gt;0,tblScores[[#This Row],[Deliveries on time]]/tblScores[[#This Row],[Deliveries due]],""))</f>
        <v>0.909090909090909</v>
      </c>
      <c r="L27" s="37">
        <f>IF(tblScores[[#This Row],[Month]]="","",IF(ISNUMBER(tblScores[[#This Row],[On-time delivery]]),100*tblScores[[#This Row],[On-time delivery]],""))</f>
        <v>90.9090909090909</v>
      </c>
      <c r="M27"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93.3279048993335</v>
      </c>
      <c r="N27" s="39" t="str">
        <f>IF(NOT(ISNUMBER(tblScores[[#This Row],[Composite (pts)]])),"",IF(tblScores[[#This Row],[Composite (pts)]]&gt;=MinScore,"On target",IF(tblScores[[#This Row],[Composite (pts)]]&gt;=MinScore*(1-0.05),"Near target","Below target")))</f>
        <v>On target</v>
      </c>
      <c r="O27" s="40">
        <f>IF(tblScores[[#This Row],[Month]]="","",IF(AND(tblScores[[#This Row],[Month]]&gt;=FFrom,tblScores[[#This Row],[Month]]&lt;=FTo,OR(DashSupplier="",tblScores[[#This Row],[Supplier]]=DashSupplier)),tblScores[[#This Row],[Month]],""))</f>
        <v>46174</v>
      </c>
      <c r="P27"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27" s="28" t="s">
        <v>126</v>
      </c>
    </row>
    <row r="28" spans="2:17" x14ac:dyDescent="0.25">
      <c r="B28" s="35">
        <v>46174</v>
      </c>
      <c r="C28" s="28" t="s">
        <v>105</v>
      </c>
      <c r="D28" s="29">
        <v>1020</v>
      </c>
      <c r="E28" s="29">
        <v>0</v>
      </c>
      <c r="F28" s="29">
        <v>5</v>
      </c>
      <c r="G28" s="29">
        <v>4</v>
      </c>
      <c r="H28" s="29">
        <v>85</v>
      </c>
      <c r="I28" s="36">
        <f>IF(tblScores[[#This Row],[Month]]="","",IF(tblScores[[#This Row],[Units received]]&gt;0,tblScores[[#This Row],[Units rejected]]/tblScores[[#This Row],[Units received]]*1000000,""))</f>
        <v>0</v>
      </c>
      <c r="J28" s="37">
        <f>IF(tblScores[[#This Row],[Month]]="","",IF(ISNUMBER(tblScores[[#This Row],[PPM]]),100*MAX(0,1-tblScores[[#This Row],[PPM]]/PpmZero),""))</f>
        <v>100</v>
      </c>
      <c r="K28" s="38">
        <f>IF(tblScores[[#This Row],[Month]]="","",IF(tblScores[[#This Row],[Deliveries due]]&gt;0,tblScores[[#This Row],[Deliveries on time]]/tblScores[[#This Row],[Deliveries due]],""))</f>
        <v>0.8</v>
      </c>
      <c r="L28" s="37">
        <f>IF(tblScores[[#This Row],[Month]]="","",IF(ISNUMBER(tblScores[[#This Row],[On-time delivery]]),100*tblScores[[#This Row],[On-time delivery]],""))</f>
        <v>80</v>
      </c>
      <c r="M28"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91</v>
      </c>
      <c r="N28" s="39" t="str">
        <f>IF(NOT(ISNUMBER(tblScores[[#This Row],[Composite (pts)]])),"",IF(tblScores[[#This Row],[Composite (pts)]]&gt;=MinScore,"On target",IF(tblScores[[#This Row],[Composite (pts)]]&gt;=MinScore*(1-0.05),"Near target","Below target")))</f>
        <v>On target</v>
      </c>
      <c r="O28" s="40">
        <f>IF(tblScores[[#This Row],[Month]]="","",IF(AND(tblScores[[#This Row],[Month]]&gt;=FFrom,tblScores[[#This Row],[Month]]&lt;=FTo,OR(DashSupplier="",tblScores[[#This Row],[Supplier]]=DashSupplier)),tblScores[[#This Row],[Month]],""))</f>
        <v>46174</v>
      </c>
      <c r="P28"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28" s="28" t="s">
        <v>126</v>
      </c>
    </row>
    <row r="29" spans="2:17" x14ac:dyDescent="0.25">
      <c r="B29" s="35">
        <v>46174</v>
      </c>
      <c r="C29" s="28" t="s">
        <v>109</v>
      </c>
      <c r="D29" s="29">
        <v>4740</v>
      </c>
      <c r="E29" s="29">
        <v>2</v>
      </c>
      <c r="F29" s="29">
        <v>7</v>
      </c>
      <c r="G29" s="29">
        <v>7</v>
      </c>
      <c r="H29" s="29">
        <v>70</v>
      </c>
      <c r="I29" s="36">
        <f>IF(tblScores[[#This Row],[Month]]="","",IF(tblScores[[#This Row],[Units received]]&gt;0,tblScores[[#This Row],[Units rejected]]/tblScores[[#This Row],[Units received]]*1000000,""))</f>
        <v>421.940928270042</v>
      </c>
      <c r="J29" s="37">
        <f>IF(tblScores[[#This Row],[Month]]="","",IF(ISNUMBER(tblScores[[#This Row],[PPM]]),100*MAX(0,1-tblScores[[#This Row],[PPM]]/PpmZero),""))</f>
        <v>89.4514767932489</v>
      </c>
      <c r="K29" s="38">
        <f>IF(tblScores[[#This Row],[Month]]="","",IF(tblScores[[#This Row],[Deliveries due]]&gt;0,tblScores[[#This Row],[Deliveries on time]]/tblScores[[#This Row],[Deliveries due]],""))</f>
        <v>1</v>
      </c>
      <c r="L29" s="37">
        <f>IF(tblScores[[#This Row],[Month]]="","",IF(ISNUMBER(tblScores[[#This Row],[On-time delivery]]),100*tblScores[[#This Row],[On-time delivery]],""))</f>
        <v>100</v>
      </c>
      <c r="M29"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88.7257383966245</v>
      </c>
      <c r="N29" s="39" t="str">
        <f>IF(NOT(ISNUMBER(tblScores[[#This Row],[Composite (pts)]])),"",IF(tblScores[[#This Row],[Composite (pts)]]&gt;=MinScore,"On target",IF(tblScores[[#This Row],[Composite (pts)]]&gt;=MinScore*(1-0.05),"Near target","Below target")))</f>
        <v>On target</v>
      </c>
      <c r="O29" s="40">
        <f>IF(tblScores[[#This Row],[Month]]="","",IF(AND(tblScores[[#This Row],[Month]]&gt;=FFrom,tblScores[[#This Row],[Month]]&lt;=FTo,OR(DashSupplier="",tblScores[[#This Row],[Supplier]]=DashSupplier)),tblScores[[#This Row],[Month]],""))</f>
        <v>46174</v>
      </c>
      <c r="P29"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29" s="28" t="s">
        <v>128</v>
      </c>
    </row>
    <row r="30" spans="2:17" x14ac:dyDescent="0.25">
      <c r="B30" s="35">
        <v>46204</v>
      </c>
      <c r="C30" s="28" t="s">
        <v>81</v>
      </c>
      <c r="D30" s="29">
        <v>2120</v>
      </c>
      <c r="E30" s="29">
        <v>1</v>
      </c>
      <c r="F30" s="29">
        <v>6</v>
      </c>
      <c r="G30" s="29">
        <v>5</v>
      </c>
      <c r="H30" s="29">
        <v>85</v>
      </c>
      <c r="I30" s="36">
        <f>IF(tblScores[[#This Row],[Month]]="","",IF(tblScores[[#This Row],[Units received]]&gt;0,tblScores[[#This Row],[Units rejected]]/tblScores[[#This Row],[Units received]]*1000000,""))</f>
        <v>471.698113207547</v>
      </c>
      <c r="J30" s="37">
        <f>IF(tblScores[[#This Row],[Month]]="","",IF(ISNUMBER(tblScores[[#This Row],[PPM]]),100*MAX(0,1-tblScores[[#This Row],[PPM]]/PpmZero),""))</f>
        <v>88.2075471698113</v>
      </c>
      <c r="K30" s="38">
        <f>IF(tblScores[[#This Row],[Month]]="","",IF(tblScores[[#This Row],[Deliveries due]]&gt;0,tblScores[[#This Row],[Deliveries on time]]/tblScores[[#This Row],[Deliveries due]],""))</f>
        <v>0.833333333333333</v>
      </c>
      <c r="L30" s="37">
        <f>IF(tblScores[[#This Row],[Month]]="","",IF(ISNUMBER(tblScores[[#This Row],[On-time delivery]]),100*tblScores[[#This Row],[On-time delivery]],""))</f>
        <v>83.3333333333333</v>
      </c>
      <c r="M30"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86.1037735849057</v>
      </c>
      <c r="N30" s="39" t="str">
        <f>IF(NOT(ISNUMBER(tblScores[[#This Row],[Composite (pts)]])),"",IF(tblScores[[#This Row],[Composite (pts)]]&gt;=MinScore,"On target",IF(tblScores[[#This Row],[Composite (pts)]]&gt;=MinScore*(1-0.05),"Near target","Below target")))</f>
        <v>On target</v>
      </c>
      <c r="O30" s="40">
        <f>IF(tblScores[[#This Row],[Month]]="","",IF(AND(tblScores[[#This Row],[Month]]&gt;=FFrom,tblScores[[#This Row],[Month]]&lt;=FTo,OR(DashSupplier="",tblScores[[#This Row],[Supplier]]=DashSupplier)),tblScores[[#This Row],[Month]],""))</f>
        <v>46204</v>
      </c>
      <c r="P30"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30" s="28" t="s">
        <v>126</v>
      </c>
    </row>
    <row r="31" spans="2:17" x14ac:dyDescent="0.25">
      <c r="B31" s="35">
        <v>46204</v>
      </c>
      <c r="C31" s="28" t="s">
        <v>85</v>
      </c>
      <c r="D31" s="29">
        <v>19320</v>
      </c>
      <c r="E31" s="29">
        <v>3</v>
      </c>
      <c r="F31" s="29">
        <v>12</v>
      </c>
      <c r="G31" s="29">
        <v>11</v>
      </c>
      <c r="H31" s="29">
        <v>80</v>
      </c>
      <c r="I31" s="36">
        <f>IF(tblScores[[#This Row],[Month]]="","",IF(tblScores[[#This Row],[Units received]]&gt;0,tblScores[[#This Row],[Units rejected]]/tblScores[[#This Row],[Units received]]*1000000,""))</f>
        <v>155.27950310559</v>
      </c>
      <c r="J31" s="37">
        <f>IF(tblScores[[#This Row],[Month]]="","",IF(ISNUMBER(tblScores[[#This Row],[PPM]]),100*MAX(0,1-tblScores[[#This Row],[PPM]]/PpmZero),""))</f>
        <v>96.1180124223602</v>
      </c>
      <c r="K31" s="38">
        <f>IF(tblScores[[#This Row],[Month]]="","",IF(tblScores[[#This Row],[Deliveries due]]&gt;0,tblScores[[#This Row],[Deliveries on time]]/tblScores[[#This Row],[Deliveries due]],""))</f>
        <v>0.916666666666667</v>
      </c>
      <c r="L31" s="37">
        <f>IF(tblScores[[#This Row],[Month]]="","",IF(ISNUMBER(tblScores[[#This Row],[On-time delivery]]),100*tblScores[[#This Row],[On-time delivery]],""))</f>
        <v>91.6666666666667</v>
      </c>
      <c r="M31"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91.5590062111801</v>
      </c>
      <c r="N31" s="39" t="str">
        <f>IF(NOT(ISNUMBER(tblScores[[#This Row],[Composite (pts)]])),"",IF(tblScores[[#This Row],[Composite (pts)]]&gt;=MinScore,"On target",IF(tblScores[[#This Row],[Composite (pts)]]&gt;=MinScore*(1-0.05),"Near target","Below target")))</f>
        <v>On target</v>
      </c>
      <c r="O31" s="40">
        <f>IF(tblScores[[#This Row],[Month]]="","",IF(AND(tblScores[[#This Row],[Month]]&gt;=FFrom,tblScores[[#This Row],[Month]]&lt;=FTo,OR(DashSupplier="",tblScores[[#This Row],[Supplier]]=DashSupplier)),tblScores[[#This Row],[Month]],""))</f>
        <v>46204</v>
      </c>
      <c r="P31"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31" s="28" t="s">
        <v>126</v>
      </c>
    </row>
    <row r="32" spans="2:17" x14ac:dyDescent="0.25">
      <c r="B32" s="35">
        <v>46204</v>
      </c>
      <c r="C32" s="28" t="s">
        <v>89</v>
      </c>
      <c r="D32" s="29">
        <v>74640</v>
      </c>
      <c r="E32" s="29">
        <v>4</v>
      </c>
      <c r="F32" s="29">
        <v>11</v>
      </c>
      <c r="G32" s="29">
        <v>11</v>
      </c>
      <c r="H32" s="29">
        <v>95</v>
      </c>
      <c r="I32" s="36">
        <f>IF(tblScores[[#This Row],[Month]]="","",IF(tblScores[[#This Row],[Units received]]&gt;0,tblScores[[#This Row],[Units rejected]]/tblScores[[#This Row],[Units received]]*1000000,""))</f>
        <v>53.5905680600214</v>
      </c>
      <c r="J32" s="37">
        <f>IF(tblScores[[#This Row],[Month]]="","",IF(ISNUMBER(tblScores[[#This Row],[PPM]]),100*MAX(0,1-tblScores[[#This Row],[PPM]]/PpmZero),""))</f>
        <v>98.6602357984995</v>
      </c>
      <c r="K32" s="38">
        <f>IF(tblScores[[#This Row],[Month]]="","",IF(tblScores[[#This Row],[Deliveries due]]&gt;0,tblScores[[#This Row],[Deliveries on time]]/tblScores[[#This Row],[Deliveries due]],""))</f>
        <v>1</v>
      </c>
      <c r="L32" s="37">
        <f>IF(tblScores[[#This Row],[Month]]="","",IF(ISNUMBER(tblScores[[#This Row],[On-time delivery]]),100*tblScores[[#This Row],[On-time delivery]],""))</f>
        <v>100</v>
      </c>
      <c r="M32"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98.3301178992497</v>
      </c>
      <c r="N32" s="39" t="str">
        <f>IF(NOT(ISNUMBER(tblScores[[#This Row],[Composite (pts)]])),"",IF(tblScores[[#This Row],[Composite (pts)]]&gt;=MinScore,"On target",IF(tblScores[[#This Row],[Composite (pts)]]&gt;=MinScore*(1-0.05),"Near target","Below target")))</f>
        <v>On target</v>
      </c>
      <c r="O32" s="40">
        <f>IF(tblScores[[#This Row],[Month]]="","",IF(AND(tblScores[[#This Row],[Month]]&gt;=FFrom,tblScores[[#This Row],[Month]]&lt;=FTo,OR(DashSupplier="",tblScores[[#This Row],[Supplier]]=DashSupplier)),tblScores[[#This Row],[Month]],""))</f>
        <v>46204</v>
      </c>
      <c r="P32"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32" s="28" t="s">
        <v>126</v>
      </c>
    </row>
    <row r="33" spans="2:17" x14ac:dyDescent="0.25">
      <c r="B33" s="35">
        <v>46204</v>
      </c>
      <c r="C33" s="28" t="s">
        <v>93</v>
      </c>
      <c r="D33" s="29">
        <v>3640</v>
      </c>
      <c r="E33" s="29">
        <v>11</v>
      </c>
      <c r="F33" s="29">
        <v>7</v>
      </c>
      <c r="G33" s="29">
        <v>4</v>
      </c>
      <c r="H33" s="29">
        <v>55</v>
      </c>
      <c r="I33" s="36">
        <f>IF(tblScores[[#This Row],[Month]]="","",IF(tblScores[[#This Row],[Units received]]&gt;0,tblScores[[#This Row],[Units rejected]]/tblScores[[#This Row],[Units received]]*1000000,""))</f>
        <v>3021.97802197802</v>
      </c>
      <c r="J33" s="37">
        <f>IF(tblScores[[#This Row],[Month]]="","",IF(ISNUMBER(tblScores[[#This Row],[PPM]]),100*MAX(0,1-tblScores[[#This Row],[PPM]]/PpmZero),""))</f>
        <v>24.4505494505494</v>
      </c>
      <c r="K33" s="38">
        <f>IF(tblScores[[#This Row],[Month]]="","",IF(tblScores[[#This Row],[Deliveries due]]&gt;0,tblScores[[#This Row],[Deliveries on time]]/tblScores[[#This Row],[Deliveries due]],""))</f>
        <v>0.571428571428571</v>
      </c>
      <c r="L33" s="37">
        <f>IF(tblScores[[#This Row],[Month]]="","",IF(ISNUMBER(tblScores[[#This Row],[On-time delivery]]),100*tblScores[[#This Row],[On-time delivery]],""))</f>
        <v>57.1428571428571</v>
      </c>
      <c r="M33"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40.3681318681319</v>
      </c>
      <c r="N33" s="39" t="str">
        <f>IF(NOT(ISNUMBER(tblScores[[#This Row],[Composite (pts)]])),"",IF(tblScores[[#This Row],[Composite (pts)]]&gt;=MinScore,"On target",IF(tblScores[[#This Row],[Composite (pts)]]&gt;=MinScore*(1-0.05),"Near target","Below target")))</f>
        <v>Below target</v>
      </c>
      <c r="O33" s="40">
        <f>IF(tblScores[[#This Row],[Month]]="","",IF(AND(tblScores[[#This Row],[Month]]&gt;=FFrom,tblScores[[#This Row],[Month]]&lt;=FTo,OR(DashSupplier="",tblScores[[#This Row],[Supplier]]=DashSupplier)),tblScores[[#This Row],[Month]],""))</f>
        <v>46204</v>
      </c>
      <c r="P33"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33" s="28" t="s">
        <v>129</v>
      </c>
    </row>
    <row r="34" spans="2:17" x14ac:dyDescent="0.25">
      <c r="B34" s="35">
        <v>46204</v>
      </c>
      <c r="C34" s="28" t="s">
        <v>97</v>
      </c>
      <c r="D34" s="29">
        <v>1650</v>
      </c>
      <c r="E34" s="29">
        <v>0</v>
      </c>
      <c r="F34" s="29">
        <v>9</v>
      </c>
      <c r="G34" s="29">
        <v>8</v>
      </c>
      <c r="H34" s="29">
        <v>70</v>
      </c>
      <c r="I34" s="36">
        <f>IF(tblScores[[#This Row],[Month]]="","",IF(tblScores[[#This Row],[Units received]]&gt;0,tblScores[[#This Row],[Units rejected]]/tblScores[[#This Row],[Units received]]*1000000,""))</f>
        <v>0</v>
      </c>
      <c r="J34" s="37">
        <f>IF(tblScores[[#This Row],[Month]]="","",IF(ISNUMBER(tblScores[[#This Row],[PPM]]),100*MAX(0,1-tblScores[[#This Row],[PPM]]/PpmZero),""))</f>
        <v>100</v>
      </c>
      <c r="K34" s="38">
        <f>IF(tblScores[[#This Row],[Month]]="","",IF(tblScores[[#This Row],[Deliveries due]]&gt;0,tblScores[[#This Row],[Deliveries on time]]/tblScores[[#This Row],[Deliveries due]],""))</f>
        <v>0.888888888888889</v>
      </c>
      <c r="L34" s="37">
        <f>IF(tblScores[[#This Row],[Month]]="","",IF(ISNUMBER(tblScores[[#This Row],[On-time delivery]]),100*tblScores[[#This Row],[On-time delivery]],""))</f>
        <v>88.8888888888889</v>
      </c>
      <c r="M34"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90.6666666666667</v>
      </c>
      <c r="N34" s="39" t="str">
        <f>IF(NOT(ISNUMBER(tblScores[[#This Row],[Composite (pts)]])),"",IF(tblScores[[#This Row],[Composite (pts)]]&gt;=MinScore,"On target",IF(tblScores[[#This Row],[Composite (pts)]]&gt;=MinScore*(1-0.05),"Near target","Below target")))</f>
        <v>On target</v>
      </c>
      <c r="O34" s="40">
        <f>IF(tblScores[[#This Row],[Month]]="","",IF(AND(tblScores[[#This Row],[Month]]&gt;=FFrom,tblScores[[#This Row],[Month]]&lt;=FTo,OR(DashSupplier="",tblScores[[#This Row],[Supplier]]=DashSupplier)),tblScores[[#This Row],[Month]],""))</f>
        <v>46204</v>
      </c>
      <c r="P34"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34" s="28" t="s">
        <v>126</v>
      </c>
    </row>
    <row r="35" spans="2:17" x14ac:dyDescent="0.25">
      <c r="B35" s="35">
        <v>46204</v>
      </c>
      <c r="C35" s="28" t="s">
        <v>101</v>
      </c>
      <c r="D35" s="29">
        <v>12500</v>
      </c>
      <c r="E35" s="29">
        <v>2</v>
      </c>
      <c r="F35" s="29">
        <v>10</v>
      </c>
      <c r="G35" s="29">
        <v>10</v>
      </c>
      <c r="H35" s="29">
        <v>90</v>
      </c>
      <c r="I35" s="36">
        <f>IF(tblScores[[#This Row],[Month]]="","",IF(tblScores[[#This Row],[Units received]]&gt;0,tblScores[[#This Row],[Units rejected]]/tblScores[[#This Row],[Units received]]*1000000,""))</f>
        <v>160</v>
      </c>
      <c r="J35" s="37">
        <f>IF(tblScores[[#This Row],[Month]]="","",IF(ISNUMBER(tblScores[[#This Row],[PPM]]),100*MAX(0,1-tblScores[[#This Row],[PPM]]/PpmZero),""))</f>
        <v>96</v>
      </c>
      <c r="K35" s="38">
        <f>IF(tblScores[[#This Row],[Month]]="","",IF(tblScores[[#This Row],[Deliveries due]]&gt;0,tblScores[[#This Row],[Deliveries on time]]/tblScores[[#This Row],[Deliveries due]],""))</f>
        <v>1</v>
      </c>
      <c r="L35" s="37">
        <f>IF(tblScores[[#This Row],[Month]]="","",IF(ISNUMBER(tblScores[[#This Row],[On-time delivery]]),100*tblScores[[#This Row],[On-time delivery]],""))</f>
        <v>100</v>
      </c>
      <c r="M35"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96</v>
      </c>
      <c r="N35" s="39" t="str">
        <f>IF(NOT(ISNUMBER(tblScores[[#This Row],[Composite (pts)]])),"",IF(tblScores[[#This Row],[Composite (pts)]]&gt;=MinScore,"On target",IF(tblScores[[#This Row],[Composite (pts)]]&gt;=MinScore*(1-0.05),"Near target","Below target")))</f>
        <v>On target</v>
      </c>
      <c r="O35" s="40">
        <f>IF(tblScores[[#This Row],[Month]]="","",IF(AND(tblScores[[#This Row],[Month]]&gt;=FFrom,tblScores[[#This Row],[Month]]&lt;=FTo,OR(DashSupplier="",tblScores[[#This Row],[Supplier]]=DashSupplier)),tblScores[[#This Row],[Month]],""))</f>
        <v>46204</v>
      </c>
      <c r="P35"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35" s="28" t="s">
        <v>126</v>
      </c>
    </row>
    <row r="36" spans="2:17" x14ac:dyDescent="0.25">
      <c r="B36" s="35">
        <v>46204</v>
      </c>
      <c r="C36" s="28" t="s">
        <v>105</v>
      </c>
      <c r="D36" s="29">
        <v>1000</v>
      </c>
      <c r="E36" s="29">
        <v>0</v>
      </c>
      <c r="F36" s="29">
        <v>5</v>
      </c>
      <c r="G36" s="29">
        <v>5</v>
      </c>
      <c r="H36" s="29">
        <v>80</v>
      </c>
      <c r="I36" s="36">
        <f>IF(tblScores[[#This Row],[Month]]="","",IF(tblScores[[#This Row],[Units received]]&gt;0,tblScores[[#This Row],[Units rejected]]/tblScores[[#This Row],[Units received]]*1000000,""))</f>
        <v>0</v>
      </c>
      <c r="J36" s="37">
        <f>IF(tblScores[[#This Row],[Month]]="","",IF(ISNUMBER(tblScores[[#This Row],[PPM]]),100*MAX(0,1-tblScores[[#This Row],[PPM]]/PpmZero),""))</f>
        <v>100</v>
      </c>
      <c r="K36" s="38">
        <f>IF(tblScores[[#This Row],[Month]]="","",IF(tblScores[[#This Row],[Deliveries due]]&gt;0,tblScores[[#This Row],[Deliveries on time]]/tblScores[[#This Row],[Deliveries due]],""))</f>
        <v>1</v>
      </c>
      <c r="L36" s="37">
        <f>IF(tblScores[[#This Row],[Month]]="","",IF(ISNUMBER(tblScores[[#This Row],[On-time delivery]]),100*tblScores[[#This Row],[On-time delivery]],""))</f>
        <v>100</v>
      </c>
      <c r="M36"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96</v>
      </c>
      <c r="N36" s="39" t="str">
        <f>IF(NOT(ISNUMBER(tblScores[[#This Row],[Composite (pts)]])),"",IF(tblScores[[#This Row],[Composite (pts)]]&gt;=MinScore,"On target",IF(tblScores[[#This Row],[Composite (pts)]]&gt;=MinScore*(1-0.05),"Near target","Below target")))</f>
        <v>On target</v>
      </c>
      <c r="O36" s="40">
        <f>IF(tblScores[[#This Row],[Month]]="","",IF(AND(tblScores[[#This Row],[Month]]&gt;=FFrom,tblScores[[#This Row],[Month]]&lt;=FTo,OR(DashSupplier="",tblScores[[#This Row],[Supplier]]=DashSupplier)),tblScores[[#This Row],[Month]],""))</f>
        <v>46204</v>
      </c>
      <c r="P36"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36" s="28" t="s">
        <v>126</v>
      </c>
    </row>
    <row r="37" spans="2:17" x14ac:dyDescent="0.25">
      <c r="B37" s="35">
        <v>46204</v>
      </c>
      <c r="C37" s="28" t="s">
        <v>109</v>
      </c>
      <c r="D37" s="29">
        <v>4390</v>
      </c>
      <c r="E37" s="29">
        <v>1</v>
      </c>
      <c r="F37" s="29">
        <v>8</v>
      </c>
      <c r="G37" s="29">
        <v>8</v>
      </c>
      <c r="H37" s="29">
        <v>75</v>
      </c>
      <c r="I37" s="36">
        <f>IF(tblScores[[#This Row],[Month]]="","",IF(tblScores[[#This Row],[Units received]]&gt;0,tblScores[[#This Row],[Units rejected]]/tblScores[[#This Row],[Units received]]*1000000,""))</f>
        <v>227.790432801822</v>
      </c>
      <c r="J37" s="37">
        <f>IF(tblScores[[#This Row],[Month]]="","",IF(ISNUMBER(tblScores[[#This Row],[PPM]]),100*MAX(0,1-tblScores[[#This Row],[PPM]]/PpmZero),""))</f>
        <v>94.3052391799544</v>
      </c>
      <c r="K37" s="38">
        <f>IF(tblScores[[#This Row],[Month]]="","",IF(tblScores[[#This Row],[Deliveries due]]&gt;0,tblScores[[#This Row],[Deliveries on time]]/tblScores[[#This Row],[Deliveries due]],""))</f>
        <v>1</v>
      </c>
      <c r="L37" s="37">
        <f>IF(tblScores[[#This Row],[Month]]="","",IF(ISNUMBER(tblScores[[#This Row],[On-time delivery]]),100*tblScores[[#This Row],[On-time delivery]],""))</f>
        <v>100</v>
      </c>
      <c r="M37"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92.1526195899772</v>
      </c>
      <c r="N37" s="39" t="str">
        <f>IF(NOT(ISNUMBER(tblScores[[#This Row],[Composite (pts)]])),"",IF(tblScores[[#This Row],[Composite (pts)]]&gt;=MinScore,"On target",IF(tblScores[[#This Row],[Composite (pts)]]&gt;=MinScore*(1-0.05),"Near target","Below target")))</f>
        <v>On target</v>
      </c>
      <c r="O37" s="40">
        <f>IF(tblScores[[#This Row],[Month]]="","",IF(AND(tblScores[[#This Row],[Month]]&gt;=FFrom,tblScores[[#This Row],[Month]]&lt;=FTo,OR(DashSupplier="",tblScores[[#This Row],[Supplier]]=DashSupplier)),tblScores[[#This Row],[Month]],""))</f>
        <v>46204</v>
      </c>
      <c r="P37"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37" s="28" t="s">
        <v>126</v>
      </c>
    </row>
    <row r="38" spans="2:17" x14ac:dyDescent="0.25">
      <c r="B38" s="35">
        <v>46235</v>
      </c>
      <c r="C38" s="28" t="s">
        <v>81</v>
      </c>
      <c r="D38" s="29">
        <v>2260</v>
      </c>
      <c r="E38" s="29">
        <v>1</v>
      </c>
      <c r="F38" s="29">
        <v>5</v>
      </c>
      <c r="G38" s="29">
        <v>4</v>
      </c>
      <c r="H38" s="29">
        <v>90</v>
      </c>
      <c r="I38" s="36">
        <f>IF(tblScores[[#This Row],[Month]]="","",IF(tblScores[[#This Row],[Units received]]&gt;0,tblScores[[#This Row],[Units rejected]]/tblScores[[#This Row],[Units received]]*1000000,""))</f>
        <v>442.477876106195</v>
      </c>
      <c r="J38" s="37">
        <f>IF(tblScores[[#This Row],[Month]]="","",IF(ISNUMBER(tblScores[[#This Row],[PPM]]),100*MAX(0,1-tblScores[[#This Row],[PPM]]/PpmZero),""))</f>
        <v>88.9380530973451</v>
      </c>
      <c r="K38" s="38">
        <f>IF(tblScores[[#This Row],[Month]]="","",IF(tblScores[[#This Row],[Deliveries due]]&gt;0,tblScores[[#This Row],[Deliveries on time]]/tblScores[[#This Row],[Deliveries due]],""))</f>
        <v>0.8</v>
      </c>
      <c r="L38" s="37">
        <f>IF(tblScores[[#This Row],[Month]]="","",IF(ISNUMBER(tblScores[[#This Row],[On-time delivery]]),100*tblScores[[#This Row],[On-time delivery]],""))</f>
        <v>80</v>
      </c>
      <c r="M38"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86.4690265486726</v>
      </c>
      <c r="N38" s="39" t="str">
        <f>IF(NOT(ISNUMBER(tblScores[[#This Row],[Composite (pts)]])),"",IF(tblScores[[#This Row],[Composite (pts)]]&gt;=MinScore,"On target",IF(tblScores[[#This Row],[Composite (pts)]]&gt;=MinScore*(1-0.05),"Near target","Below target")))</f>
        <v>On target</v>
      </c>
      <c r="O38" s="40">
        <f>IF(tblScores[[#This Row],[Month]]="","",IF(AND(tblScores[[#This Row],[Month]]&gt;=FFrom,tblScores[[#This Row],[Month]]&lt;=FTo,OR(DashSupplier="",tblScores[[#This Row],[Supplier]]=DashSupplier)),tblScores[[#This Row],[Month]],""))</f>
        <v>46235</v>
      </c>
      <c r="P38"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38" s="28" t="s">
        <v>126</v>
      </c>
    </row>
    <row r="39" spans="2:17" x14ac:dyDescent="0.25">
      <c r="B39" s="35">
        <v>46235</v>
      </c>
      <c r="C39" s="28" t="s">
        <v>85</v>
      </c>
      <c r="D39" s="29">
        <v>17660</v>
      </c>
      <c r="E39" s="29">
        <v>6</v>
      </c>
      <c r="F39" s="29">
        <v>9</v>
      </c>
      <c r="G39" s="29">
        <v>9</v>
      </c>
      <c r="H39" s="29">
        <v>85</v>
      </c>
      <c r="I39" s="36">
        <f>IF(tblScores[[#This Row],[Month]]="","",IF(tblScores[[#This Row],[Units received]]&gt;0,tblScores[[#This Row],[Units rejected]]/tblScores[[#This Row],[Units received]]*1000000,""))</f>
        <v>339.750849377123</v>
      </c>
      <c r="J39" s="37">
        <f>IF(tblScores[[#This Row],[Month]]="","",IF(ISNUMBER(tblScores[[#This Row],[PPM]]),100*MAX(0,1-tblScores[[#This Row],[PPM]]/PpmZero),""))</f>
        <v>91.5062287655719</v>
      </c>
      <c r="K39" s="38">
        <f>IF(tblScores[[#This Row],[Month]]="","",IF(tblScores[[#This Row],[Deliveries due]]&gt;0,tblScores[[#This Row],[Deliveries on time]]/tblScores[[#This Row],[Deliveries due]],""))</f>
        <v>1</v>
      </c>
      <c r="L39" s="37">
        <f>IF(tblScores[[#This Row],[Month]]="","",IF(ISNUMBER(tblScores[[#This Row],[On-time delivery]]),100*tblScores[[#This Row],[On-time delivery]],""))</f>
        <v>100</v>
      </c>
      <c r="M39"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92.753114382786</v>
      </c>
      <c r="N39" s="39" t="str">
        <f>IF(NOT(ISNUMBER(tblScores[[#This Row],[Composite (pts)]])),"",IF(tblScores[[#This Row],[Composite (pts)]]&gt;=MinScore,"On target",IF(tblScores[[#This Row],[Composite (pts)]]&gt;=MinScore*(1-0.05),"Near target","Below target")))</f>
        <v>On target</v>
      </c>
      <c r="O39" s="40">
        <f>IF(tblScores[[#This Row],[Month]]="","",IF(AND(tblScores[[#This Row],[Month]]&gt;=FFrom,tblScores[[#This Row],[Month]]&lt;=FTo,OR(DashSupplier="",tblScores[[#This Row],[Supplier]]=DashSupplier)),tblScores[[#This Row],[Month]],""))</f>
        <v>46235</v>
      </c>
      <c r="P39"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39" s="28" t="s">
        <v>126</v>
      </c>
    </row>
    <row r="40" spans="2:17" x14ac:dyDescent="0.25">
      <c r="B40" s="35">
        <v>46235</v>
      </c>
      <c r="C40" s="28" t="s">
        <v>89</v>
      </c>
      <c r="D40" s="29">
        <v>60610</v>
      </c>
      <c r="E40" s="29">
        <v>4</v>
      </c>
      <c r="F40" s="29">
        <v>12</v>
      </c>
      <c r="G40" s="29">
        <v>12</v>
      </c>
      <c r="H40" s="29">
        <v>95</v>
      </c>
      <c r="I40" s="36">
        <f>IF(tblScores[[#This Row],[Month]]="","",IF(tblScores[[#This Row],[Units received]]&gt;0,tblScores[[#This Row],[Units rejected]]/tblScores[[#This Row],[Units received]]*1000000,""))</f>
        <v>65.9957102788319</v>
      </c>
      <c r="J40" s="37">
        <f>IF(tblScores[[#This Row],[Month]]="","",IF(ISNUMBER(tblScores[[#This Row],[PPM]]),100*MAX(0,1-tblScores[[#This Row],[PPM]]/PpmZero),""))</f>
        <v>98.3501072430292</v>
      </c>
      <c r="K40" s="38">
        <f>IF(tblScores[[#This Row],[Month]]="","",IF(tblScores[[#This Row],[Deliveries due]]&gt;0,tblScores[[#This Row],[Deliveries on time]]/tblScores[[#This Row],[Deliveries due]],""))</f>
        <v>1</v>
      </c>
      <c r="L40" s="37">
        <f>IF(tblScores[[#This Row],[Month]]="","",IF(ISNUMBER(tblScores[[#This Row],[On-time delivery]]),100*tblScores[[#This Row],[On-time delivery]],""))</f>
        <v>100</v>
      </c>
      <c r="M40"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98.1750536215146</v>
      </c>
      <c r="N40" s="39" t="str">
        <f>IF(NOT(ISNUMBER(tblScores[[#This Row],[Composite (pts)]])),"",IF(tblScores[[#This Row],[Composite (pts)]]&gt;=MinScore,"On target",IF(tblScores[[#This Row],[Composite (pts)]]&gt;=MinScore*(1-0.05),"Near target","Below target")))</f>
        <v>On target</v>
      </c>
      <c r="O40" s="40">
        <f>IF(tblScores[[#This Row],[Month]]="","",IF(AND(tblScores[[#This Row],[Month]]&gt;=FFrom,tblScores[[#This Row],[Month]]&lt;=FTo,OR(DashSupplier="",tblScores[[#This Row],[Supplier]]=DashSupplier)),tblScores[[#This Row],[Month]],""))</f>
        <v>46235</v>
      </c>
      <c r="P40"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40" s="28" t="s">
        <v>126</v>
      </c>
    </row>
    <row r="41" spans="2:17" x14ac:dyDescent="0.25">
      <c r="B41" s="35">
        <v>46235</v>
      </c>
      <c r="C41" s="28" t="s">
        <v>93</v>
      </c>
      <c r="D41" s="29">
        <v>3670</v>
      </c>
      <c r="E41" s="29">
        <v>1</v>
      </c>
      <c r="F41" s="29">
        <v>7</v>
      </c>
      <c r="G41" s="29">
        <v>6</v>
      </c>
      <c r="H41" s="29">
        <v>70</v>
      </c>
      <c r="I41" s="36">
        <f>IF(tblScores[[#This Row],[Month]]="","",IF(tblScores[[#This Row],[Units received]]&gt;0,tblScores[[#This Row],[Units rejected]]/tblScores[[#This Row],[Units received]]*1000000,""))</f>
        <v>272.479564032698</v>
      </c>
      <c r="J41" s="37">
        <f>IF(tblScores[[#This Row],[Month]]="","",IF(ISNUMBER(tblScores[[#This Row],[PPM]]),100*MAX(0,1-tblScores[[#This Row],[PPM]]/PpmZero),""))</f>
        <v>93.1880108991826</v>
      </c>
      <c r="K41" s="38">
        <f>IF(tblScores[[#This Row],[Month]]="","",IF(tblScores[[#This Row],[Deliveries due]]&gt;0,tblScores[[#This Row],[Deliveries on time]]/tblScores[[#This Row],[Deliveries due]],""))</f>
        <v>0.857142857142857</v>
      </c>
      <c r="L41" s="37">
        <f>IF(tblScores[[#This Row],[Month]]="","",IF(ISNUMBER(tblScores[[#This Row],[On-time delivery]]),100*tblScores[[#This Row],[On-time delivery]],""))</f>
        <v>85.7142857142857</v>
      </c>
      <c r="M41"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86.308291163877</v>
      </c>
      <c r="N41" s="39" t="str">
        <f>IF(NOT(ISNUMBER(tblScores[[#This Row],[Composite (pts)]])),"",IF(tblScores[[#This Row],[Composite (pts)]]&gt;=MinScore,"On target",IF(tblScores[[#This Row],[Composite (pts)]]&gt;=MinScore*(1-0.05),"Near target","Below target")))</f>
        <v>On target</v>
      </c>
      <c r="O41" s="40">
        <f>IF(tblScores[[#This Row],[Month]]="","",IF(AND(tblScores[[#This Row],[Month]]&gt;=FFrom,tblScores[[#This Row],[Month]]&lt;=FTo,OR(DashSupplier="",tblScores[[#This Row],[Supplier]]=DashSupplier)),tblScores[[#This Row],[Month]],""))</f>
        <v>46235</v>
      </c>
      <c r="P41"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41" s="28" t="s">
        <v>126</v>
      </c>
    </row>
    <row r="42" spans="2:17" x14ac:dyDescent="0.25">
      <c r="B42" s="35">
        <v>46235</v>
      </c>
      <c r="C42" s="28" t="s">
        <v>97</v>
      </c>
      <c r="D42" s="29">
        <v>1570</v>
      </c>
      <c r="E42" s="29">
        <v>1</v>
      </c>
      <c r="F42" s="29">
        <v>7</v>
      </c>
      <c r="G42" s="29">
        <v>4</v>
      </c>
      <c r="H42" s="29">
        <v>75</v>
      </c>
      <c r="I42" s="36">
        <f>IF(tblScores[[#This Row],[Month]]="","",IF(tblScores[[#This Row],[Units received]]&gt;0,tblScores[[#This Row],[Units rejected]]/tblScores[[#This Row],[Units received]]*1000000,""))</f>
        <v>636.942675159236</v>
      </c>
      <c r="J42" s="37">
        <f>IF(tblScores[[#This Row],[Month]]="","",IF(ISNUMBER(tblScores[[#This Row],[PPM]]),100*MAX(0,1-tblScores[[#This Row],[PPM]]/PpmZero),""))</f>
        <v>84.0764331210191</v>
      </c>
      <c r="K42" s="38">
        <f>IF(tblScores[[#This Row],[Month]]="","",IF(tblScores[[#This Row],[Deliveries due]]&gt;0,tblScores[[#This Row],[Deliveries on time]]/tblScores[[#This Row],[Deliveries due]],""))</f>
        <v>0.571428571428571</v>
      </c>
      <c r="L42" s="37">
        <f>IF(tblScores[[#This Row],[Month]]="","",IF(ISNUMBER(tblScores[[#This Row],[On-time delivery]]),100*tblScores[[#This Row],[On-time delivery]],""))</f>
        <v>57.1428571428571</v>
      </c>
      <c r="M42"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74.1810737033667</v>
      </c>
      <c r="N42" s="39" t="str">
        <f>IF(NOT(ISNUMBER(tblScores[[#This Row],[Composite (pts)]])),"",IF(tblScores[[#This Row],[Composite (pts)]]&gt;=MinScore,"On target",IF(tblScores[[#This Row],[Composite (pts)]]&gt;=MinScore*(1-0.05),"Near target","Below target")))</f>
        <v>Below target</v>
      </c>
      <c r="O42" s="40">
        <f>IF(tblScores[[#This Row],[Month]]="","",IF(AND(tblScores[[#This Row],[Month]]&gt;=FFrom,tblScores[[#This Row],[Month]]&lt;=FTo,OR(DashSupplier="",tblScores[[#This Row],[Supplier]]=DashSupplier)),tblScores[[#This Row],[Month]],""))</f>
        <v>46235</v>
      </c>
      <c r="P42"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42" s="28" t="s">
        <v>126</v>
      </c>
    </row>
    <row r="43" spans="2:17" x14ac:dyDescent="0.25">
      <c r="B43" s="35">
        <v>46235</v>
      </c>
      <c r="C43" s="28" t="s">
        <v>101</v>
      </c>
      <c r="D43" s="29">
        <v>11490</v>
      </c>
      <c r="E43" s="29">
        <v>1</v>
      </c>
      <c r="F43" s="29">
        <v>10</v>
      </c>
      <c r="G43" s="29">
        <v>10</v>
      </c>
      <c r="H43" s="29">
        <v>85</v>
      </c>
      <c r="I43" s="36">
        <f>IF(tblScores[[#This Row],[Month]]="","",IF(tblScores[[#This Row],[Units received]]&gt;0,tblScores[[#This Row],[Units rejected]]/tblScores[[#This Row],[Units received]]*1000000,""))</f>
        <v>87.0322019147084</v>
      </c>
      <c r="J43" s="37">
        <f>IF(tblScores[[#This Row],[Month]]="","",IF(ISNUMBER(tblScores[[#This Row],[PPM]]),100*MAX(0,1-tblScores[[#This Row],[PPM]]/PpmZero),""))</f>
        <v>97.8241949521323</v>
      </c>
      <c r="K43" s="38">
        <f>IF(tblScores[[#This Row],[Month]]="","",IF(tblScores[[#This Row],[Deliveries due]]&gt;0,tblScores[[#This Row],[Deliveries on time]]/tblScores[[#This Row],[Deliveries due]],""))</f>
        <v>1</v>
      </c>
      <c r="L43" s="37">
        <f>IF(tblScores[[#This Row],[Month]]="","",IF(ISNUMBER(tblScores[[#This Row],[On-time delivery]]),100*tblScores[[#This Row],[On-time delivery]],""))</f>
        <v>100</v>
      </c>
      <c r="M43"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95.9120974760662</v>
      </c>
      <c r="N43" s="39" t="str">
        <f>IF(NOT(ISNUMBER(tblScores[[#This Row],[Composite (pts)]])),"",IF(tblScores[[#This Row],[Composite (pts)]]&gt;=MinScore,"On target",IF(tblScores[[#This Row],[Composite (pts)]]&gt;=MinScore*(1-0.05),"Near target","Below target")))</f>
        <v>On target</v>
      </c>
      <c r="O43" s="40">
        <f>IF(tblScores[[#This Row],[Month]]="","",IF(AND(tblScores[[#This Row],[Month]]&gt;=FFrom,tblScores[[#This Row],[Month]]&lt;=FTo,OR(DashSupplier="",tblScores[[#This Row],[Supplier]]=DashSupplier)),tblScores[[#This Row],[Month]],""))</f>
        <v>46235</v>
      </c>
      <c r="P43"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43" s="28" t="s">
        <v>126</v>
      </c>
    </row>
    <row r="44" spans="2:17" x14ac:dyDescent="0.25">
      <c r="B44" s="35">
        <v>46235</v>
      </c>
      <c r="C44" s="28" t="s">
        <v>105</v>
      </c>
      <c r="D44" s="29">
        <v>850</v>
      </c>
      <c r="E44" s="29">
        <v>0</v>
      </c>
      <c r="F44" s="29">
        <v>8</v>
      </c>
      <c r="G44" s="29">
        <v>7</v>
      </c>
      <c r="H44" s="29">
        <v>80</v>
      </c>
      <c r="I44" s="36">
        <f>IF(tblScores[[#This Row],[Month]]="","",IF(tblScores[[#This Row],[Units received]]&gt;0,tblScores[[#This Row],[Units rejected]]/tblScores[[#This Row],[Units received]]*1000000,""))</f>
        <v>0</v>
      </c>
      <c r="J44" s="37">
        <f>IF(tblScores[[#This Row],[Month]]="","",IF(ISNUMBER(tblScores[[#This Row],[PPM]]),100*MAX(0,1-tblScores[[#This Row],[PPM]]/PpmZero),""))</f>
        <v>100</v>
      </c>
      <c r="K44" s="38">
        <f>IF(tblScores[[#This Row],[Month]]="","",IF(tblScores[[#This Row],[Deliveries due]]&gt;0,tblScores[[#This Row],[Deliveries on time]]/tblScores[[#This Row],[Deliveries due]],""))</f>
        <v>0.875</v>
      </c>
      <c r="L44" s="37">
        <f>IF(tblScores[[#This Row],[Month]]="","",IF(ISNUMBER(tblScores[[#This Row],[On-time delivery]]),100*tblScores[[#This Row],[On-time delivery]],""))</f>
        <v>87.5</v>
      </c>
      <c r="M44"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92.25</v>
      </c>
      <c r="N44" s="39" t="str">
        <f>IF(NOT(ISNUMBER(tblScores[[#This Row],[Composite (pts)]])),"",IF(tblScores[[#This Row],[Composite (pts)]]&gt;=MinScore,"On target",IF(tblScores[[#This Row],[Composite (pts)]]&gt;=MinScore*(1-0.05),"Near target","Below target")))</f>
        <v>On target</v>
      </c>
      <c r="O44" s="40">
        <f>IF(tblScores[[#This Row],[Month]]="","",IF(AND(tblScores[[#This Row],[Month]]&gt;=FFrom,tblScores[[#This Row],[Month]]&lt;=FTo,OR(DashSupplier="",tblScores[[#This Row],[Supplier]]=DashSupplier)),tblScores[[#This Row],[Month]],""))</f>
        <v>46235</v>
      </c>
      <c r="P44"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44" s="28" t="s">
        <v>126</v>
      </c>
    </row>
    <row r="45" spans="2:17" x14ac:dyDescent="0.25">
      <c r="B45" s="35">
        <v>46235</v>
      </c>
      <c r="C45" s="28" t="s">
        <v>109</v>
      </c>
      <c r="D45" s="29">
        <v>5400</v>
      </c>
      <c r="E45" s="29">
        <v>2</v>
      </c>
      <c r="F45" s="29">
        <v>9</v>
      </c>
      <c r="G45" s="29">
        <v>8</v>
      </c>
      <c r="H45" s="29">
        <v>85</v>
      </c>
      <c r="I45" s="36">
        <f>IF(tblScores[[#This Row],[Month]]="","",IF(tblScores[[#This Row],[Units received]]&gt;0,tblScores[[#This Row],[Units rejected]]/tblScores[[#This Row],[Units received]]*1000000,""))</f>
        <v>370.37037037037</v>
      </c>
      <c r="J45" s="37">
        <f>IF(tblScores[[#This Row],[Month]]="","",IF(ISNUMBER(tblScores[[#This Row],[PPM]]),100*MAX(0,1-tblScores[[#This Row],[PPM]]/PpmZero),""))</f>
        <v>90.7407407407408</v>
      </c>
      <c r="K45" s="38">
        <f>IF(tblScores[[#This Row],[Month]]="","",IF(tblScores[[#This Row],[Deliveries due]]&gt;0,tblScores[[#This Row],[Deliveries on time]]/tblScores[[#This Row],[Deliveries due]],""))</f>
        <v>0.888888888888889</v>
      </c>
      <c r="L45" s="37">
        <f>IF(tblScores[[#This Row],[Month]]="","",IF(ISNUMBER(tblScores[[#This Row],[On-time delivery]]),100*tblScores[[#This Row],[On-time delivery]],""))</f>
        <v>88.8888888888889</v>
      </c>
      <c r="M45"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89.037037037037</v>
      </c>
      <c r="N45" s="39" t="str">
        <f>IF(NOT(ISNUMBER(tblScores[[#This Row],[Composite (pts)]])),"",IF(tblScores[[#This Row],[Composite (pts)]]&gt;=MinScore,"On target",IF(tblScores[[#This Row],[Composite (pts)]]&gt;=MinScore*(1-0.05),"Near target","Below target")))</f>
        <v>On target</v>
      </c>
      <c r="O45" s="40">
        <f>IF(tblScores[[#This Row],[Month]]="","",IF(AND(tblScores[[#This Row],[Month]]&gt;=FFrom,tblScores[[#This Row],[Month]]&lt;=FTo,OR(DashSupplier="",tblScores[[#This Row],[Supplier]]=DashSupplier)),tblScores[[#This Row],[Month]],""))</f>
        <v>46235</v>
      </c>
      <c r="P45"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45" s="28" t="s">
        <v>126</v>
      </c>
    </row>
    <row r="46" spans="2:17" x14ac:dyDescent="0.25">
      <c r="B46" s="35">
        <v>46266</v>
      </c>
      <c r="C46" s="28" t="s">
        <v>81</v>
      </c>
      <c r="D46" s="29">
        <v>2760</v>
      </c>
      <c r="E46" s="29">
        <v>1</v>
      </c>
      <c r="F46" s="29">
        <v>5</v>
      </c>
      <c r="G46" s="29">
        <v>5</v>
      </c>
      <c r="H46" s="29">
        <v>85</v>
      </c>
      <c r="I46" s="36">
        <f>IF(tblScores[[#This Row],[Month]]="","",IF(tblScores[[#This Row],[Units received]]&gt;0,tblScores[[#This Row],[Units rejected]]/tblScores[[#This Row],[Units received]]*1000000,""))</f>
        <v>362.31884057971</v>
      </c>
      <c r="J46" s="37">
        <f>IF(tblScores[[#This Row],[Month]]="","",IF(ISNUMBER(tblScores[[#This Row],[PPM]]),100*MAX(0,1-tblScores[[#This Row],[PPM]]/PpmZero),""))</f>
        <v>90.9420289855073</v>
      </c>
      <c r="K46" s="38">
        <f>IF(tblScores[[#This Row],[Month]]="","",IF(tblScores[[#This Row],[Deliveries due]]&gt;0,tblScores[[#This Row],[Deliveries on time]]/tblScores[[#This Row],[Deliveries due]],""))</f>
        <v>1</v>
      </c>
      <c r="L46" s="37">
        <f>IF(tblScores[[#This Row],[Month]]="","",IF(ISNUMBER(tblScores[[#This Row],[On-time delivery]]),100*tblScores[[#This Row],[On-time delivery]],""))</f>
        <v>100</v>
      </c>
      <c r="M46"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92.4710144927536</v>
      </c>
      <c r="N46" s="39" t="str">
        <f>IF(NOT(ISNUMBER(tblScores[[#This Row],[Composite (pts)]])),"",IF(tblScores[[#This Row],[Composite (pts)]]&gt;=MinScore,"On target",IF(tblScores[[#This Row],[Composite (pts)]]&gt;=MinScore*(1-0.05),"Near target","Below target")))</f>
        <v>On target</v>
      </c>
      <c r="O46" s="40">
        <f>IF(tblScores[[#This Row],[Month]]="","",IF(AND(tblScores[[#This Row],[Month]]&gt;=FFrom,tblScores[[#This Row],[Month]]&lt;=FTo,OR(DashSupplier="",tblScores[[#This Row],[Supplier]]=DashSupplier)),tblScores[[#This Row],[Month]],""))</f>
        <v>46266</v>
      </c>
      <c r="P46"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46" s="28" t="s">
        <v>126</v>
      </c>
    </row>
    <row r="47" spans="2:17" x14ac:dyDescent="0.25">
      <c r="B47" s="35">
        <v>46266</v>
      </c>
      <c r="C47" s="28" t="s">
        <v>85</v>
      </c>
      <c r="D47" s="29">
        <v>20370</v>
      </c>
      <c r="E47" s="29">
        <v>4</v>
      </c>
      <c r="F47" s="29">
        <v>11</v>
      </c>
      <c r="G47" s="29">
        <v>11</v>
      </c>
      <c r="H47" s="29">
        <v>85</v>
      </c>
      <c r="I47" s="36">
        <f>IF(tblScores[[#This Row],[Month]]="","",IF(tblScores[[#This Row],[Units received]]&gt;0,tblScores[[#This Row],[Units rejected]]/tblScores[[#This Row],[Units received]]*1000000,""))</f>
        <v>196.367206676485</v>
      </c>
      <c r="J47" s="37">
        <f>IF(tblScores[[#This Row],[Month]]="","",IF(ISNUMBER(tblScores[[#This Row],[PPM]]),100*MAX(0,1-tblScores[[#This Row],[PPM]]/PpmZero),""))</f>
        <v>95.0908198330879</v>
      </c>
      <c r="K47" s="38">
        <f>IF(tblScores[[#This Row],[Month]]="","",IF(tblScores[[#This Row],[Deliveries due]]&gt;0,tblScores[[#This Row],[Deliveries on time]]/tblScores[[#This Row],[Deliveries due]],""))</f>
        <v>1</v>
      </c>
      <c r="L47" s="37">
        <f>IF(tblScores[[#This Row],[Month]]="","",IF(ISNUMBER(tblScores[[#This Row],[On-time delivery]]),100*tblScores[[#This Row],[On-time delivery]],""))</f>
        <v>100</v>
      </c>
      <c r="M47"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94.545409916544</v>
      </c>
      <c r="N47" s="39" t="str">
        <f>IF(NOT(ISNUMBER(tblScores[[#This Row],[Composite (pts)]])),"",IF(tblScores[[#This Row],[Composite (pts)]]&gt;=MinScore,"On target",IF(tblScores[[#This Row],[Composite (pts)]]&gt;=MinScore*(1-0.05),"Near target","Below target")))</f>
        <v>On target</v>
      </c>
      <c r="O47" s="40">
        <f>IF(tblScores[[#This Row],[Month]]="","",IF(AND(tblScores[[#This Row],[Month]]&gt;=FFrom,tblScores[[#This Row],[Month]]&lt;=FTo,OR(DashSupplier="",tblScores[[#This Row],[Supplier]]=DashSupplier)),tblScores[[#This Row],[Month]],""))</f>
        <v>46266</v>
      </c>
      <c r="P47"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47" s="28" t="s">
        <v>126</v>
      </c>
    </row>
    <row r="48" spans="2:17" x14ac:dyDescent="0.25">
      <c r="B48" s="35">
        <v>46266</v>
      </c>
      <c r="C48" s="28" t="s">
        <v>89</v>
      </c>
      <c r="D48" s="29">
        <v>73710</v>
      </c>
      <c r="E48" s="29">
        <v>3</v>
      </c>
      <c r="F48" s="29">
        <v>11</v>
      </c>
      <c r="G48" s="29">
        <v>10</v>
      </c>
      <c r="H48" s="29">
        <v>90</v>
      </c>
      <c r="I48" s="36">
        <f>IF(tblScores[[#This Row],[Month]]="","",IF(tblScores[[#This Row],[Units received]]&gt;0,tblScores[[#This Row],[Units rejected]]/tblScores[[#This Row],[Units received]]*1000000,""))</f>
        <v>40.7000407000407</v>
      </c>
      <c r="J48" s="37">
        <f>IF(tblScores[[#This Row],[Month]]="","",IF(ISNUMBER(tblScores[[#This Row],[PPM]]),100*MAX(0,1-tblScores[[#This Row],[PPM]]/PpmZero),""))</f>
        <v>98.982498982499</v>
      </c>
      <c r="K48" s="38">
        <f>IF(tblScores[[#This Row],[Month]]="","",IF(tblScores[[#This Row],[Deliveries due]]&gt;0,tblScores[[#This Row],[Deliveries on time]]/tblScores[[#This Row],[Deliveries due]],""))</f>
        <v>0.909090909090909</v>
      </c>
      <c r="L48" s="37">
        <f>IF(tblScores[[#This Row],[Month]]="","",IF(ISNUMBER(tblScores[[#This Row],[On-time delivery]]),100*tblScores[[#This Row],[On-time delivery]],""))</f>
        <v>90.9090909090909</v>
      </c>
      <c r="M48"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94.7639767639768</v>
      </c>
      <c r="N48" s="39" t="str">
        <f>IF(NOT(ISNUMBER(tblScores[[#This Row],[Composite (pts)]])),"",IF(tblScores[[#This Row],[Composite (pts)]]&gt;=MinScore,"On target",IF(tblScores[[#This Row],[Composite (pts)]]&gt;=MinScore*(1-0.05),"Near target","Below target")))</f>
        <v>On target</v>
      </c>
      <c r="O48" s="40">
        <f>IF(tblScores[[#This Row],[Month]]="","",IF(AND(tblScores[[#This Row],[Month]]&gt;=FFrom,tblScores[[#This Row],[Month]]&lt;=FTo,OR(DashSupplier="",tblScores[[#This Row],[Supplier]]=DashSupplier)),tblScores[[#This Row],[Month]],""))</f>
        <v>46266</v>
      </c>
      <c r="P48"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48" s="28" t="s">
        <v>126</v>
      </c>
    </row>
    <row r="49" spans="2:17" x14ac:dyDescent="0.25">
      <c r="B49" s="35">
        <v>46266</v>
      </c>
      <c r="C49" s="28" t="s">
        <v>93</v>
      </c>
      <c r="D49" s="29">
        <v>3180</v>
      </c>
      <c r="E49" s="29">
        <v>1</v>
      </c>
      <c r="F49" s="29">
        <v>4</v>
      </c>
      <c r="G49" s="29">
        <v>4</v>
      </c>
      <c r="H49" s="29">
        <v>80</v>
      </c>
      <c r="I49" s="36">
        <f>IF(tblScores[[#This Row],[Month]]="","",IF(tblScores[[#This Row],[Units received]]&gt;0,tblScores[[#This Row],[Units rejected]]/tblScores[[#This Row],[Units received]]*1000000,""))</f>
        <v>314.465408805031</v>
      </c>
      <c r="J49" s="37">
        <f>IF(tblScores[[#This Row],[Month]]="","",IF(ISNUMBER(tblScores[[#This Row],[PPM]]),100*MAX(0,1-tblScores[[#This Row],[PPM]]/PpmZero),""))</f>
        <v>92.1383647798742</v>
      </c>
      <c r="K49" s="38">
        <f>IF(tblScores[[#This Row],[Month]]="","",IF(tblScores[[#This Row],[Deliveries due]]&gt;0,tblScores[[#This Row],[Deliveries on time]]/tblScores[[#This Row],[Deliveries due]],""))</f>
        <v>1</v>
      </c>
      <c r="L49" s="37">
        <f>IF(tblScores[[#This Row],[Month]]="","",IF(ISNUMBER(tblScores[[#This Row],[On-time delivery]]),100*tblScores[[#This Row],[On-time delivery]],""))</f>
        <v>100</v>
      </c>
      <c r="M49"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92.0691823899371</v>
      </c>
      <c r="N49" s="39" t="str">
        <f>IF(NOT(ISNUMBER(tblScores[[#This Row],[Composite (pts)]])),"",IF(tblScores[[#This Row],[Composite (pts)]]&gt;=MinScore,"On target",IF(tblScores[[#This Row],[Composite (pts)]]&gt;=MinScore*(1-0.05),"Near target","Below target")))</f>
        <v>On target</v>
      </c>
      <c r="O49" s="40">
        <f>IF(tblScores[[#This Row],[Month]]="","",IF(AND(tblScores[[#This Row],[Month]]&gt;=FFrom,tblScores[[#This Row],[Month]]&lt;=FTo,OR(DashSupplier="",tblScores[[#This Row],[Supplier]]=DashSupplier)),tblScores[[#This Row],[Month]],""))</f>
        <v>46266</v>
      </c>
      <c r="P49"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49" s="28" t="s">
        <v>126</v>
      </c>
    </row>
    <row r="50" spans="2:17" x14ac:dyDescent="0.25">
      <c r="B50" s="35">
        <v>46266</v>
      </c>
      <c r="C50" s="28" t="s">
        <v>97</v>
      </c>
      <c r="D50" s="29">
        <v>1530</v>
      </c>
      <c r="E50" s="29">
        <v>1</v>
      </c>
      <c r="F50" s="29">
        <v>8</v>
      </c>
      <c r="G50" s="29">
        <v>4</v>
      </c>
      <c r="H50" s="29">
        <v>80</v>
      </c>
      <c r="I50" s="36">
        <f>IF(tblScores[[#This Row],[Month]]="","",IF(tblScores[[#This Row],[Units received]]&gt;0,tblScores[[#This Row],[Units rejected]]/tblScores[[#This Row],[Units received]]*1000000,""))</f>
        <v>653.59477124183</v>
      </c>
      <c r="J50" s="37">
        <f>IF(tblScores[[#This Row],[Month]]="","",IF(ISNUMBER(tblScores[[#This Row],[PPM]]),100*MAX(0,1-tblScores[[#This Row],[PPM]]/PpmZero),""))</f>
        <v>83.6601307189543</v>
      </c>
      <c r="K50" s="38">
        <f>IF(tblScores[[#This Row],[Month]]="","",IF(tblScores[[#This Row],[Deliveries due]]&gt;0,tblScores[[#This Row],[Deliveries on time]]/tblScores[[#This Row],[Deliveries due]],""))</f>
        <v>0.5</v>
      </c>
      <c r="L50" s="37">
        <f>IF(tblScores[[#This Row],[Month]]="","",IF(ISNUMBER(tblScores[[#This Row],[On-time delivery]]),100*tblScores[[#This Row],[On-time delivery]],""))</f>
        <v>50</v>
      </c>
      <c r="M50"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72.8300653594771</v>
      </c>
      <c r="N50" s="39" t="str">
        <f>IF(NOT(ISNUMBER(tblScores[[#This Row],[Composite (pts)]])),"",IF(tblScores[[#This Row],[Composite (pts)]]&gt;=MinScore,"On target",IF(tblScores[[#This Row],[Composite (pts)]]&gt;=MinScore*(1-0.05),"Near target","Below target")))</f>
        <v>Below target</v>
      </c>
      <c r="O50" s="40">
        <f>IF(tblScores[[#This Row],[Month]]="","",IF(AND(tblScores[[#This Row],[Month]]&gt;=FFrom,tblScores[[#This Row],[Month]]&lt;=FTo,OR(DashSupplier="",tblScores[[#This Row],[Supplier]]=DashSupplier)),tblScores[[#This Row],[Month]],""))</f>
        <v>46266</v>
      </c>
      <c r="P50"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50" s="28" t="s">
        <v>126</v>
      </c>
    </row>
    <row r="51" spans="2:17" x14ac:dyDescent="0.25">
      <c r="B51" s="35">
        <v>46266</v>
      </c>
      <c r="C51" s="28" t="s">
        <v>101</v>
      </c>
      <c r="D51" s="29">
        <v>10820</v>
      </c>
      <c r="E51" s="29">
        <v>2</v>
      </c>
      <c r="F51" s="29">
        <v>10</v>
      </c>
      <c r="G51" s="29">
        <v>10</v>
      </c>
      <c r="H51" s="29">
        <v>90</v>
      </c>
      <c r="I51" s="36">
        <f>IF(tblScores[[#This Row],[Month]]="","",IF(tblScores[[#This Row],[Units received]]&gt;0,tblScores[[#This Row],[Units rejected]]/tblScores[[#This Row],[Units received]]*1000000,""))</f>
        <v>184.842883548983</v>
      </c>
      <c r="J51" s="37">
        <f>IF(tblScores[[#This Row],[Month]]="","",IF(ISNUMBER(tblScores[[#This Row],[PPM]]),100*MAX(0,1-tblScores[[#This Row],[PPM]]/PpmZero),""))</f>
        <v>95.3789279112754</v>
      </c>
      <c r="K51" s="38">
        <f>IF(tblScores[[#This Row],[Month]]="","",IF(tblScores[[#This Row],[Deliveries due]]&gt;0,tblScores[[#This Row],[Deliveries on time]]/tblScores[[#This Row],[Deliveries due]],""))</f>
        <v>1</v>
      </c>
      <c r="L51" s="37">
        <f>IF(tblScores[[#This Row],[Month]]="","",IF(ISNUMBER(tblScores[[#This Row],[On-time delivery]]),100*tblScores[[#This Row],[On-time delivery]],""))</f>
        <v>100</v>
      </c>
      <c r="M51"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95.6894639556377</v>
      </c>
      <c r="N51" s="39" t="str">
        <f>IF(NOT(ISNUMBER(tblScores[[#This Row],[Composite (pts)]])),"",IF(tblScores[[#This Row],[Composite (pts)]]&gt;=MinScore,"On target",IF(tblScores[[#This Row],[Composite (pts)]]&gt;=MinScore*(1-0.05),"Near target","Below target")))</f>
        <v>On target</v>
      </c>
      <c r="O51" s="40">
        <f>IF(tblScores[[#This Row],[Month]]="","",IF(AND(tblScores[[#This Row],[Month]]&gt;=FFrom,tblScores[[#This Row],[Month]]&lt;=FTo,OR(DashSupplier="",tblScores[[#This Row],[Supplier]]=DashSupplier)),tblScores[[#This Row],[Month]],""))</f>
        <v>46266</v>
      </c>
      <c r="P51"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51" s="28" t="s">
        <v>126</v>
      </c>
    </row>
    <row r="52" spans="2:17" x14ac:dyDescent="0.25">
      <c r="B52" s="35">
        <v>46266</v>
      </c>
      <c r="C52" s="28" t="s">
        <v>105</v>
      </c>
      <c r="D52" s="29">
        <v>930</v>
      </c>
      <c r="E52" s="29">
        <v>0</v>
      </c>
      <c r="F52" s="29">
        <v>5</v>
      </c>
      <c r="G52" s="29">
        <v>5</v>
      </c>
      <c r="H52" s="29">
        <v>85</v>
      </c>
      <c r="I52" s="36">
        <f>IF(tblScores[[#This Row],[Month]]="","",IF(tblScores[[#This Row],[Units received]]&gt;0,tblScores[[#This Row],[Units rejected]]/tblScores[[#This Row],[Units received]]*1000000,""))</f>
        <v>0</v>
      </c>
      <c r="J52" s="37">
        <f>IF(tblScores[[#This Row],[Month]]="","",IF(ISNUMBER(tblScores[[#This Row],[PPM]]),100*MAX(0,1-tblScores[[#This Row],[PPM]]/PpmZero),""))</f>
        <v>100</v>
      </c>
      <c r="K52" s="38">
        <f>IF(tblScores[[#This Row],[Month]]="","",IF(tblScores[[#This Row],[Deliveries due]]&gt;0,tblScores[[#This Row],[Deliveries on time]]/tblScores[[#This Row],[Deliveries due]],""))</f>
        <v>1</v>
      </c>
      <c r="L52" s="37">
        <f>IF(tblScores[[#This Row],[Month]]="","",IF(ISNUMBER(tblScores[[#This Row],[On-time delivery]]),100*tblScores[[#This Row],[On-time delivery]],""))</f>
        <v>100</v>
      </c>
      <c r="M52"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97</v>
      </c>
      <c r="N52" s="39" t="str">
        <f>IF(NOT(ISNUMBER(tblScores[[#This Row],[Composite (pts)]])),"",IF(tblScores[[#This Row],[Composite (pts)]]&gt;=MinScore,"On target",IF(tblScores[[#This Row],[Composite (pts)]]&gt;=MinScore*(1-0.05),"Near target","Below target")))</f>
        <v>On target</v>
      </c>
      <c r="O52" s="40">
        <f>IF(tblScores[[#This Row],[Month]]="","",IF(AND(tblScores[[#This Row],[Month]]&gt;=FFrom,tblScores[[#This Row],[Month]]&lt;=FTo,OR(DashSupplier="",tblScores[[#This Row],[Supplier]]=DashSupplier)),tblScores[[#This Row],[Month]],""))</f>
        <v>46266</v>
      </c>
      <c r="P52"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52" s="28" t="s">
        <v>126</v>
      </c>
    </row>
    <row r="53" spans="2:17" x14ac:dyDescent="0.25">
      <c r="B53" s="35">
        <v>46266</v>
      </c>
      <c r="C53" s="28" t="s">
        <v>109</v>
      </c>
      <c r="D53" s="29">
        <v>5270</v>
      </c>
      <c r="E53" s="29">
        <v>1</v>
      </c>
      <c r="F53" s="29">
        <v>9</v>
      </c>
      <c r="G53" s="29">
        <v>9</v>
      </c>
      <c r="H53" s="29">
        <v>90</v>
      </c>
      <c r="I53" s="36">
        <f>IF(tblScores[[#This Row],[Month]]="","",IF(tblScores[[#This Row],[Units received]]&gt;0,tblScores[[#This Row],[Units rejected]]/tblScores[[#This Row],[Units received]]*1000000,""))</f>
        <v>189.753320683112</v>
      </c>
      <c r="J53" s="37">
        <f>IF(tblScores[[#This Row],[Month]]="","",IF(ISNUMBER(tblScores[[#This Row],[PPM]]),100*MAX(0,1-tblScores[[#This Row],[PPM]]/PpmZero),""))</f>
        <v>95.2561669829222</v>
      </c>
      <c r="K53" s="38">
        <f>IF(tblScores[[#This Row],[Month]]="","",IF(tblScores[[#This Row],[Deliveries due]]&gt;0,tblScores[[#This Row],[Deliveries on time]]/tblScores[[#This Row],[Deliveries due]],""))</f>
        <v>1</v>
      </c>
      <c r="L53" s="37">
        <f>IF(tblScores[[#This Row],[Month]]="","",IF(ISNUMBER(tblScores[[#This Row],[On-time delivery]]),100*tblScores[[#This Row],[On-time delivery]],""))</f>
        <v>100</v>
      </c>
      <c r="M53" s="37">
        <f>IF(tblScores[[#This Row],[Month]]="","",IF(AND(ISNUMBER(tblScores[[#This Row],[Quality (pts)]]),ISNUMBER(tblScores[[#This Row],[Delivery (pts)]]),ISNUMBER(tblScores[[#This Row],[Responsiveness (pts)]])),(WeightQ*tblScores[[#This Row],[Quality (pts)]]+WeightD*tblScores[[#This Row],[Delivery (pts)]]+WeightR*tblScores[[#This Row],[Responsiveness (pts)]])/(WeightQ+WeightD+WeightR),""))</f>
        <v>95.6280834914611</v>
      </c>
      <c r="N53" s="39" t="str">
        <f>IF(NOT(ISNUMBER(tblScores[[#This Row],[Composite (pts)]])),"",IF(tblScores[[#This Row],[Composite (pts)]]&gt;=MinScore,"On target",IF(tblScores[[#This Row],[Composite (pts)]]&gt;=MinScore*(1-0.05),"Near target","Below target")))</f>
        <v>On target</v>
      </c>
      <c r="O53" s="40">
        <f>IF(tblScores[[#This Row],[Month]]="","",IF(AND(tblScores[[#This Row],[Month]]&gt;=FFrom,tblScores[[#This Row],[Month]]&lt;=FTo,OR(DashSupplier="",tblScores[[#This Row],[Supplier]]=DashSupplier)),tblScores[[#This Row],[Month]],""))</f>
        <v>46266</v>
      </c>
      <c r="P53" s="41" t="str">
        <f>IF(tblScores[[#This Row],[Month]]="","",IF(tblScores[[#This Row],[Supplier]]="","Missing supplier",IF(tblScores[[#This Row],[Units received]]="","Missing units received",IF(tblScores[[#This Row],[Deliveries due]]="","Missing deliveries due",IF(COUNTIF(tblSuppliers[Supplier],tblScores[[#This Row],[Supplier]])=0,"Supplier not on Setup list",IF(tblScores[[#This Row],[Units rejected]]&gt;tblScores[[#This Row],[Units received]],"Rejected &gt; received",IF(tblScores[[#This Row],[Deliveries on time]]&gt;tblScores[[#This Row],[Deliveries due]],"On time &gt; due",IF(tblScores[[#This Row],[Units received]]=0,"No units received",IF(tblScores[[#This Row],[Deliveries due]]=0,"No deliveries due",IF(DAY(tblScores[[#This Row],[Month]])&lt;&gt;1,"Use the 1st of the month",IF(COUNTIFS(tblScores[Month],tblScores[[#This Row],[Month]],tblScores[Supplier],tblScores[[#This Row],[Supplier]])&gt;1,"Duplicate supplier month","OK")))))))))))</f>
        <v>OK</v>
      </c>
      <c r="Q53" s="28" t="s">
        <v>126</v>
      </c>
    </row>
  </sheetData>
  <mergeCells count="3">
    <mergeCell ref="A1:Q1"/>
    <mergeCell ref="B2:P2"/>
    <mergeCell ref="B4:Q4"/>
  </mergeCells>
  <conditionalFormatting sqref="I6:I553">
    <cfRule type="expression" dxfId="3" priority="1" stopIfTrue="1">
      <formula>AND(ISNUMBER(I6),I6&lt;=(TargetPPM))</formula>
    </cfRule>
    <cfRule type="expression" dxfId="4" priority="2" stopIfTrue="1">
      <formula>AND(ISNUMBER(I6),I6&lt;=(TargetPPM)*(1+0.05))</formula>
    </cfRule>
    <cfRule type="expression" dxfId="5" priority="3">
      <formula>ISNUMBER(I6)</formula>
    </cfRule>
  </conditionalFormatting>
  <conditionalFormatting sqref="K6:K553">
    <cfRule type="expression" dxfId="3" priority="4" stopIfTrue="1">
      <formula>AND(ISNUMBER(K6),K6&gt;=(TargetOTD))</formula>
    </cfRule>
    <cfRule type="expression" dxfId="4" priority="5" stopIfTrue="1">
      <formula>AND(ISNUMBER(K6),K6&gt;=(TargetOTD)*(1-0.05))</formula>
    </cfRule>
    <cfRule type="expression" dxfId="5" priority="6">
      <formula>ISNUMBER(K6)</formula>
    </cfRule>
  </conditionalFormatting>
  <conditionalFormatting sqref="M6:M553">
    <cfRule type="expression" dxfId="3" priority="7" stopIfTrue="1">
      <formula>AND(ISNUMBER(M6),M6&gt;=(MinScore))</formula>
    </cfRule>
    <cfRule type="expression" dxfId="4" priority="8" stopIfTrue="1">
      <formula>AND(ISNUMBER(M6),M6&gt;=(MinScore)*(1-0.05))</formula>
    </cfRule>
    <cfRule type="expression" dxfId="5" priority="9">
      <formula>ISNUMBER(M6)</formula>
    </cfRule>
    <cfRule type="dataBar" priority="10">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N6:N553">
    <cfRule type="cellIs" dxfId="0" priority="11" operator="equal">
      <formula>"On target"</formula>
    </cfRule>
    <cfRule type="cellIs" dxfId="0" priority="12" operator="equal">
      <formula>"PASS"</formula>
    </cfRule>
    <cfRule type="cellIs" dxfId="0" priority="13" operator="equal">
      <formula>"OK"</formula>
    </cfRule>
    <cfRule type="cellIs" dxfId="0" priority="14" operator="equal">
      <formula>"Within limits"</formula>
    </cfRule>
    <cfRule type="cellIs" dxfId="0" priority="15" operator="equal">
      <formula>"Under capacity"</formula>
    </cfRule>
    <cfRule type="cellIs" dxfId="0" priority="16" operator="equal">
      <formula>"Complete"</formula>
    </cfRule>
    <cfRule type="cellIs" dxfId="0" priority="17" operator="equal">
      <formula>"Yes"</formula>
    </cfRule>
    <cfRule type="cellIs" dxfId="1" priority="18" operator="equal">
      <formula>"Near target"</formula>
    </cfRule>
    <cfRule type="cellIs" dxfId="1" priority="19" operator="equal">
      <formula>"Check"</formula>
    </cfRule>
    <cfRule type="cellIs" dxfId="1" priority="20" operator="equal">
      <formula>"Due soon"</formula>
    </cfRule>
    <cfRule type="cellIs" dxfId="1" priority="21" operator="equal">
      <formula>"Near capacity"</formula>
    </cfRule>
    <cfRule type="cellIs" dxfId="1" priority="22" operator="equal">
      <formula>"In progress"</formula>
    </cfRule>
    <cfRule type="cellIs" dxfId="1" priority="23" operator="equal">
      <formula>"Partial"</formula>
    </cfRule>
    <cfRule type="cellIs" dxfId="2" priority="24" operator="equal">
      <formula>"Below target"</formula>
    </cfRule>
    <cfRule type="cellIs" dxfId="2" priority="25" operator="equal">
      <formula>"Above target"</formula>
    </cfRule>
    <cfRule type="cellIs" dxfId="2" priority="26" operator="equal">
      <formula>"FAIL"</formula>
    </cfRule>
    <cfRule type="cellIs" dxfId="2" priority="27" operator="equal">
      <formula>"Over capacity"</formula>
    </cfRule>
    <cfRule type="cellIs" dxfId="2" priority="28" operator="equal">
      <formula>"Overdue"</formula>
    </cfRule>
    <cfRule type="cellIs" dxfId="2" priority="29" operator="equal">
      <formula>"Out of limits"</formula>
    </cfRule>
    <cfRule type="cellIs" dxfId="2" priority="30" operator="equal">
      <formula>"No"</formula>
    </cfRule>
  </conditionalFormatting>
  <conditionalFormatting sqref="P6:P553">
    <cfRule type="expression" dxfId="3" priority="31">
      <formula>$P6="OK"</formula>
    </cfRule>
    <cfRule type="expression" dxfId="1" priority="32">
      <formula>AND($P6&lt;&gt;"",$P6&lt;&gt;"OK")</formula>
    </cfRule>
  </conditionalFormatting>
  <dataValidations count="8">
    <dataValidation type="date" allowBlank="1" showInputMessage="1" showErrorMessage="1" errorTitle="Check this entry" error="Enter a date between 01 Jan 2000 and 31 Dec 2100." promptTitle="Month" prompt="First day of the month the row covers, e.g. 1 Jun 2026. Enter a date between 01 Jan 2000 and 31 Dec 2100." sqref="B6:B553">
      <formula1>36526</formula1>
      <formula2>73415</formula2>
    </dataValidation>
    <dataValidation type="list" allowBlank="1" showInputMessage="1" showErrorMessage="1" errorTitle="Check this entry" error="Pick from the list (edit the list on Setup: Suppliers)." promptTitle="Supplier" prompt="Pick from the list (edit the list on Setup: Suppliers)." sqref="C6:C553">
      <formula1>Suppliers</formula1>
    </dataValidation>
    <dataValidation type="whole" allowBlank="1" showInputMessage="1" showErrorMessage="1" errorTitle="Check this entry" error="Enter a whole number of at least 0." promptTitle="Units received" prompt="Units received from this supplier in the month (all lots). Enter a whole number of at least 0." sqref="D6:D553">
      <formula1>0</formula1>
      <formula2>1000000000</formula2>
    </dataValidation>
    <dataValidation type="whole" allowBlank="1" showInputMessage="1" showErrorMessage="1" errorTitle="Check this entry" error="Enter a whole number of at least 0." promptTitle="Units rejected" prompt="Units rejected at receiving or in production and charged to the supplier. Enter a whole number of at least 0." sqref="E6:E553">
      <formula1>0</formula1>
      <formula2>1000000000</formula2>
    </dataValidation>
    <dataValidation type="whole" allowBlank="1" showInputMessage="1" showErrorMessage="1" errorTitle="Check this entry" error="Enter a whole number from 0 to 100,000." promptTitle="Deliveries due" prompt="Deliveries (order lines or shipments) due in the month. Enter a whole number from 0 to 100,000." sqref="F6:F553">
      <formula1>0</formula1>
      <formula2>100000</formula2>
    </dataValidation>
    <dataValidation type="whole" allowBlank="1" showInputMessage="1" showErrorMessage="1" errorTitle="Check this entry" error="Enter a whole number from 0 to 100,000." promptTitle="Deliveries on time" prompt="Deliveries that arrived within your on-time window, complete. Enter a whole number from 0 to 100,000." sqref="G6:G553">
      <formula1>0</formula1>
      <formula2>100000</formula2>
    </dataValidation>
    <dataValidation type="decimal" allowBlank="1" showInputMessage="1" showErrorMessage="1" errorTitle="Check this entry" error="Enter a number from 0 to 100." promptTitle="Responsiveness (pts)" prompt="Your 0-100 rating for the month: quotes, corrective actions, communication. Define your own rubric and use it every month. Enter a number from 0 to 100." sqref="H6:H553">
      <formula1>0</formula1>
      <formula2>100</formula2>
    </dataValidation>
    <dataValidation type="textLength" allowBlank="1" showInputMessage="1" showErrorMessage="1" errorTitle="Check this entry" error="Text up to 255 characters." promptTitle="Notes" prompt="Text up to 255 characters." sqref="Q6:Q553">
      <formula1>0</formula1>
      <formula2>255</formula2>
    </dataValidation>
  </dataValidations>
  <hyperlinks>
    <hyperlink ref="Q2" r:id="rId1" tooltip="Free manufacturing calculators and templates"/>
  </hyperlinks>
  <pageMargins left="0.4" right="0.4" top="0.7" bottom="0.65" header="0.3" footer="0.3"/>
  <pageSetup fitToHeight="0" orientation="landscape"/>
  <headerFooter>
    <oddHeader>&amp;L&amp;8MFG Calcs - Supplier Scorecard&amp;R&amp;8&amp;A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M6:M553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P65"/>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6" ht="30" customHeight="1" x14ac:dyDescent="0.25">
      <c r="A1" s="1" t="s">
        <v>0</v>
      </c>
      <c r="B1" s="1"/>
      <c r="C1" s="1"/>
      <c r="D1" s="1"/>
      <c r="E1" s="1"/>
      <c r="F1" s="1"/>
      <c r="G1" s="1"/>
      <c r="H1" s="1"/>
      <c r="I1" s="1"/>
      <c r="J1" s="1"/>
      <c r="K1" s="1"/>
      <c r="L1" s="1"/>
      <c r="M1" s="1"/>
      <c r="N1" s="1"/>
      <c r="O1" s="1"/>
      <c r="P1" s="1"/>
    </row>
    <row r="2" spans="1:16" ht="21" customHeight="1" x14ac:dyDescent="0.25">
      <c r="B2" s="2" t="s">
        <v>22</v>
      </c>
      <c r="C2" s="2"/>
      <c r="D2" s="2"/>
      <c r="E2" s="2"/>
      <c r="F2" s="2"/>
      <c r="G2" s="2"/>
      <c r="H2" s="2"/>
      <c r="I2" s="2"/>
      <c r="J2" s="2"/>
      <c r="K2" s="2"/>
      <c r="L2" s="2"/>
      <c r="M2" s="2"/>
      <c r="N2" s="2"/>
      <c r="O2" s="3" t="s">
        <v>2</v>
      </c>
      <c r="P2" s="3"/>
    </row>
    <row r="3" spans="1:16" ht="6" customHeight="1" x14ac:dyDescent="0.25"/>
    <row r="4" spans="1:16" x14ac:dyDescent="0.25">
      <c r="B4" s="27" t="s">
        <v>60</v>
      </c>
      <c r="C4" s="28"/>
      <c r="D4" s="28"/>
      <c r="F4" s="27" t="s">
        <v>130</v>
      </c>
      <c r="G4" s="42"/>
      <c r="H4" s="42"/>
      <c r="J4" s="27" t="s">
        <v>131</v>
      </c>
      <c r="K4" s="42"/>
      <c r="L4" s="42"/>
    </row>
    <row r="5" spans="1:16" x14ac:dyDescent="0.25">
      <c r="B5" s="43" t="str">
        <f>"Showing "&amp;COUNTIFS(tblScores[View date],"&gt;0")&amp;" supplier-months. Leave the filters blank to include everything; months are inclusive."</f>
        <v>Showing 48 supplier-months. Leave the filters blank to include everything; months are inclusive.</v>
      </c>
      <c r="C5" s="43"/>
      <c r="D5" s="43"/>
      <c r="E5" s="43"/>
      <c r="F5" s="43"/>
      <c r="G5" s="43"/>
      <c r="H5" s="43"/>
      <c r="I5" s="43"/>
      <c r="J5" s="43"/>
      <c r="K5" s="43"/>
      <c r="L5" s="43"/>
    </row>
    <row r="7" spans="1:16" ht="18" customHeight="1" x14ac:dyDescent="0.25">
      <c r="B7" s="44" t="s">
        <v>132</v>
      </c>
      <c r="C7" s="44"/>
      <c r="D7" s="44" t="s">
        <v>133</v>
      </c>
      <c r="E7" s="44"/>
      <c r="F7" s="44"/>
      <c r="G7" s="44" t="s">
        <v>134</v>
      </c>
      <c r="H7" s="44"/>
      <c r="I7" s="44"/>
      <c r="J7" s="44" t="s">
        <v>135</v>
      </c>
      <c r="K7" s="44"/>
      <c r="L7" s="44"/>
    </row>
    <row r="8" spans="1:16" ht="21" customHeight="1" x14ac:dyDescent="0.25">
      <c r="B8" s="45">
        <f>IF(COUNT($I$32:$I$39)=0,"",COUNTIF($L$32:$L$39,"Below target"))</f>
        <v>1</v>
      </c>
      <c r="C8" s="45"/>
      <c r="D8" s="46" t="str">
        <f>IF(COUNT($I$32:$I$39)=0,"",INDEX($B$32:$B$39,MATCH(MIN($I$32:$I$39),$I$32:$I$39,0)))</f>
        <v>Deccan Forgings</v>
      </c>
      <c r="E8" s="46"/>
      <c r="F8" s="46"/>
      <c r="G8" s="45">
        <f>IF((SUMIFS(tblScores[Units received],tblScores[View date],"&gt;0"))=0,"",(SUMIFS(tblScores[Units rejected],tblScores[View date],"&gt;0")*1000000)/(SUMIFS(tblScores[Units received],tblScores[View date],"&gt;0")))</f>
        <v>158.772954674815</v>
      </c>
      <c r="H8" s="45"/>
      <c r="I8" s="45"/>
      <c r="J8" s="47">
        <f>IF((SUMIFS(tblScores[Deliveries due],tblScores[View date],"&gt;0"))=0,"",(SUMIFS(tblScores[Deliveries on time],tblScores[View date],"&gt;0"))/(SUMIFS(tblScores[Deliveries due],tblScores[View date],"&gt;0")))</f>
        <v>0.905707196029777</v>
      </c>
      <c r="K8" s="47"/>
      <c r="L8" s="47"/>
    </row>
    <row r="9" spans="1:16" ht="21" customHeight="1" x14ac:dyDescent="0.25">
      <c r="B9" s="45"/>
      <c r="C9" s="45"/>
      <c r="D9" s="46"/>
      <c r="E9" s="46"/>
      <c r="F9" s="46"/>
      <c r="G9" s="45"/>
      <c r="H9" s="45"/>
      <c r="I9" s="45"/>
      <c r="J9" s="47"/>
      <c r="K9" s="47"/>
      <c r="L9" s="47"/>
    </row>
    <row r="10" spans="1:16" x14ac:dyDescent="0.25">
      <c r="B10" s="48" t="s">
        <v>136</v>
      </c>
      <c r="C10" s="48"/>
      <c r="D10" s="48" t="s">
        <v>137</v>
      </c>
      <c r="E10" s="48"/>
      <c r="F10" s="48"/>
      <c r="G10" s="49">
        <f>TargetPPM</f>
        <v>500</v>
      </c>
      <c r="H10" s="49"/>
      <c r="I10" s="49"/>
      <c r="J10" s="50">
        <f>TargetOTD</f>
        <v>0.95</v>
      </c>
      <c r="K10" s="50"/>
      <c r="L10" s="50"/>
    </row>
    <row r="11" spans="1:16" ht="18" customHeight="1" x14ac:dyDescent="0.25">
      <c r="B11" s="51"/>
      <c r="C11" s="51"/>
      <c r="D11" s="51"/>
      <c r="E11" s="51"/>
      <c r="F11" s="51"/>
      <c r="G11" s="51" t="str">
        <f>IF(NOT(ISNUMBER(KpiPPM)),"No data",IF(KpiPPM&lt;=(TargetPPM),"On target",IF(KpiPPM&lt;=(TargetPPM)*(1+0.05),"Near target","Above target")))</f>
        <v>On target</v>
      </c>
      <c r="H11" s="51"/>
      <c r="I11" s="51"/>
      <c r="J11" s="51" t="str">
        <f>IF(NOT(ISNUMBER(KpiOTD)),"No data",IF(KpiOTD&gt;=(TargetOTD),"On target",IF(KpiOTD&gt;=(TargetOTD)*(1-0.05),"Near target","Below target")))</f>
        <v>Near target</v>
      </c>
      <c r="K11" s="51"/>
      <c r="L11" s="51"/>
    </row>
    <row r="30" spans="2:16" x14ac:dyDescent="0.25">
      <c r="B30" s="32" t="s">
        <v>138</v>
      </c>
      <c r="C30" s="32"/>
      <c r="D30" s="32"/>
      <c r="E30" s="32"/>
      <c r="F30" s="32"/>
      <c r="G30" s="32"/>
      <c r="H30" s="32"/>
      <c r="I30" s="32"/>
      <c r="J30" s="32"/>
      <c r="K30" s="32"/>
      <c r="L30" s="32"/>
      <c r="M30" s="32"/>
      <c r="N30" s="32"/>
      <c r="O30" s="32"/>
      <c r="P30" s="32"/>
    </row>
    <row r="31" spans="2:16" ht="32" customHeight="1" x14ac:dyDescent="0.25">
      <c r="B31" s="52" t="s">
        <v>60</v>
      </c>
      <c r="C31" s="33" t="s">
        <v>139</v>
      </c>
      <c r="D31" s="33" t="s">
        <v>74</v>
      </c>
      <c r="E31" s="33" t="s">
        <v>118</v>
      </c>
      <c r="F31" s="33" t="s">
        <v>119</v>
      </c>
      <c r="G31" s="33" t="s">
        <v>120</v>
      </c>
      <c r="H31" s="33" t="s">
        <v>140</v>
      </c>
      <c r="I31" s="33" t="s">
        <v>121</v>
      </c>
      <c r="J31" s="33" t="s">
        <v>141</v>
      </c>
      <c r="K31" s="33" t="s">
        <v>142</v>
      </c>
      <c r="L31" s="33" t="s">
        <v>122</v>
      </c>
      <c r="M31" s="33" t="s">
        <v>143</v>
      </c>
      <c r="N31" s="33" t="s">
        <v>144</v>
      </c>
      <c r="O31" s="33" t="s">
        <v>145</v>
      </c>
      <c r="P31" s="33" t="s">
        <v>146</v>
      </c>
    </row>
    <row r="32" spans="2:16" x14ac:dyDescent="0.25">
      <c r="B32" s="53" t="str">
        <f>IFERROR(INDEX(tblSuppliers[Supplier],1)&amp;"","")</f>
        <v>Anders Castings</v>
      </c>
      <c r="C32" s="36">
        <f>IF($B$32="","",SUMIFS(tblScores[Units received],tblScores[Supplier],$B$32,tblScores[View date],"&gt;0"))</f>
        <v>14490</v>
      </c>
      <c r="D32" s="36">
        <f>IF($B$32="","",IF((SUMIFS(tblScores[Units received],tblScores[Supplier],$B$32,tblScores[View date],"&gt;0"))=0,"",(SUMIFS(tblScores[Units rejected],tblScores[Supplier],$B$32,tblScores[View date],"&gt;0")*1000000)/(SUMIFS(tblScores[Units received],tblScores[Supplier],$B$32,tblScores[View date],"&gt;0"))))</f>
        <v>483.091787439614</v>
      </c>
      <c r="E32" s="37">
        <f>IF($B$32="","",IF($D$32="","",100*MAX(0,1-$D$32/PpmZero)))</f>
        <v>87.9227053140097</v>
      </c>
      <c r="F32" s="38">
        <f>IF($B$32="","",IF((SUMIFS(tblScores[Deliveries due],tblScores[Supplier],$B$32,tblScores[View date],"&gt;0"))=0,"",(SUMIFS(tblScores[Deliveries on time],tblScores[Supplier],$B$32,tblScores[View date],"&gt;0"))/(SUMIFS(tblScores[Deliveries due],tblScores[Supplier],$B$32,tblScores[View date],"&gt;0"))))</f>
        <v>0.911764705882353</v>
      </c>
      <c r="G32" s="37">
        <f>IF($B$32="","",IF($F$32="","",100*$F$32))</f>
        <v>91.1764705882353</v>
      </c>
      <c r="H32" s="37">
        <f>IF($B$32="","",IFERROR(AVERAGEIFS(tblScores[Responsiveness (pts)],tblScores[Supplier],$B$32,tblScores[View date],"&gt;0"),""))</f>
        <v>85</v>
      </c>
      <c r="I32" s="37">
        <f>IF($B$32="","",IF(AND(ISNUMBER($E$32),ISNUMBER($G$32),ISNUMBER($H$32)),(WeightQ*$E$32+WeightD*$G$32+WeightR*$H$32)/(WeightQ+WeightD+WeightR),""))</f>
        <v>88.3142938334754</v>
      </c>
      <c r="J32" s="54">
        <f>IF($B$32="","",IF(ISNUMBER($I$32),$I$32-MinScore,""))</f>
        <v>3.31429383347542</v>
      </c>
      <c r="K32" s="36">
        <f>IF($B$32="","",IF(ISNUMBER($I$32),COUNTIF($I$32:$I$39,"&gt;"&amp;$I$32)+1,""))</f>
        <v>6</v>
      </c>
      <c r="L32" s="39" t="str">
        <f>IF($B$32="","",IF(NOT(ISNUMBER($I$32)),"",IF($I$32&gt;=MinScore,"On target",IF($I$32&gt;=MinScore*0.95,"Near target","Below target"))))</f>
        <v>On target</v>
      </c>
      <c r="M32" s="37">
        <f>IF($B$32="","",IF(ISNUMBER($I$32),WeightQ*$E$32/(WeightQ+WeightD+WeightR),""))</f>
        <v>43.9613526570048</v>
      </c>
      <c r="N32" s="37">
        <f>IF($B$32="","",IF(ISNUMBER($I$32),WeightD*$G$32/(WeightQ+WeightD+WeightR),""))</f>
        <v>27.3529411764706</v>
      </c>
      <c r="O32" s="37">
        <f>IF($B$32="","",IF(ISNUMBER($I$32),WeightR*$H$32/(WeightQ+WeightD+WeightR),""))</f>
        <v>17</v>
      </c>
      <c r="P32" s="55">
        <f>MinScore</f>
        <v>85</v>
      </c>
    </row>
    <row r="33" spans="2:16" x14ac:dyDescent="0.25">
      <c r="B33" s="53" t="str">
        <f>IFERROR(INDEX(tblSuppliers[Supplier],2)&amp;"","")</f>
        <v>Brightline Plastics</v>
      </c>
      <c r="C33" s="36">
        <f>IF($B$33="","",SUMIFS(tblScores[Units received],tblScores[Supplier],$B$33,tblScores[View date],"&gt;0"))</f>
        <v>110480</v>
      </c>
      <c r="D33" s="36">
        <f>IF($B$33="","",IF((SUMIFS(tblScores[Units received],tblScores[Supplier],$B$33,tblScores[View date],"&gt;0"))=0,"",(SUMIFS(tblScores[Units rejected],tblScores[Supplier],$B$33,tblScores[View date],"&gt;0")*1000000)/(SUMIFS(tblScores[Units received],tblScores[Supplier],$B$33,tblScores[View date],"&gt;0"))))</f>
        <v>244.388124547429</v>
      </c>
      <c r="E33" s="37">
        <f>IF($B$33="","",IF($D$33="","",100*MAX(0,1-$D$33/PpmZero)))</f>
        <v>93.8902968863143</v>
      </c>
      <c r="F33" s="38">
        <f>IF($B$33="","",IF((SUMIFS(tblScores[Deliveries due],tblScores[Supplier],$B$33,tblScores[View date],"&gt;0"))=0,"",(SUMIFS(tblScores[Deliveries on time],tblScores[Supplier],$B$33,tblScores[View date],"&gt;0"))/(SUMIFS(tblScores[Deliveries due],tblScores[Supplier],$B$33,tblScores[View date],"&gt;0"))))</f>
        <v>0.895522388059702</v>
      </c>
      <c r="G33" s="37">
        <f>IF($B$33="","",IF($F$33="","",100*$F$33))</f>
        <v>89.5522388059702</v>
      </c>
      <c r="H33" s="37">
        <f>IF($B$33="","",IFERROR(AVERAGEIFS(tblScores[Responsiveness (pts)],tblScores[Supplier],$B$33,tblScores[View date],"&gt;0"),""))</f>
        <v>83.3333333333333</v>
      </c>
      <c r="I33" s="37">
        <f>IF($B$33="","",IF(AND(ISNUMBER($E$33),ISNUMBER($G$33),ISNUMBER($H$33)),(WeightQ*$E$33+WeightD*$G$33+WeightR*$H$33)/(WeightQ+WeightD+WeightR),""))</f>
        <v>90.4774867516148</v>
      </c>
      <c r="J33" s="54">
        <f>IF($B$33="","",IF(ISNUMBER($I$33),$I$33-MinScore,""))</f>
        <v>5.47748675161483</v>
      </c>
      <c r="K33" s="36">
        <f>IF($B$33="","",IF(ISNUMBER($I$33),COUNTIF($I$32:$I$39,"&gt;"&amp;$I$33)+1,""))</f>
        <v>4</v>
      </c>
      <c r="L33" s="39" t="str">
        <f>IF($B$33="","",IF(NOT(ISNUMBER($I$33)),"",IF($I$33&gt;=MinScore,"On target",IF($I$33&gt;=MinScore*0.95,"Near target","Below target"))))</f>
        <v>On target</v>
      </c>
      <c r="M33" s="37">
        <f>IF($B$33="","",IF(ISNUMBER($I$33),WeightQ*$E$33/(WeightQ+WeightD+WeightR),""))</f>
        <v>46.9451484431571</v>
      </c>
      <c r="N33" s="37">
        <f>IF($B$33="","",IF(ISNUMBER($I$33),WeightD*$G$33/(WeightQ+WeightD+WeightR),""))</f>
        <v>26.865671641791</v>
      </c>
      <c r="O33" s="37">
        <f>IF($B$33="","",IF(ISNUMBER($I$33),WeightR*$H$33/(WeightQ+WeightD+WeightR),""))</f>
        <v>16.6666666666667</v>
      </c>
      <c r="P33" s="55">
        <f>MinScore</f>
        <v>85</v>
      </c>
    </row>
    <row r="34" spans="2:16" x14ac:dyDescent="0.25">
      <c r="B34" s="53" t="str">
        <f>IFERROR(INDEX(tblSuppliers[Supplier],3)&amp;"","")</f>
        <v>Corvo Fasteners</v>
      </c>
      <c r="C34" s="36">
        <f>IF($B$34="","",SUMIFS(tblScores[Units received],tblScores[Supplier],$B$34,tblScores[View date],"&gt;0"))</f>
        <v>406560</v>
      </c>
      <c r="D34" s="36">
        <f>IF($B$34="","",IF((SUMIFS(tblScores[Units received],tblScores[Supplier],$B$34,tblScores[View date],"&gt;0"))=0,"",(SUMIFS(tblScores[Units rejected],tblScores[Supplier],$B$34,tblScores[View date],"&gt;0")*1000000)/(SUMIFS(tblScores[Units received],tblScores[Supplier],$B$34,tblScores[View date],"&gt;0"))))</f>
        <v>46.7335694608422</v>
      </c>
      <c r="E34" s="37">
        <f>IF($B$34="","",IF($D$34="","",100*MAX(0,1-$D$34/PpmZero)))</f>
        <v>98.831660763479</v>
      </c>
      <c r="F34" s="38">
        <f>IF($B$34="","",IF((SUMIFS(tblScores[Deliveries due],tblScores[Supplier],$B$34,tblScores[View date],"&gt;0"))=0,"",(SUMIFS(tblScores[Deliveries on time],tblScores[Supplier],$B$34,tblScores[View date],"&gt;0"))/(SUMIFS(tblScores[Deliveries due],tblScores[Supplier],$B$34,tblScores[View date],"&gt;0"))))</f>
        <v>0.956521739130435</v>
      </c>
      <c r="G34" s="37">
        <f>IF($B$34="","",IF($F$34="","",100*$F$34))</f>
        <v>95.6521739130435</v>
      </c>
      <c r="H34" s="37">
        <f>IF($B$34="","",IFERROR(AVERAGEIFS(tblScores[Responsiveness (pts)],tblScores[Supplier],$B$34,tblScores[View date],"&gt;0"),""))</f>
        <v>92.5</v>
      </c>
      <c r="I34" s="37">
        <f>IF($B$34="","",IF(AND(ISNUMBER($E$34),ISNUMBER($G$34),ISNUMBER($H$34)),(WeightQ*$E$34+WeightD*$G$34+WeightR*$H$34)/(WeightQ+WeightD+WeightR),""))</f>
        <v>96.6114825556525</v>
      </c>
      <c r="J34" s="54">
        <f>IF($B$34="","",IF(ISNUMBER($I$34),$I$34-MinScore,""))</f>
        <v>11.6114825556525</v>
      </c>
      <c r="K34" s="36">
        <f>IF($B$34="","",IF(ISNUMBER($I$34),COUNTIF($I$32:$I$39,"&gt;"&amp;$I$34)+1,""))</f>
        <v>1</v>
      </c>
      <c r="L34" s="39" t="str">
        <f>IF($B$34="","",IF(NOT(ISNUMBER($I$34)),"",IF($I$34&gt;=MinScore,"On target",IF($I$34&gt;=MinScore*0.95,"Near target","Below target"))))</f>
        <v>On target</v>
      </c>
      <c r="M34" s="37">
        <f>IF($B$34="","",IF(ISNUMBER($I$34),WeightQ*$E$34/(WeightQ+WeightD+WeightR),""))</f>
        <v>49.4158303817395</v>
      </c>
      <c r="N34" s="37">
        <f>IF($B$34="","",IF(ISNUMBER($I$34),WeightD*$G$34/(WeightQ+WeightD+WeightR),""))</f>
        <v>28.695652173913</v>
      </c>
      <c r="O34" s="37">
        <f>IF($B$34="","",IF(ISNUMBER($I$34),WeightR*$H$34/(WeightQ+WeightD+WeightR),""))</f>
        <v>18.5</v>
      </c>
      <c r="P34" s="55">
        <f>MinScore</f>
        <v>85</v>
      </c>
    </row>
    <row r="35" spans="2:16" x14ac:dyDescent="0.25">
      <c r="B35" s="53" t="str">
        <f>IFERROR(INDEX(tblSuppliers[Supplier],4)&amp;"","")</f>
        <v>Deccan Forgings</v>
      </c>
      <c r="C35" s="36">
        <f>IF($B$35="","",SUMIFS(tblScores[Units received],tblScores[Supplier],$B$35,tblScores[View date],"&gt;0"))</f>
        <v>19840</v>
      </c>
      <c r="D35" s="36">
        <f>IF($B$35="","",IF((SUMIFS(tblScores[Units received],tblScores[Supplier],$B$35,tblScores[View date],"&gt;0"))=0,"",(SUMIFS(tblScores[Units rejected],tblScores[Supplier],$B$35,tblScores[View date],"&gt;0")*1000000)/(SUMIFS(tblScores[Units received],tblScores[Supplier],$B$35,tblScores[View date],"&gt;0"))))</f>
        <v>1612.90322580645</v>
      </c>
      <c r="E35" s="37">
        <f>IF($B$35="","",IF($D$35="","",100*MAX(0,1-$D$35/PpmZero)))</f>
        <v>59.6774193548387</v>
      </c>
      <c r="F35" s="38">
        <f>IF($B$35="","",IF((SUMIFS(tblScores[Deliveries due],tblScores[Supplier],$B$35,tblScores[View date],"&gt;0"))=0,"",(SUMIFS(tblScores[Deliveries on time],tblScores[Supplier],$B$35,tblScores[View date],"&gt;0"))/(SUMIFS(tblScores[Deliveries due],tblScores[Supplier],$B$35,tblScores[View date],"&gt;0"))))</f>
        <v>0.864864864864865</v>
      </c>
      <c r="G35" s="37">
        <f>IF($B$35="","",IF($F$35="","",100*$F$35))</f>
        <v>86.4864864864865</v>
      </c>
      <c r="H35" s="37">
        <f>IF($B$35="","",IFERROR(AVERAGEIFS(tblScores[Responsiveness (pts)],tblScores[Supplier],$B$35,tblScores[View date],"&gt;0"),""))</f>
        <v>70</v>
      </c>
      <c r="I35" s="37">
        <f>IF($B$35="","",IF(AND(ISNUMBER($E$35),ISNUMBER($G$35),ISNUMBER($H$35)),(WeightQ*$E$35+WeightD*$G$35+WeightR*$H$35)/(WeightQ+WeightD+WeightR),""))</f>
        <v>69.7846556233653</v>
      </c>
      <c r="J35" s="54">
        <f>IF($B$35="","",IF(ISNUMBER($I$35),$I$35-MinScore,""))</f>
        <v>-15.2153443766347</v>
      </c>
      <c r="K35" s="36">
        <f>IF($B$35="","",IF(ISNUMBER($I$35),COUNTIF($I$32:$I$39,"&gt;"&amp;$I$35)+1,""))</f>
        <v>8</v>
      </c>
      <c r="L35" s="39" t="str">
        <f>IF($B$35="","",IF(NOT(ISNUMBER($I$35)),"",IF($I$35&gt;=MinScore,"On target",IF($I$35&gt;=MinScore*0.95,"Near target","Below target"))))</f>
        <v>Below target</v>
      </c>
      <c r="M35" s="37">
        <f>IF($B$35="","",IF(ISNUMBER($I$35),WeightQ*$E$35/(WeightQ+WeightD+WeightR),""))</f>
        <v>29.8387096774194</v>
      </c>
      <c r="N35" s="37">
        <f>IF($B$35="","",IF(ISNUMBER($I$35),WeightD*$G$35/(WeightQ+WeightD+WeightR),""))</f>
        <v>25.9459459459459</v>
      </c>
      <c r="O35" s="37">
        <f>IF($B$35="","",IF(ISNUMBER($I$35),WeightR*$H$35/(WeightQ+WeightD+WeightR),""))</f>
        <v>14</v>
      </c>
      <c r="P35" s="55">
        <f>MinScore</f>
        <v>85</v>
      </c>
    </row>
    <row r="36" spans="2:16" x14ac:dyDescent="0.25">
      <c r="B36" s="53" t="str">
        <f>IFERROR(INDEX(tblSuppliers[Supplier],5)&amp;"","")</f>
        <v>Eastgate Electronics</v>
      </c>
      <c r="C36" s="36">
        <f>IF($B$36="","",SUMIFS(tblScores[Units received],tblScores[Supplier],$B$36,tblScores[View date],"&gt;0"))</f>
        <v>9410</v>
      </c>
      <c r="D36" s="36">
        <f>IF($B$36="","",IF((SUMIFS(tblScores[Units received],tblScores[Supplier],$B$36,tblScores[View date],"&gt;0"))=0,"",(SUMIFS(tblScores[Units rejected],tblScores[Supplier],$B$36,tblScores[View date],"&gt;0")*1000000)/(SUMIFS(tblScores[Units received],tblScores[Supplier],$B$36,tblScores[View date],"&gt;0"))))</f>
        <v>318.809776833156</v>
      </c>
      <c r="E36" s="37">
        <f>IF($B$36="","",IF($D$36="","",100*MAX(0,1-$D$36/PpmZero)))</f>
        <v>92.0297555791711</v>
      </c>
      <c r="F36" s="38">
        <f>IF($B$36="","",IF((SUMIFS(tblScores[Deliveries due],tblScores[Supplier],$B$36,tblScores[View date],"&gt;0"))=0,"",(SUMIFS(tblScores[Deliveries on time],tblScores[Supplier],$B$36,tblScores[View date],"&gt;0"))/(SUMIFS(tblScores[Deliveries due],tblScores[Supplier],$B$36,tblScores[View date],"&gt;0"))))</f>
        <v>0.725490196078431</v>
      </c>
      <c r="G36" s="37">
        <f>IF($B$36="","",IF($F$36="","",100*$F$36))</f>
        <v>72.5490196078431</v>
      </c>
      <c r="H36" s="37">
        <f>IF($B$36="","",IFERROR(AVERAGEIFS(tblScores[Responsiveness (pts)],tblScores[Supplier],$B$36,tblScores[View date],"&gt;0"),""))</f>
        <v>74.1666666666667</v>
      </c>
      <c r="I36" s="37">
        <f>IF($B$36="","",IF(AND(ISNUMBER($E$36),ISNUMBER($G$36),ISNUMBER($H$36)),(WeightQ*$E$36+WeightD*$G$36+WeightR*$H$36)/(WeightQ+WeightD+WeightR),""))</f>
        <v>82.6129170052718</v>
      </c>
      <c r="J36" s="54">
        <f>IF($B$36="","",IF(ISNUMBER($I$36),$I$36-MinScore,""))</f>
        <v>-2.38708299472818</v>
      </c>
      <c r="K36" s="36">
        <f>IF($B$36="","",IF(ISNUMBER($I$36),COUNTIF($I$32:$I$39,"&gt;"&amp;$I$36)+1,""))</f>
        <v>7</v>
      </c>
      <c r="L36" s="39" t="str">
        <f>IF($B$36="","",IF(NOT(ISNUMBER($I$36)),"",IF($I$36&gt;=MinScore,"On target",IF($I$36&gt;=MinScore*0.95,"Near target","Below target"))))</f>
        <v>Near target</v>
      </c>
      <c r="M36" s="37">
        <f>IF($B$36="","",IF(ISNUMBER($I$36),WeightQ*$E$36/(WeightQ+WeightD+WeightR),""))</f>
        <v>46.0148777895855</v>
      </c>
      <c r="N36" s="37">
        <f>IF($B$36="","",IF(ISNUMBER($I$36),WeightD*$G$36/(WeightQ+WeightD+WeightR),""))</f>
        <v>21.7647058823529</v>
      </c>
      <c r="O36" s="37">
        <f>IF($B$36="","",IF(ISNUMBER($I$36),WeightR*$H$36/(WeightQ+WeightD+WeightR),""))</f>
        <v>14.8333333333333</v>
      </c>
      <c r="P36" s="55">
        <f>MinScore</f>
        <v>85</v>
      </c>
    </row>
    <row r="37" spans="2:16" x14ac:dyDescent="0.25">
      <c r="B37" s="53" t="str">
        <f>IFERROR(INDEX(tblSuppliers[Supplier],6)&amp;"","")</f>
        <v>Fenwick Seals</v>
      </c>
      <c r="C37" s="36">
        <f>IF($B$37="","",SUMIFS(tblScores[Units received],tblScores[Supplier],$B$37,tblScores[View date],"&gt;0"))</f>
        <v>71140</v>
      </c>
      <c r="D37" s="36">
        <f>IF($B$37="","",IF((SUMIFS(tblScores[Units received],tblScores[Supplier],$B$37,tblScores[View date],"&gt;0"))=0,"",(SUMIFS(tblScores[Units rejected],tblScores[Supplier],$B$37,tblScores[View date],"&gt;0")*1000000)/(SUMIFS(tblScores[Units received],tblScores[Supplier],$B$37,tblScores[View date],"&gt;0"))))</f>
        <v>126.511104863649</v>
      </c>
      <c r="E37" s="37">
        <f>IF($B$37="","",IF($D$37="","",100*MAX(0,1-$D$37/PpmZero)))</f>
        <v>96.8372223784088</v>
      </c>
      <c r="F37" s="38">
        <f>IF($B$37="","",IF((SUMIFS(tblScores[Deliveries due],tblScores[Supplier],$B$37,tblScores[View date],"&gt;0"))=0,"",(SUMIFS(tblScores[Deliveries on time],tblScores[Supplier],$B$37,tblScores[View date],"&gt;0"))/(SUMIFS(tblScores[Deliveries due],tblScores[Supplier],$B$37,tblScores[View date],"&gt;0"))))</f>
        <v>0.966666666666667</v>
      </c>
      <c r="G37" s="37">
        <f>IF($B$37="","",IF($F$37="","",100*$F$37))</f>
        <v>96.6666666666667</v>
      </c>
      <c r="H37" s="37">
        <f>IF($B$37="","",IFERROR(AVERAGEIFS(tblScores[Responsiveness (pts)],tblScores[Supplier],$B$37,tblScores[View date],"&gt;0"),""))</f>
        <v>87.5</v>
      </c>
      <c r="I37" s="37">
        <f>IF($B$37="","",IF(AND(ISNUMBER($E$37),ISNUMBER($G$37),ISNUMBER($H$37)),(WeightQ*$E$37+WeightD*$G$37+WeightR*$H$37)/(WeightQ+WeightD+WeightR),""))</f>
        <v>94.9186111892044</v>
      </c>
      <c r="J37" s="54">
        <f>IF($B$37="","",IF(ISNUMBER($I$37),$I$37-MinScore,""))</f>
        <v>9.91861118920438</v>
      </c>
      <c r="K37" s="36">
        <f>IF($B$37="","",IF(ISNUMBER($I$37),COUNTIF($I$32:$I$39,"&gt;"&amp;$I$37)+1,""))</f>
        <v>2</v>
      </c>
      <c r="L37" s="39" t="str">
        <f>IF($B$37="","",IF(NOT(ISNUMBER($I$37)),"",IF($I$37&gt;=MinScore,"On target",IF($I$37&gt;=MinScore*0.95,"Near target","Below target"))))</f>
        <v>On target</v>
      </c>
      <c r="M37" s="37">
        <f>IF($B$37="","",IF(ISNUMBER($I$37),WeightQ*$E$37/(WeightQ+WeightD+WeightR),""))</f>
        <v>48.4186111892044</v>
      </c>
      <c r="N37" s="37">
        <f>IF($B$37="","",IF(ISNUMBER($I$37),WeightD*$G$37/(WeightQ+WeightD+WeightR),""))</f>
        <v>29</v>
      </c>
      <c r="O37" s="37">
        <f>IF($B$37="","",IF(ISNUMBER($I$37),WeightR*$H$37/(WeightQ+WeightD+WeightR),""))</f>
        <v>17.5</v>
      </c>
      <c r="P37" s="55">
        <f>MinScore</f>
        <v>85</v>
      </c>
    </row>
    <row r="38" spans="2:16" x14ac:dyDescent="0.25">
      <c r="B38" s="53" t="str">
        <f>IFERROR(INDEX(tblSuppliers[Supplier],7)&amp;"","")</f>
        <v>Galloway Steel</v>
      </c>
      <c r="C38" s="36">
        <f>IF($B$38="","",SUMIFS(tblScores[Units received],tblScores[Supplier],$B$38,tblScores[View date],"&gt;0"))</f>
        <v>5440</v>
      </c>
      <c r="D38" s="36">
        <f>IF($B$38="","",IF((SUMIFS(tblScores[Units received],tblScores[Supplier],$B$38,tblScores[View date],"&gt;0"))=0,"",(SUMIFS(tblScores[Units rejected],tblScores[Supplier],$B$38,tblScores[View date],"&gt;0")*1000000)/(SUMIFS(tblScores[Units received],tblScores[Supplier],$B$38,tblScores[View date],"&gt;0"))))</f>
        <v>0</v>
      </c>
      <c r="E38" s="37">
        <f>IF($B$38="","",IF($D$38="","",100*MAX(0,1-$D$38/PpmZero)))</f>
        <v>100</v>
      </c>
      <c r="F38" s="38">
        <f>IF($B$38="","",IF((SUMIFS(tblScores[Deliveries due],tblScores[Supplier],$B$38,tblScores[View date],"&gt;0"))=0,"",(SUMIFS(tblScores[Deliveries on time],tblScores[Supplier],$B$38,tblScores[View date],"&gt;0"))/(SUMIFS(tblScores[Deliveries due],tblScores[Supplier],$B$38,tblScores[View date],"&gt;0"))))</f>
        <v>0.918918918918919</v>
      </c>
      <c r="G38" s="37">
        <f>IF($B$38="","",IF($F$38="","",100*$F$38))</f>
        <v>91.8918918918919</v>
      </c>
      <c r="H38" s="37">
        <f>IF($B$38="","",IFERROR(AVERAGEIFS(tblScores[Responsiveness (pts)],tblScores[Supplier],$B$38,tblScores[View date],"&gt;0"),""))</f>
        <v>81.6666666666667</v>
      </c>
      <c r="I38" s="37">
        <f>IF($B$38="","",IF(AND(ISNUMBER($E$38),ISNUMBER($G$38),ISNUMBER($H$38)),(WeightQ*$E$38+WeightD*$G$38+WeightR*$H$38)/(WeightQ+WeightD+WeightR),""))</f>
        <v>93.9009009009009</v>
      </c>
      <c r="J38" s="54">
        <f>IF($B$38="","",IF(ISNUMBER($I$38),$I$38-MinScore,""))</f>
        <v>8.90090090090091</v>
      </c>
      <c r="K38" s="36">
        <f>IF($B$38="","",IF(ISNUMBER($I$38),COUNTIF($I$32:$I$39,"&gt;"&amp;$I$38)+1,""))</f>
        <v>3</v>
      </c>
      <c r="L38" s="39" t="str">
        <f>IF($B$38="","",IF(NOT(ISNUMBER($I$38)),"",IF($I$38&gt;=MinScore,"On target",IF($I$38&gt;=MinScore*0.95,"Near target","Below target"))))</f>
        <v>On target</v>
      </c>
      <c r="M38" s="37">
        <f>IF($B$38="","",IF(ISNUMBER($I$38),WeightQ*$E$38/(WeightQ+WeightD+WeightR),""))</f>
        <v>50</v>
      </c>
      <c r="N38" s="37">
        <f>IF($B$38="","",IF(ISNUMBER($I$38),WeightD*$G$38/(WeightQ+WeightD+WeightR),""))</f>
        <v>27.5675675675676</v>
      </c>
      <c r="O38" s="37">
        <f>IF($B$38="","",IF(ISNUMBER($I$38),WeightR*$H$38/(WeightQ+WeightD+WeightR),""))</f>
        <v>16.3333333333333</v>
      </c>
      <c r="P38" s="55">
        <f>MinScore</f>
        <v>85</v>
      </c>
    </row>
    <row r="39" spans="2:16" x14ac:dyDescent="0.25">
      <c r="B39" s="53" t="str">
        <f>IFERROR(INDEX(tblSuppliers[Supplier],8)&amp;"","")</f>
        <v>Huron Packaging</v>
      </c>
      <c r="C39" s="36">
        <f>IF($B$39="","",SUMIFS(tblScores[Units received],tblScores[Supplier],$B$39,tblScores[View date],"&gt;0"))</f>
        <v>30260</v>
      </c>
      <c r="D39" s="36">
        <f>IF($B$39="","",IF((SUMIFS(tblScores[Units received],tblScores[Supplier],$B$39,tblScores[View date],"&gt;0"))=0,"",(SUMIFS(tblScores[Units rejected],tblScores[Supplier],$B$39,tblScores[View date],"&gt;0")*1000000)/(SUMIFS(tblScores[Units received],tblScores[Supplier],$B$39,tblScores[View date],"&gt;0"))))</f>
        <v>297.422339722406</v>
      </c>
      <c r="E39" s="37">
        <f>IF($B$39="","",IF($D$39="","",100*MAX(0,1-$D$39/PpmZero)))</f>
        <v>92.5644415069399</v>
      </c>
      <c r="F39" s="38">
        <f>IF($B$39="","",IF((SUMIFS(tblScores[Deliveries due],tblScores[Supplier],$B$39,tblScores[View date],"&gt;0"))=0,"",(SUMIFS(tblScores[Deliveries on time],tblScores[Supplier],$B$39,tblScores[View date],"&gt;0"))/(SUMIFS(tblScores[Deliveries due],tblScores[Supplier],$B$39,tblScores[View date],"&gt;0"))))</f>
        <v>0.979166666666667</v>
      </c>
      <c r="G39" s="37">
        <f>IF($B$39="","",IF($F$39="","",100*$F$39))</f>
        <v>97.9166666666667</v>
      </c>
      <c r="H39" s="37">
        <f>IF($B$39="","",IFERROR(AVERAGEIFS(tblScores[Responsiveness (pts)],tblScores[Supplier],$B$39,tblScores[View date],"&gt;0"),""))</f>
        <v>72.5</v>
      </c>
      <c r="I39" s="37">
        <f>IF($B$39="","",IF(AND(ISNUMBER($E$39),ISNUMBER($G$39),ISNUMBER($H$39)),(WeightQ*$E$39+WeightD*$G$39+WeightR*$H$39)/(WeightQ+WeightD+WeightR),""))</f>
        <v>90.1572207534699</v>
      </c>
      <c r="J39" s="54">
        <f>IF($B$39="","",IF(ISNUMBER($I$39),$I$39-MinScore,""))</f>
        <v>5.15722075346992</v>
      </c>
      <c r="K39" s="36">
        <f>IF($B$39="","",IF(ISNUMBER($I$39),COUNTIF($I$32:$I$39,"&gt;"&amp;$I$39)+1,""))</f>
        <v>5</v>
      </c>
      <c r="L39" s="39" t="str">
        <f>IF($B$39="","",IF(NOT(ISNUMBER($I$39)),"",IF($I$39&gt;=MinScore,"On target",IF($I$39&gt;=MinScore*0.95,"Near target","Below target"))))</f>
        <v>On target</v>
      </c>
      <c r="M39" s="37">
        <f>IF($B$39="","",IF(ISNUMBER($I$39),WeightQ*$E$39/(WeightQ+WeightD+WeightR),""))</f>
        <v>46.2822207534699</v>
      </c>
      <c r="N39" s="37">
        <f>IF($B$39="","",IF(ISNUMBER($I$39),WeightD*$G$39/(WeightQ+WeightD+WeightR),""))</f>
        <v>29.375</v>
      </c>
      <c r="O39" s="37">
        <f>IF($B$39="","",IF(ISNUMBER($I$39),WeightR*$H$39/(WeightQ+WeightD+WeightR),""))</f>
        <v>14.5</v>
      </c>
      <c r="P39" s="55">
        <f>MinScore</f>
        <v>85</v>
      </c>
    </row>
    <row r="41" spans="2:16" x14ac:dyDescent="0.25">
      <c r="B41" s="32" t="s">
        <v>147</v>
      </c>
      <c r="C41" s="32"/>
      <c r="D41" s="32"/>
      <c r="E41" s="32"/>
      <c r="F41" s="32"/>
      <c r="G41" s="32"/>
      <c r="H41" s="32"/>
      <c r="I41" s="32"/>
      <c r="J41" s="32"/>
      <c r="K41" s="32"/>
    </row>
    <row r="42" spans="2:16" ht="32" customHeight="1" x14ac:dyDescent="0.25">
      <c r="B42" s="52" t="s">
        <v>112</v>
      </c>
      <c r="C42" s="33" t="s">
        <v>139</v>
      </c>
      <c r="D42" s="33" t="s">
        <v>148</v>
      </c>
      <c r="E42" s="33" t="s">
        <v>74</v>
      </c>
      <c r="F42" s="33" t="s">
        <v>118</v>
      </c>
      <c r="G42" s="33" t="s">
        <v>119</v>
      </c>
      <c r="H42" s="33" t="s">
        <v>120</v>
      </c>
      <c r="I42" s="33" t="s">
        <v>140</v>
      </c>
      <c r="J42" s="33" t="s">
        <v>121</v>
      </c>
      <c r="K42" s="33" t="s">
        <v>146</v>
      </c>
    </row>
    <row r="43" spans="2:16" x14ac:dyDescent="0.25">
      <c r="B43" s="56">
        <f>IF($B$44="","",IFERROR(LARGE(tblScores[View date],COUNTIF(tblScores[View date],"&gt;="&amp;$B$44)+1),""))</f>
        <v>46113</v>
      </c>
      <c r="C43" s="36">
        <f>IF($B$43="","",SUMIFS(tblScores[Units received],tblScores[View date],$B$43))</f>
        <v>106890</v>
      </c>
      <c r="D43" s="36">
        <f>IF($B$43="","",SUMIFS(tblScores[Units rejected],tblScores[View date],$B$43))</f>
        <v>14</v>
      </c>
      <c r="E43" s="36">
        <f>IF($B$43="","",IF((SUMIFS(tblScores[Units received],tblScores[View date],$B$43))=0,"",(SUMIFS(tblScores[Units rejected],tblScores[View date],$B$43)*1000000)/(SUMIFS(tblScores[Units received],tblScores[View date],$B$43))))</f>
        <v>130.975769482646</v>
      </c>
      <c r="F43" s="37">
        <f>IF($B$43="","",IF($E$43="","",100*MAX(0,1-$E$43/PpmZero)))</f>
        <v>96.7256057629339</v>
      </c>
      <c r="G43" s="38">
        <f>IF($B$43="","",IF((SUMIFS(tblScores[Deliveries due],tblScores[View date],$B$43))=0,"",(SUMIFS(tblScores[Deliveries on time],tblScores[View date],$B$43))/(SUMIFS(tblScores[Deliveries due],tblScores[View date],$B$43))))</f>
        <v>0.927536231884058</v>
      </c>
      <c r="H43" s="37">
        <f>IF($B$43="","",IF($G$43="","",100*$G$43))</f>
        <v>92.7536231884058</v>
      </c>
      <c r="I43" s="37">
        <f>IF($B$43="","",IFERROR(AVERAGEIFS(tblScores[Responsiveness (pts)],tblScores[View date],$B$43),""))</f>
        <v>78.75</v>
      </c>
      <c r="J43" s="37">
        <f>IF($B$43="","",IF(AND(ISNUMBER($F$43),ISNUMBER($H$43),ISNUMBER($I$43)),(WeightQ*$F$43+WeightD*$H$43+WeightR*$I$43)/(WeightQ+WeightD+WeightR),""))</f>
        <v>91.9388898379887</v>
      </c>
      <c r="K43" s="55">
        <f>MinScore</f>
        <v>85</v>
      </c>
    </row>
    <row r="44" spans="2:16" x14ac:dyDescent="0.25">
      <c r="B44" s="56">
        <f>IF($B$45="","",IFERROR(LARGE(tblScores[View date],COUNTIF(tblScores[View date],"&gt;="&amp;$B$45)+1),""))</f>
        <v>46143</v>
      </c>
      <c r="C44" s="36">
        <f>IF($B$44="","",SUMIFS(tblScores[Units received],tblScores[View date],$B$44))</f>
        <v>102170</v>
      </c>
      <c r="D44" s="36">
        <f>IF($B$44="","",SUMIFS(tblScores[Units rejected],tblScores[View date],$B$44))</f>
        <v>13</v>
      </c>
      <c r="E44" s="36">
        <f>IF($B$44="","",IF((SUMIFS(tblScores[Units received],tblScores[View date],$B$44))=0,"",(SUMIFS(tblScores[Units rejected],tblScores[View date],$B$44)*1000000)/(SUMIFS(tblScores[Units received],tblScores[View date],$B$44))))</f>
        <v>127.238915532935</v>
      </c>
      <c r="F44" s="37">
        <f>IF($B$44="","",IF($E$44="","",100*MAX(0,1-$E$44/PpmZero)))</f>
        <v>96.8190271116766</v>
      </c>
      <c r="G44" s="38">
        <f>IF($B$44="","",IF((SUMIFS(tblScores[Deliveries due],tblScores[View date],$B$44))=0,"",(SUMIFS(tblScores[Deliveries on time],tblScores[View date],$B$44))/(SUMIFS(tblScores[Deliveries due],tblScores[View date],$B$44))))</f>
        <v>0.925373134328358</v>
      </c>
      <c r="H44" s="37">
        <f>IF($B$44="","",IF($G$44="","",100*$G$44))</f>
        <v>92.5373134328358</v>
      </c>
      <c r="I44" s="37">
        <f>IF($B$44="","",IFERROR(AVERAGEIFS(tblScores[Responsiveness (pts)],tblScores[View date],$B$44),""))</f>
        <v>80</v>
      </c>
      <c r="J44" s="37">
        <f>IF($B$44="","",IF(AND(ISNUMBER($F$44),ISNUMBER($H$44),ISNUMBER($I$44)),(WeightQ*$F$44+WeightD*$H$44+WeightR*$I$44)/(WeightQ+WeightD+WeightR),""))</f>
        <v>92.1707075856891</v>
      </c>
      <c r="K44" s="55">
        <f>MinScore</f>
        <v>85</v>
      </c>
    </row>
    <row r="45" spans="2:16" x14ac:dyDescent="0.25">
      <c r="B45" s="56">
        <f>IF($B$46="","",IFERROR(LARGE(tblScores[View date],COUNTIF(tblScores[View date],"&gt;="&amp;$B$46)+1),""))</f>
        <v>46174</v>
      </c>
      <c r="C45" s="36">
        <f>IF($B$45="","",SUMIFS(tblScores[Units received],tblScores[View date],$B$45))</f>
        <v>117220</v>
      </c>
      <c r="D45" s="36">
        <f>IF($B$45="","",SUMIFS(tblScores[Units rejected],tblScores[View date],$B$45))</f>
        <v>28</v>
      </c>
      <c r="E45" s="36">
        <f>IF($B$45="","",IF((SUMIFS(tblScores[Units received],tblScores[View date],$B$45))=0,"",(SUMIFS(tblScores[Units rejected],tblScores[View date],$B$45)*1000000)/(SUMIFS(tblScores[Units received],tblScores[View date],$B$45))))</f>
        <v>238.867087527726</v>
      </c>
      <c r="F45" s="37">
        <f>IF($B$45="","",IF($E$45="","",100*MAX(0,1-$E$45/PpmZero)))</f>
        <v>94.0283228118069</v>
      </c>
      <c r="G45" s="38">
        <f>IF($B$45="","",IF((SUMIFS(tblScores[Deliveries due],tblScores[View date],$B$45))=0,"",(SUMIFS(tblScores[Deliveries on time],tblScores[View date],$B$45))/(SUMIFS(tblScores[Deliveries due],tblScores[View date],$B$45))))</f>
        <v>0.855072463768116</v>
      </c>
      <c r="H45" s="37">
        <f>IF($B$45="","",IF($G$45="","",100*$G$45))</f>
        <v>85.5072463768116</v>
      </c>
      <c r="I45" s="37">
        <f>IF($B$45="","",IFERROR(AVERAGEIFS(tblScores[Responsiveness (pts)],tblScores[View date],$B$45),""))</f>
        <v>78.75</v>
      </c>
      <c r="J45" s="37">
        <f>IF($B$45="","",IF(AND(ISNUMBER($F$45),ISNUMBER($H$45),ISNUMBER($I$45)),(WeightQ*$F$45+WeightD*$H$45+WeightR*$I$45)/(WeightQ+WeightD+WeightR),""))</f>
        <v>88.4163353189469</v>
      </c>
      <c r="K45" s="55">
        <f>MinScore</f>
        <v>85</v>
      </c>
    </row>
    <row r="46" spans="2:16" x14ac:dyDescent="0.25">
      <c r="B46" s="56">
        <f>IF($B$47="","",IFERROR(LARGE(tblScores[View date],COUNTIF(tblScores[View date],"&gt;="&amp;$B$47)+1),""))</f>
        <v>46204</v>
      </c>
      <c r="C46" s="36">
        <f>IF($B$46="","",SUMIFS(tblScores[Units received],tblScores[View date],$B$46))</f>
        <v>119260</v>
      </c>
      <c r="D46" s="36">
        <f>IF($B$46="","",SUMIFS(tblScores[Units rejected],tblScores[View date],$B$46))</f>
        <v>22</v>
      </c>
      <c r="E46" s="36">
        <f>IF($B$46="","",IF((SUMIFS(tblScores[Units received],tblScores[View date],$B$46))=0,"",(SUMIFS(tblScores[Units rejected],tblScores[View date],$B$46)*1000000)/(SUMIFS(tblScores[Units received],tblScores[View date],$B$46))))</f>
        <v>184.470903907429</v>
      </c>
      <c r="F46" s="37">
        <f>IF($B$46="","",IF($E$46="","",100*MAX(0,1-$E$46/PpmZero)))</f>
        <v>95.3882274023143</v>
      </c>
      <c r="G46" s="38">
        <f>IF($B$46="","",IF((SUMIFS(tblScores[Deliveries due],tblScores[View date],$B$46))=0,"",(SUMIFS(tblScores[Deliveries on time],tblScores[View date],$B$46))/(SUMIFS(tblScores[Deliveries due],tblScores[View date],$B$46))))</f>
        <v>0.911764705882353</v>
      </c>
      <c r="H46" s="37">
        <f>IF($B$46="","",IF($G$46="","",100*$G$46))</f>
        <v>91.1764705882353</v>
      </c>
      <c r="I46" s="37">
        <f>IF($B$46="","",IFERROR(AVERAGEIFS(tblScores[Responsiveness (pts)],tblScores[View date],$B$46),""))</f>
        <v>78.75</v>
      </c>
      <c r="J46" s="37">
        <f>IF($B$46="","",IF(AND(ISNUMBER($F$46),ISNUMBER($H$46),ISNUMBER($I$46)),(WeightQ*$F$46+WeightD*$H$46+WeightR*$I$46)/(WeightQ+WeightD+WeightR),""))</f>
        <v>90.7970548776277</v>
      </c>
      <c r="K46" s="55">
        <f>MinScore</f>
        <v>85</v>
      </c>
    </row>
    <row r="47" spans="2:16" x14ac:dyDescent="0.25">
      <c r="B47" s="56">
        <f>IF($B$48="","",IFERROR(LARGE(tblScores[View date],COUNTIF(tblScores[View date],"&gt;="&amp;$B$48)+1),""))</f>
        <v>46235</v>
      </c>
      <c r="C47" s="36">
        <f>IF($B$47="","",SUMIFS(tblScores[Units received],tblScores[View date],$B$47))</f>
        <v>103510</v>
      </c>
      <c r="D47" s="36">
        <f>IF($B$47="","",SUMIFS(tblScores[Units rejected],tblScores[View date],$B$47))</f>
        <v>16</v>
      </c>
      <c r="E47" s="36">
        <f>IF($B$47="","",IF((SUMIFS(tblScores[Units received],tblScores[View date],$B$47))=0,"",(SUMIFS(tblScores[Units rejected],tblScores[View date],$B$47)*1000000)/(SUMIFS(tblScores[Units received],tblScores[View date],$B$47))))</f>
        <v>154.574437252439</v>
      </c>
      <c r="F47" s="37">
        <f>IF($B$47="","",IF($E$47="","",100*MAX(0,1-$E$47/PpmZero)))</f>
        <v>96.135639068689</v>
      </c>
      <c r="G47" s="38">
        <f>IF($B$47="","",IF((SUMIFS(tblScores[Deliveries due],tblScores[View date],$B$47))=0,"",(SUMIFS(tblScores[Deliveries on time],tblScores[View date],$B$47))/(SUMIFS(tblScores[Deliveries due],tblScores[View date],$B$47))))</f>
        <v>0.895522388059702</v>
      </c>
      <c r="H47" s="37">
        <f>IF($B$47="","",IF($G$47="","",100*$G$47))</f>
        <v>89.5522388059702</v>
      </c>
      <c r="I47" s="37">
        <f>IF($B$47="","",IFERROR(AVERAGEIFS(tblScores[Responsiveness (pts)],tblScores[View date],$B$47),""))</f>
        <v>83.125</v>
      </c>
      <c r="J47" s="37">
        <f>IF($B$47="","",IF(AND(ISNUMBER($F$47),ISNUMBER($H$47),ISNUMBER($I$47)),(WeightQ*$F$47+WeightD*$H$47+WeightR*$I$47)/(WeightQ+WeightD+WeightR),""))</f>
        <v>91.5584911761356</v>
      </c>
      <c r="K47" s="55">
        <f>MinScore</f>
        <v>85</v>
      </c>
    </row>
    <row r="48" spans="2:16" x14ac:dyDescent="0.25">
      <c r="B48" s="56">
        <f>IF(COUNT(tblScores[View date])=0,"",MAX(tblScores[View date]))</f>
        <v>46266</v>
      </c>
      <c r="C48" s="36">
        <f>IF($B$48="","",SUMIFS(tblScores[Units received],tblScores[View date],$B$48))</f>
        <v>118570</v>
      </c>
      <c r="D48" s="36">
        <f>IF($B$48="","",SUMIFS(tblScores[Units rejected],tblScores[View date],$B$48))</f>
        <v>13</v>
      </c>
      <c r="E48" s="36">
        <f>IF($B$48="","",IF((SUMIFS(tblScores[Units received],tblScores[View date],$B$48))=0,"",(SUMIFS(tblScores[Units rejected],tblScores[View date],$B$48)*1000000)/(SUMIFS(tblScores[Units received],tblScores[View date],$B$48))))</f>
        <v>109.639875179219</v>
      </c>
      <c r="F48" s="37">
        <f>IF($B$48="","",IF($E$48="","",100*MAX(0,1-$E$48/PpmZero)))</f>
        <v>97.2590031205195</v>
      </c>
      <c r="G48" s="38">
        <f>IF($B$48="","",IF((SUMIFS(tblScores[Deliveries due],tblScores[View date],$B$48))=0,"",(SUMIFS(tblScores[Deliveries on time],tblScores[View date],$B$48))/(SUMIFS(tblScores[Deliveries due],tblScores[View date],$B$48))))</f>
        <v>0.920634920634921</v>
      </c>
      <c r="H48" s="37">
        <f>IF($B$48="","",IF($G$48="","",100*$G$48))</f>
        <v>92.0634920634921</v>
      </c>
      <c r="I48" s="37">
        <f>IF($B$48="","",IFERROR(AVERAGEIFS(tblScores[Responsiveness (pts)],tblScores[View date],$B$48),""))</f>
        <v>85.625</v>
      </c>
      <c r="J48" s="37">
        <f>IF($B$48="","",IF(AND(ISNUMBER($F$48),ISNUMBER($H$48),ISNUMBER($I$48)),(WeightQ*$F$48+WeightD*$H$48+WeightR*$I$48)/(WeightQ+WeightD+WeightR),""))</f>
        <v>93.3735491793074</v>
      </c>
      <c r="K48" s="55">
        <f>MinScore</f>
        <v>85</v>
      </c>
    </row>
    <row r="63" spans="2:12" ht="8" customHeight="1" x14ac:dyDescent="0.25"/>
    <row r="64" spans="2:12" x14ac:dyDescent="0.25">
      <c r="B64" s="21" t="s">
        <v>149</v>
      </c>
      <c r="C64" s="21"/>
      <c r="D64" s="21"/>
      <c r="E64" s="21"/>
      <c r="F64" s="21"/>
      <c r="G64" s="21"/>
      <c r="H64" s="21"/>
      <c r="I64" s="21"/>
      <c r="J64" s="21"/>
      <c r="K64" s="21"/>
      <c r="L64" s="21"/>
    </row>
    <row r="65" spans="2:12" x14ac:dyDescent="0.25">
      <c r="B65" s="57">
        <f>IF(COUNTA(tblSuppliers[Supplier])&gt;8,"Setup lists more suppliers than the Dashboard shows: some are not ranked.","")</f>
        <v/>
      </c>
      <c r="C65" s="57"/>
      <c r="D65" s="57"/>
      <c r="E65" s="57"/>
      <c r="F65" s="57"/>
      <c r="G65" s="57"/>
      <c r="H65" s="57"/>
      <c r="I65" s="57"/>
      <c r="J65" s="57"/>
      <c r="K65" s="57"/>
      <c r="L65" s="57"/>
    </row>
  </sheetData>
  <sheetProtection sheet="1" formatColumns="0" formatRows="0"/>
  <mergeCells count="27">
    <mergeCell ref="A1:P1"/>
    <mergeCell ref="B2:N2"/>
    <mergeCell ref="O2:P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P30"/>
    <mergeCell ref="B41:K41"/>
    <mergeCell ref="B64:L64"/>
    <mergeCell ref="B65:L65"/>
  </mergeCells>
  <conditionalFormatting sqref="G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I32:I39">
    <cfRule type="expression" dxfId="3" priority="41" stopIfTrue="1">
      <formula>AND(ISNUMBER(I32),I32&gt;=(MinScore))</formula>
    </cfRule>
    <cfRule type="expression" dxfId="4" priority="42" stopIfTrue="1">
      <formula>AND(ISNUMBER(I32),I32&gt;=(MinScore)*(1-0.05))</formula>
    </cfRule>
    <cfRule type="expression" dxfId="5" priority="43">
      <formula>ISNUMBER(I32)</formula>
    </cfRule>
    <cfRule type="dataBar" priority="44">
      <dataBar>
        <cfvo type="num" val="0"/>
        <cfvo type="max"/>
        <color rgb="FFA8BDF0"/>
      </dataBar>
      <extLst>
        <ext xmlns:x14="http://schemas.microsoft.com/office/spreadsheetml/2009/9/main" uri="{B025F937-C7B1-47D3-B67F-A62EFF666E3E}">
          <x14:id>{DA7ABA51-AAAA-BBBB-0004-000000000001}</x14:id>
        </ext>
      </extLst>
    </cfRule>
  </conditionalFormatting>
  <conditionalFormatting sqref="J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J43:J48">
    <cfRule type="expression" dxfId="3" priority="65" stopIfTrue="1">
      <formula>AND(ISNUMBER(J43),J43&gt;=(MinScore))</formula>
    </cfRule>
    <cfRule type="expression" dxfId="4" priority="66" stopIfTrue="1">
      <formula>AND(ISNUMBER(J43),J43&gt;=(MinScore)*(1-0.05))</formula>
    </cfRule>
    <cfRule type="expression" dxfId="5" priority="67">
      <formula>ISNUMBER(J43)</formula>
    </cfRule>
  </conditionalFormatting>
  <conditionalFormatting sqref="L32:L39">
    <cfRule type="cellIs" dxfId="0" priority="45" operator="equal">
      <formula>"On target"</formula>
    </cfRule>
    <cfRule type="cellIs" dxfId="0" priority="46" operator="equal">
      <formula>"PASS"</formula>
    </cfRule>
    <cfRule type="cellIs" dxfId="0" priority="47" operator="equal">
      <formula>"OK"</formula>
    </cfRule>
    <cfRule type="cellIs" dxfId="0" priority="48" operator="equal">
      <formula>"Within limits"</formula>
    </cfRule>
    <cfRule type="cellIs" dxfId="0" priority="49" operator="equal">
      <formula>"Under capacity"</formula>
    </cfRule>
    <cfRule type="cellIs" dxfId="0" priority="50" operator="equal">
      <formula>"Complete"</formula>
    </cfRule>
    <cfRule type="cellIs" dxfId="0" priority="51" operator="equal">
      <formula>"Yes"</formula>
    </cfRule>
    <cfRule type="cellIs" dxfId="1" priority="52" operator="equal">
      <formula>"Near target"</formula>
    </cfRule>
    <cfRule type="cellIs" dxfId="1" priority="53" operator="equal">
      <formula>"Check"</formula>
    </cfRule>
    <cfRule type="cellIs" dxfId="1" priority="54" operator="equal">
      <formula>"Due soon"</formula>
    </cfRule>
    <cfRule type="cellIs" dxfId="1" priority="55" operator="equal">
      <formula>"Near capacity"</formula>
    </cfRule>
    <cfRule type="cellIs" dxfId="1" priority="56" operator="equal">
      <formula>"In progress"</formula>
    </cfRule>
    <cfRule type="cellIs" dxfId="1" priority="57" operator="equal">
      <formula>"Partial"</formula>
    </cfRule>
    <cfRule type="cellIs" dxfId="2" priority="58" operator="equal">
      <formula>"Below target"</formula>
    </cfRule>
    <cfRule type="cellIs" dxfId="2" priority="59" operator="equal">
      <formula>"Above target"</formula>
    </cfRule>
    <cfRule type="cellIs" dxfId="2" priority="60" operator="equal">
      <formula>"FAIL"</formula>
    </cfRule>
    <cfRule type="cellIs" dxfId="2" priority="61" operator="equal">
      <formula>"Over capacity"</formula>
    </cfRule>
    <cfRule type="cellIs" dxfId="2" priority="62" operator="equal">
      <formula>"Overdue"</formula>
    </cfRule>
    <cfRule type="cellIs" dxfId="2" priority="63" operator="equal">
      <formula>"Out of limits"</formula>
    </cfRule>
    <cfRule type="cellIs" dxfId="2" priority="64" operator="equal">
      <formula>"No"</formula>
    </cfRule>
  </conditionalFormatting>
  <dataValidations count="3">
    <dataValidation type="list" allowBlank="1" showInputMessage="1" showErrorMessage="1" errorTitle="Check this entry" error="Pick from the list (edit the list on Setup: Suppliers)." promptTitle="Supplier" prompt="Leave blank for all suppliers. Pick from the list (edit the list on Setup: Suppliers)." sqref="C4">
      <formula1>Suppliers</formula1>
    </dataValidation>
    <dataValidation type="date" allowBlank="1" showInputMessage="1" showErrorMessage="1" errorTitle="Check this entry" error="Enter a date between 01 Jan 2000 and 31 Dec 2100." promptTitle="From month" prompt="First month to include (the 1st).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month" prompt="Last month to include (the 1st). Leave blank to end at the latest record. Enter a date between 01 Jan 2000 and 31 Dec 2100." sqref="K4">
      <formula1>36526</formula1>
      <formula2>73415</formula2>
    </dataValidation>
  </dataValidations>
  <hyperlinks>
    <hyperlink ref="O2" r:id="rId1" tooltip="Free manufacturing calculators and templates"/>
  </hyperlinks>
  <pageMargins left="0.4" right="0.4" top="0.7" bottom="0.65" header="0.3" footer="0.3"/>
  <pageSetup fitToHeight="0" orientation="landscape"/>
  <headerFooter>
    <oddHeader>&amp;L&amp;8MFG Calcs - Supplier Scorecard&amp;R&amp;8&amp;A</oddHeader>
    <oddFooter>&amp;L&amp;8mfgcalcs.com - free manufacturing templates&amp;R&amp;8Page &amp;P of &amp;N</oddFooter>
  </headerFooter>
  <rowBreaks count="1" manualBreakCount="1">
    <brk id="29"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4-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I32:I39</xm:sqref>
        </x14:conditionalFormatting>
      </x14:conditionalFormattings>
    </ext>
  </extLst>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150</v>
      </c>
      <c r="C4" s="8"/>
      <c r="D4" s="8"/>
    </row>
    <row r="5" spans="1:4" ht="5" customHeight="1"/>
    <row r="6" spans="1:4" ht="55.8" customHeight="1">
      <c r="B6" s="10" t="s">
        <v>151</v>
      </c>
      <c r="C6" s="10"/>
      <c r="D6" s="10"/>
    </row>
    <row r="8" spans="1:4" ht="21" customHeight="1">
      <c r="B8" s="8" t="s">
        <v>152</v>
      </c>
      <c r="C8" s="8"/>
      <c r="D8" s="8"/>
    </row>
    <row r="9" spans="1:4" ht="5" customHeight="1"/>
    <row r="10" spans="1:4" ht="20" customHeight="1">
      <c r="B10" s="52" t="s">
        <v>153</v>
      </c>
      <c r="C10" s="52" t="s">
        <v>154</v>
      </c>
      <c r="D10" s="33" t="s">
        <v>155</v>
      </c>
    </row>
    <row r="11" spans="1:4" ht="17.2" customHeight="1">
      <c r="B11" s="58" t="s">
        <v>74</v>
      </c>
      <c r="C11" s="59" t="s">
        <v>156</v>
      </c>
      <c r="D11" s="60" t="s">
        <v>74</v>
      </c>
    </row>
    <row r="12" spans="1:4" ht="30.4" customHeight="1">
      <c r="B12" s="58" t="s">
        <v>157</v>
      </c>
      <c r="C12" s="59" t="s">
        <v>158</v>
      </c>
      <c r="D12" s="60" t="s">
        <v>72</v>
      </c>
    </row>
    <row r="13" spans="1:4" ht="17.2" customHeight="1">
      <c r="B13" s="58" t="s">
        <v>119</v>
      </c>
      <c r="C13" s="59" t="s">
        <v>159</v>
      </c>
      <c r="D13" s="60" t="s">
        <v>77</v>
      </c>
    </row>
    <row r="14" spans="1:4" ht="17.2" customHeight="1">
      <c r="B14" s="58" t="s">
        <v>160</v>
      </c>
      <c r="C14" s="59" t="s">
        <v>161</v>
      </c>
      <c r="D14" s="60" t="s">
        <v>72</v>
      </c>
    </row>
    <row r="15" spans="1:4" ht="30.4" customHeight="1">
      <c r="B15" s="58" t="s">
        <v>162</v>
      </c>
      <c r="C15" s="59" t="s">
        <v>163</v>
      </c>
      <c r="D15" s="60" t="s">
        <v>72</v>
      </c>
    </row>
    <row r="16" spans="1:4" ht="30.4" customHeight="1">
      <c r="B16" s="58" t="s">
        <v>164</v>
      </c>
      <c r="C16" s="59" t="s">
        <v>165</v>
      </c>
      <c r="D16" s="60" t="s">
        <v>72</v>
      </c>
    </row>
    <row r="17" spans="2:4" ht="30.4" customHeight="1">
      <c r="B17" s="58" t="s">
        <v>166</v>
      </c>
      <c r="C17" s="59" t="s">
        <v>167</v>
      </c>
      <c r="D17" s="60" t="s">
        <v>72</v>
      </c>
    </row>
    <row r="18" spans="2:4" ht="30.4" customHeight="1">
      <c r="B18" s="58" t="s">
        <v>168</v>
      </c>
      <c r="C18" s="59" t="s">
        <v>169</v>
      </c>
      <c r="D18" s="60" t="s">
        <v>72</v>
      </c>
    </row>
    <row r="19" spans="2:4" ht="17.2" customHeight="1">
      <c r="B19" s="58" t="s">
        <v>142</v>
      </c>
      <c r="C19" s="59" t="s">
        <v>170</v>
      </c>
      <c r="D19" s="60" t="s">
        <v>171</v>
      </c>
    </row>
    <row r="20" spans="2:4" ht="30.4" customHeight="1">
      <c r="B20" s="58" t="s">
        <v>172</v>
      </c>
      <c r="C20" s="59" t="s">
        <v>173</v>
      </c>
      <c r="D20" s="60" t="s">
        <v>171</v>
      </c>
    </row>
    <row r="22" spans="2:4" ht="21" customHeight="1">
      <c r="B22" s="8" t="s">
        <v>174</v>
      </c>
      <c r="C22" s="8"/>
      <c r="D22" s="8"/>
    </row>
    <row r="23" spans="2:4" ht="5" customHeight="1"/>
    <row r="24" spans="2:4" ht="29.4" customHeight="1">
      <c r="B24" s="26" t="s">
        <v>53</v>
      </c>
      <c r="C24" s="10" t="s">
        <v>175</v>
      </c>
      <c r="D24" s="10"/>
    </row>
    <row r="25" spans="2:4" ht="29.4" customHeight="1">
      <c r="B25" s="26" t="s">
        <v>53</v>
      </c>
      <c r="C25" s="10" t="s">
        <v>176</v>
      </c>
      <c r="D25" s="10"/>
    </row>
    <row r="26" spans="2:4" ht="29.4" customHeight="1">
      <c r="B26" s="26" t="s">
        <v>53</v>
      </c>
      <c r="C26" s="10" t="s">
        <v>177</v>
      </c>
      <c r="D26" s="10"/>
    </row>
    <row r="27" spans="2:4" ht="16.2" customHeight="1">
      <c r="B27" s="26" t="s">
        <v>53</v>
      </c>
      <c r="C27" s="10" t="s">
        <v>178</v>
      </c>
      <c r="D27" s="10"/>
    </row>
    <row r="29" spans="2:4" ht="21" customHeight="1">
      <c r="B29" s="8" t="s">
        <v>179</v>
      </c>
      <c r="C29" s="8"/>
      <c r="D29" s="8"/>
    </row>
    <row r="30" spans="2:4" ht="5" customHeight="1"/>
    <row r="31" spans="2:4" ht="29.4" customHeight="1">
      <c r="B31" s="26" t="s">
        <v>53</v>
      </c>
      <c r="C31" s="10" t="s">
        <v>180</v>
      </c>
      <c r="D31" s="10"/>
    </row>
    <row r="32" spans="2:4" ht="29.4" customHeight="1">
      <c r="B32" s="26" t="s">
        <v>53</v>
      </c>
      <c r="C32" s="10" t="s">
        <v>181</v>
      </c>
      <c r="D32" s="10"/>
    </row>
    <row r="33" spans="2:4" ht="29.4" customHeight="1">
      <c r="B33" s="26" t="s">
        <v>53</v>
      </c>
      <c r="C33" s="10" t="s">
        <v>182</v>
      </c>
      <c r="D33" s="10"/>
    </row>
    <row r="34" spans="2:4" ht="29.4" customHeight="1">
      <c r="B34" s="26" t="s">
        <v>53</v>
      </c>
      <c r="C34" s="10" t="s">
        <v>183</v>
      </c>
      <c r="D34" s="10"/>
    </row>
    <row r="36" spans="2:4" ht="21" customHeight="1">
      <c r="B36" s="8" t="s">
        <v>184</v>
      </c>
      <c r="C36" s="8"/>
      <c r="D36" s="8"/>
    </row>
    <row r="37" spans="2:4" ht="5" customHeight="1"/>
    <row r="38" spans="2:4" ht="69" customHeight="1">
      <c r="B38" s="10" t="s">
        <v>185</v>
      </c>
      <c r="C38" s="10"/>
      <c r="D38" s="10"/>
    </row>
    <row r="39" spans="2:4">
      <c r="B39" s="24" t="s">
        <v>186</v>
      </c>
      <c r="C39" s="24"/>
      <c r="D39" s="24"/>
    </row>
    <row r="41" spans="2:4" ht="21" customHeight="1">
      <c r="B41" s="8" t="s">
        <v>40</v>
      </c>
      <c r="C41" s="8"/>
      <c r="D41" s="8"/>
    </row>
    <row r="42" spans="2:4" ht="5" customHeight="1"/>
    <row r="43" spans="2:4" ht="42.6" customHeight="1">
      <c r="B43" s="10" t="s">
        <v>187</v>
      </c>
      <c r="C43" s="10"/>
      <c r="D43" s="10"/>
    </row>
    <row r="45" spans="2:4" ht="21" customHeight="1">
      <c r="B45" s="8" t="s">
        <v>188</v>
      </c>
      <c r="C45" s="8"/>
      <c r="D45" s="8"/>
    </row>
    <row r="46" spans="2:4" ht="5" customHeight="1"/>
    <row r="47" spans="2:4" ht="29.4" customHeight="1">
      <c r="B47" s="26" t="s">
        <v>53</v>
      </c>
      <c r="C47" s="10" t="s">
        <v>189</v>
      </c>
      <c r="D47" s="10"/>
    </row>
    <row r="48" spans="2:4" ht="16.2" customHeight="1">
      <c r="B48" s="26" t="s">
        <v>53</v>
      </c>
      <c r="C48" s="10" t="s">
        <v>190</v>
      </c>
      <c r="D48" s="10"/>
    </row>
    <row r="49" spans="2:4" ht="16.2" customHeight="1">
      <c r="B49" s="26" t="s">
        <v>53</v>
      </c>
      <c r="C49" s="10" t="s">
        <v>191</v>
      </c>
      <c r="D49" s="10"/>
    </row>
    <row r="50" spans="2:4" ht="16.2" customHeight="1">
      <c r="B50" s="26" t="s">
        <v>53</v>
      </c>
      <c r="C50" s="10" t="s">
        <v>192</v>
      </c>
      <c r="D50" s="10"/>
    </row>
    <row r="51" spans="2:4">
      <c r="B51" s="21" t="s">
        <v>193</v>
      </c>
      <c r="C51" s="21"/>
      <c r="D51" s="21"/>
    </row>
    <row r="53" spans="2:4" ht="21" customHeight="1">
      <c r="B53" s="8" t="s">
        <v>194</v>
      </c>
      <c r="C53" s="8"/>
      <c r="D53" s="8"/>
    </row>
    <row r="54" spans="2:4" ht="5" customHeight="1"/>
    <row r="55" spans="2:4">
      <c r="B55" s="52" t="s">
        <v>48</v>
      </c>
      <c r="C55" s="52" t="s">
        <v>195</v>
      </c>
      <c r="D55" s="33" t="s">
        <v>196</v>
      </c>
    </row>
    <row r="56" spans="2:4" ht="16.2" customHeight="1">
      <c r="B56" s="61" t="s">
        <v>197</v>
      </c>
      <c r="C56" s="62" t="s">
        <v>198</v>
      </c>
      <c r="D56" s="63" t="s">
        <v>199</v>
      </c>
    </row>
    <row r="58" spans="2:4">
      <c r="B58" s="21" t="s">
        <v>59</v>
      </c>
      <c r="C58" s="21"/>
      <c r="D58" s="21"/>
    </row>
  </sheetData>
  <sheetProtection sheet="1" formatColumns="0" formatRows="0"/>
  <mergeCells count="28">
    <mergeCell ref="A1:D1"/>
    <mergeCell ref="B2:C2"/>
    <mergeCell ref="B4:D4"/>
    <mergeCell ref="B6:D6"/>
    <mergeCell ref="B8:D8"/>
    <mergeCell ref="B22:D22"/>
    <mergeCell ref="C24:D24"/>
    <mergeCell ref="C25:D25"/>
    <mergeCell ref="C26:D26"/>
    <mergeCell ref="C27:D27"/>
    <mergeCell ref="B29:D29"/>
    <mergeCell ref="C31:D31"/>
    <mergeCell ref="C32:D32"/>
    <mergeCell ref="C33:D33"/>
    <mergeCell ref="C34:D34"/>
    <mergeCell ref="B36:D36"/>
    <mergeCell ref="B38:D38"/>
    <mergeCell ref="B39:D39"/>
    <mergeCell ref="B41:D41"/>
    <mergeCell ref="B43:D43"/>
    <mergeCell ref="B45:D45"/>
    <mergeCell ref="C47:D47"/>
    <mergeCell ref="C48:D48"/>
    <mergeCell ref="C49:D49"/>
    <mergeCell ref="C50:D50"/>
    <mergeCell ref="B51:D51"/>
    <mergeCell ref="B53:D53"/>
    <mergeCell ref="B58:D58"/>
  </mergeCells>
  <hyperlinks>
    <hyperlink ref="D2" r:id="rId1" tooltip="Free manufacturing calculators and templates"/>
    <hyperlink ref="B39" r:id="rId2"/>
  </hyperlinks>
  <printOptions horizontalCentered="1"/>
  <pageMargins left="0.4" right="0.4" top="0.7" bottom="0.65" header="0.3" footer="0.3"/>
  <pageSetup fitToHeight="0" orientation="portrait"/>
  <headerFooter>
    <oddHeader>&amp;L&amp;8MFG Calcs - Supplier Scorecard&amp;R&amp;8&amp;A</oddHeader>
    <oddFooter>&amp;L&amp;8mfgcalcs.com - free manufacturing templates&amp;R&amp;8Page &amp;P of &amp;N</oddFooter>
  </headerFooter>
  <rowBreaks count="1" manualBreakCount="1">
    <brk id="2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C3440"/>
    <pageSetUpPr fitToPage="1"/>
  </sheetPr>
  <dimension ref="A1:Q67"/>
  <sheetViews>
    <sheetView showGridLines="0" workbookViewId="0"/>
  </sheetViews>
  <sheetFormatPr defaultRowHeight="15" x14ac:dyDescent="0.25"/>
  <cols>
    <col min="1" max="1" width="2.7109375" customWidth="1"/>
    <col min="2" max="19" width="12.7109375" customWidth="1"/>
  </cols>
  <sheetData>
    <row r="1" spans="1:17" ht="30" customHeight="1" x14ac:dyDescent="0.25">
      <c r="A1" s="1" t="s">
        <v>0</v>
      </c>
      <c r="B1" s="1"/>
      <c r="C1" s="1"/>
      <c r="D1" s="1"/>
      <c r="E1" s="1"/>
      <c r="F1" s="1"/>
      <c r="G1" s="1"/>
      <c r="H1" s="1"/>
      <c r="I1" s="1"/>
      <c r="J1" s="1"/>
      <c r="K1" s="1"/>
      <c r="L1" s="1"/>
      <c r="M1" s="1"/>
      <c r="N1" s="1"/>
      <c r="O1" s="1"/>
      <c r="P1" s="1"/>
      <c r="Q1" s="1"/>
    </row>
    <row r="2" spans="1:17" ht="21" customHeight="1" x14ac:dyDescent="0.25">
      <c r="B2" s="2" t="s">
        <v>26</v>
      </c>
      <c r="C2" s="2"/>
      <c r="D2" s="2"/>
      <c r="E2" s="2"/>
      <c r="F2" s="2"/>
      <c r="G2" s="2"/>
      <c r="H2" s="2"/>
      <c r="I2" s="2"/>
      <c r="J2" s="2"/>
      <c r="K2" s="2"/>
      <c r="L2" s="2"/>
      <c r="M2" s="2"/>
      <c r="N2" s="2"/>
      <c r="O2" s="2"/>
      <c r="P2" s="2"/>
      <c r="Q2" s="3" t="s">
        <v>2</v>
      </c>
    </row>
    <row r="3" spans="1:17" ht="6" customHeight="1" x14ac:dyDescent="0.25"/>
    <row r="4" spans="1:17" ht="30" customHeight="1" x14ac:dyDescent="0.25">
      <c r="B4" s="64" t="s">
        <v>200</v>
      </c>
      <c r="C4" s="64"/>
      <c r="D4" s="22" t="str">
        <f>IF(COUNTIF($K$11:$K$29,"PASS")=19,"PASS","FAIL")</f>
        <v>PASS</v>
      </c>
      <c r="E4" s="22"/>
      <c r="F4" s="23" t="str">
        <f>COUNTIF($K$11:$K$29,"PASS")&amp;" of 19 checks pass"</f>
        <v>19 of 19 checks pass</v>
      </c>
      <c r="G4" s="23"/>
      <c r="H4" s="23"/>
      <c r="I4" s="23"/>
      <c r="J4" s="23"/>
    </row>
    <row r="6" spans="1:17" ht="29.4" customHeight="1" x14ac:dyDescent="0.25">
      <c r="B6" s="10" t="s">
        <v>201</v>
      </c>
      <c r="C6" s="10"/>
      <c r="D6" s="10"/>
      <c r="E6" s="10"/>
      <c r="F6" s="10"/>
      <c r="G6" s="10"/>
      <c r="H6" s="10"/>
      <c r="I6" s="10"/>
      <c r="J6" s="10"/>
      <c r="K6" s="10"/>
      <c r="L6" s="10"/>
    </row>
    <row r="8" spans="1:17" ht="21" customHeight="1" x14ac:dyDescent="0.25">
      <c r="B8" s="8" t="s">
        <v>202</v>
      </c>
      <c r="C8" s="8"/>
      <c r="D8" s="8"/>
      <c r="E8" s="8"/>
      <c r="F8" s="8"/>
      <c r="G8" s="8"/>
      <c r="H8" s="8"/>
      <c r="I8" s="8"/>
      <c r="J8" s="8"/>
      <c r="K8" s="8"/>
      <c r="L8" s="8"/>
    </row>
    <row r="9" spans="1:17" ht="5" customHeight="1" x14ac:dyDescent="0.25"/>
    <row r="10" spans="1:17" ht="30" customHeight="1" x14ac:dyDescent="0.25">
      <c r="B10" s="33" t="s">
        <v>203</v>
      </c>
      <c r="C10" s="52" t="s">
        <v>124</v>
      </c>
      <c r="D10" s="52"/>
      <c r="E10" s="52"/>
      <c r="F10" s="52"/>
      <c r="G10" s="33" t="s">
        <v>204</v>
      </c>
      <c r="H10" s="33" t="s">
        <v>205</v>
      </c>
      <c r="I10" s="33" t="s">
        <v>206</v>
      </c>
      <c r="J10" s="33" t="s">
        <v>207</v>
      </c>
      <c r="K10" s="33" t="s">
        <v>208</v>
      </c>
    </row>
    <row r="11" spans="1:17" ht="16.2" customHeight="1" x14ac:dyDescent="0.25">
      <c r="B11" s="65">
        <v>1</v>
      </c>
      <c r="C11" s="62" t="s">
        <v>209</v>
      </c>
      <c r="D11" s="62"/>
      <c r="E11" s="62"/>
      <c r="F11" s="62"/>
      <c r="G11" s="66">
        <v>320</v>
      </c>
      <c r="H11" s="36">
        <f>$I$53</f>
        <v>320</v>
      </c>
      <c r="I11" s="67">
        <f>IF(AND(ISNUMBER($G$11),ISNUMBER($H$11)),ABS($H$11-$G$11),"")</f>
        <v>0</v>
      </c>
      <c r="J11" s="68">
        <v>1E-09</v>
      </c>
      <c r="K11" s="39" t="str">
        <f>IF(AND(ISNUMBER($G$11),ISNUMBER($H$11)),IF(ABS($H$11-$G$11)&lt;=$J$11,"PASS","FAIL"),"FAIL")</f>
        <v>PASS</v>
      </c>
    </row>
    <row r="12" spans="1:17" ht="16.2" customHeight="1" x14ac:dyDescent="0.25">
      <c r="B12" s="65">
        <v>2</v>
      </c>
      <c r="C12" s="62" t="s">
        <v>210</v>
      </c>
      <c r="D12" s="62"/>
      <c r="E12" s="62"/>
      <c r="F12" s="62"/>
      <c r="G12" s="69">
        <v>92</v>
      </c>
      <c r="H12" s="70">
        <f>$J$53</f>
        <v>92</v>
      </c>
      <c r="I12" s="67">
        <f>IF(AND(ISNUMBER($G$12),ISNUMBER($H$12)),ABS($H$12-$G$12),"")</f>
        <v>0</v>
      </c>
      <c r="J12" s="68">
        <v>1E-09</v>
      </c>
      <c r="K12" s="39" t="str">
        <f>IF(AND(ISNUMBER($G$12),ISNUMBER($H$12)),IF(ABS($H$12-$G$12)&lt;=$J$12,"PASS","FAIL"),"FAIL")</f>
        <v>PASS</v>
      </c>
    </row>
    <row r="13" spans="1:17" ht="16.2" customHeight="1" x14ac:dyDescent="0.25">
      <c r="B13" s="65">
        <v>3</v>
      </c>
      <c r="C13" s="62" t="s">
        <v>211</v>
      </c>
      <c r="D13" s="62"/>
      <c r="E13" s="62"/>
      <c r="F13" s="62"/>
      <c r="G13" s="69">
        <v>88.5</v>
      </c>
      <c r="H13" s="70">
        <f>$M$53</f>
        <v>88.5</v>
      </c>
      <c r="I13" s="67">
        <f>IF(AND(ISNUMBER($G$13),ISNUMBER($H$13)),ABS($H$13-$G$13),"")</f>
        <v>0</v>
      </c>
      <c r="J13" s="68">
        <v>1E-09</v>
      </c>
      <c r="K13" s="39" t="str">
        <f>IF(AND(ISNUMBER($G$13),ISNUMBER($H$13)),IF(ABS($H$13-$G$13)&lt;=$J$13,"PASS","FAIL"),"FAIL")</f>
        <v>PASS</v>
      </c>
    </row>
    <row r="14" spans="1:17" ht="16.2" customHeight="1" x14ac:dyDescent="0.25">
      <c r="B14" s="65">
        <v>4</v>
      </c>
      <c r="C14" s="62" t="s">
        <v>212</v>
      </c>
      <c r="D14" s="62"/>
      <c r="E14" s="62"/>
      <c r="F14" s="62"/>
      <c r="G14" s="66">
        <v>1500</v>
      </c>
      <c r="H14" s="36">
        <f>$I$54</f>
        <v>1500</v>
      </c>
      <c r="I14" s="67">
        <f>IF(AND(ISNUMBER($G$14),ISNUMBER($H$14)),ABS($H$14-$G$14),"")</f>
        <v>0</v>
      </c>
      <c r="J14" s="68">
        <v>1E-09</v>
      </c>
      <c r="K14" s="39" t="str">
        <f>IF(AND(ISNUMBER($G$14),ISNUMBER($H$14)),IF(ABS($H$14-$G$14)&lt;=$J$14,"PASS","FAIL"),"FAIL")</f>
        <v>PASS</v>
      </c>
    </row>
    <row r="15" spans="1:17" ht="16.2" customHeight="1" x14ac:dyDescent="0.25">
      <c r="B15" s="65">
        <v>5</v>
      </c>
      <c r="C15" s="62" t="s">
        <v>213</v>
      </c>
      <c r="D15" s="62"/>
      <c r="E15" s="62"/>
      <c r="F15" s="62"/>
      <c r="G15" s="69">
        <v>62.5</v>
      </c>
      <c r="H15" s="70">
        <f>$J$54</f>
        <v>62.5</v>
      </c>
      <c r="I15" s="67">
        <f>IF(AND(ISNUMBER($G$15),ISNUMBER($H$15)),ABS($H$15-$G$15),"")</f>
        <v>0</v>
      </c>
      <c r="J15" s="68">
        <v>1E-09</v>
      </c>
      <c r="K15" s="39" t="str">
        <f>IF(AND(ISNUMBER($G$15),ISNUMBER($H$15)),IF(ABS($H$15-$G$15)&lt;=$J$15,"PASS","FAIL"),"FAIL")</f>
        <v>PASS</v>
      </c>
    </row>
    <row r="16" spans="1:17" ht="16.2" customHeight="1" x14ac:dyDescent="0.25">
      <c r="B16" s="65">
        <v>6</v>
      </c>
      <c r="C16" s="62" t="s">
        <v>214</v>
      </c>
      <c r="D16" s="62"/>
      <c r="E16" s="62"/>
      <c r="F16" s="62"/>
      <c r="G16" s="69">
        <v>67.25</v>
      </c>
      <c r="H16" s="70">
        <f>$M$54</f>
        <v>67.25</v>
      </c>
      <c r="I16" s="67">
        <f>IF(AND(ISNUMBER($G$16),ISNUMBER($H$16)),ABS($H$16-$G$16),"")</f>
        <v>0</v>
      </c>
      <c r="J16" s="68">
        <v>1E-09</v>
      </c>
      <c r="K16" s="39" t="str">
        <f>IF(AND(ISNUMBER($G$16),ISNUMBER($H$16)),IF(ABS($H$16-$G$16)&lt;=$J$16,"PASS","FAIL"),"FAIL")</f>
        <v>PASS</v>
      </c>
    </row>
    <row r="17" spans="2:12" ht="16.2" customHeight="1" x14ac:dyDescent="0.25">
      <c r="B17" s="65">
        <v>7</v>
      </c>
      <c r="C17" s="62" t="s">
        <v>215</v>
      </c>
      <c r="D17" s="62"/>
      <c r="E17" s="62"/>
      <c r="F17" s="62"/>
      <c r="G17" s="66">
        <v>5000</v>
      </c>
      <c r="H17" s="36">
        <f>$I$55</f>
        <v>5000</v>
      </c>
      <c r="I17" s="67">
        <f>IF(AND(ISNUMBER($G$17),ISNUMBER($H$17)),ABS($H$17-$G$17),"")</f>
        <v>0</v>
      </c>
      <c r="J17" s="68">
        <v>1E-09</v>
      </c>
      <c r="K17" s="39" t="str">
        <f>IF(AND(ISNUMBER($G$17),ISNUMBER($H$17)),IF(ABS($H$17-$G$17)&lt;=$J$17,"PASS","FAIL"),"FAIL")</f>
        <v>PASS</v>
      </c>
    </row>
    <row r="18" spans="2:12" ht="16.2" customHeight="1" x14ac:dyDescent="0.25">
      <c r="B18" s="65">
        <v>8</v>
      </c>
      <c r="C18" s="62" t="s">
        <v>216</v>
      </c>
      <c r="D18" s="62"/>
      <c r="E18" s="62"/>
      <c r="F18" s="62"/>
      <c r="G18" s="69">
        <v>0</v>
      </c>
      <c r="H18" s="70">
        <f>$J$55</f>
        <v>0</v>
      </c>
      <c r="I18" s="67">
        <f>IF(AND(ISNUMBER($G$18),ISNUMBER($H$18)),ABS($H$18-$G$18),"")</f>
        <v>0</v>
      </c>
      <c r="J18" s="68">
        <v>1E-09</v>
      </c>
      <c r="K18" s="39" t="str">
        <f>IF(AND(ISNUMBER($G$18),ISNUMBER($H$18)),IF(ABS($H$18-$G$18)&lt;=$J$18,"PASS","FAIL"),"FAIL")</f>
        <v>PASS</v>
      </c>
    </row>
    <row r="19" spans="2:12" ht="16.2" customHeight="1" x14ac:dyDescent="0.25">
      <c r="B19" s="65">
        <v>9</v>
      </c>
      <c r="C19" s="62" t="s">
        <v>217</v>
      </c>
      <c r="D19" s="62"/>
      <c r="E19" s="62"/>
      <c r="F19" s="62"/>
      <c r="G19" s="69">
        <v>48</v>
      </c>
      <c r="H19" s="70">
        <f>$M$55</f>
        <v>48</v>
      </c>
      <c r="I19" s="67">
        <f>IF(AND(ISNUMBER($G$19),ISNUMBER($H$19)),ABS($H$19-$G$19),"")</f>
        <v>0</v>
      </c>
      <c r="J19" s="68">
        <v>1E-09</v>
      </c>
      <c r="K19" s="39" t="str">
        <f>IF(AND(ISNUMBER($G$19),ISNUMBER($H$19)),IF(ABS($H$19-$G$19)&lt;=$J$19,"PASS","FAIL"),"FAIL")</f>
        <v>PASS</v>
      </c>
    </row>
    <row r="20" spans="2:12" ht="16.2" customHeight="1" x14ac:dyDescent="0.25">
      <c r="B20" s="65">
        <v>10</v>
      </c>
      <c r="C20" s="62" t="s">
        <v>218</v>
      </c>
      <c r="D20" s="62"/>
      <c r="E20" s="62"/>
      <c r="F20" s="62"/>
      <c r="G20" s="69">
        <v>95</v>
      </c>
      <c r="H20" s="70">
        <f>$L$53</f>
        <v>95</v>
      </c>
      <c r="I20" s="67">
        <f>IF(AND(ISNUMBER($G$20),ISNUMBER($H$20)),ABS($H$20-$G$20),"")</f>
        <v>0</v>
      </c>
      <c r="J20" s="68">
        <v>1E-09</v>
      </c>
      <c r="K20" s="39" t="str">
        <f>IF(AND(ISNUMBER($G$20),ISNUMBER($H$20)),IF(ABS($H$20-$G$20)&lt;=$J$20,"PASS","FAIL"),"FAIL")</f>
        <v>PASS</v>
      </c>
    </row>
    <row r="21" spans="2:12" ht="16.2" customHeight="1" x14ac:dyDescent="0.25">
      <c r="B21" s="65">
        <v>11</v>
      </c>
      <c r="C21" s="62" t="s">
        <v>219</v>
      </c>
      <c r="D21" s="62"/>
      <c r="E21" s="62"/>
      <c r="F21" s="62"/>
      <c r="G21" s="61" t="s">
        <v>220</v>
      </c>
      <c r="H21" s="71" t="str">
        <f>$N$53</f>
        <v>On target</v>
      </c>
      <c r="I21" s="71"/>
      <c r="J21" s="63" t="s">
        <v>221</v>
      </c>
      <c r="K21" s="39" t="str">
        <f>IF($H$21&amp;""=$G$21&amp;"","PASS","FAIL")</f>
        <v>PASS</v>
      </c>
    </row>
    <row r="22" spans="2:12" ht="16.2" customHeight="1" x14ac:dyDescent="0.25">
      <c r="B22" s="65">
        <v>12</v>
      </c>
      <c r="C22" s="62" t="s">
        <v>222</v>
      </c>
      <c r="D22" s="62"/>
      <c r="E22" s="62"/>
      <c r="F22" s="62"/>
      <c r="G22" s="61" t="s">
        <v>223</v>
      </c>
      <c r="H22" s="71" t="str">
        <f>$N$54</f>
        <v>Below target</v>
      </c>
      <c r="I22" s="71"/>
      <c r="J22" s="63" t="s">
        <v>221</v>
      </c>
      <c r="K22" s="39" t="str">
        <f>IF($H$22&amp;""=$G$22&amp;"","PASS","FAIL")</f>
        <v>PASS</v>
      </c>
    </row>
    <row r="23" spans="2:12" ht="16.2" customHeight="1" x14ac:dyDescent="0.25">
      <c r="B23" s="65">
        <v>13</v>
      </c>
      <c r="C23" s="62" t="s">
        <v>224</v>
      </c>
      <c r="D23" s="62"/>
      <c r="E23" s="62"/>
      <c r="F23" s="62"/>
      <c r="G23" s="69">
        <v>411.764705882353</v>
      </c>
      <c r="H23" s="70">
        <f>$D$60</f>
        <v>411.764705882353</v>
      </c>
      <c r="I23" s="67">
        <f>IF(AND(ISNUMBER($G$23),ISNUMBER($H$23)),ABS($H$23-$G$23),"")</f>
        <v>0</v>
      </c>
      <c r="J23" s="68">
        <v>1E-09</v>
      </c>
      <c r="K23" s="39" t="str">
        <f>IF(AND(ISNUMBER($G$23),ISNUMBER($H$23)),IF(ABS($H$23-$G$23)&lt;=$J$23,"PASS","FAIL"),"FAIL")</f>
        <v>PASS</v>
      </c>
    </row>
    <row r="24" spans="2:12" ht="16.2" customHeight="1" x14ac:dyDescent="0.25">
      <c r="B24" s="65">
        <v>14</v>
      </c>
      <c r="C24" s="62" t="s">
        <v>225</v>
      </c>
      <c r="D24" s="62"/>
      <c r="E24" s="62"/>
      <c r="F24" s="62"/>
      <c r="G24" s="69">
        <v>89.60294117647059</v>
      </c>
      <c r="H24" s="70">
        <f>$I$60</f>
        <v>89.6029411764706</v>
      </c>
      <c r="I24" s="67">
        <f>IF(AND(ISNUMBER($G$24),ISNUMBER($H$24)),ABS($H$24-$G$24),"")</f>
        <v>0</v>
      </c>
      <c r="J24" s="68">
        <v>1E-09</v>
      </c>
      <c r="K24" s="39" t="str">
        <f>IF(AND(ISNUMBER($G$24),ISNUMBER($H$24)),IF(ABS($H$24-$G$24)&lt;=$J$24,"PASS","FAIL"),"FAIL")</f>
        <v>PASS</v>
      </c>
    </row>
    <row r="25" spans="2:12" ht="16.2" customHeight="1" x14ac:dyDescent="0.25">
      <c r="B25" s="65">
        <v>15</v>
      </c>
      <c r="C25" s="62" t="s">
        <v>226</v>
      </c>
      <c r="D25" s="62"/>
      <c r="E25" s="62"/>
      <c r="F25" s="62"/>
      <c r="G25" s="72">
        <v>0.9333333333333333</v>
      </c>
      <c r="H25" s="38">
        <f>$F$61</f>
        <v>0.933333333333333</v>
      </c>
      <c r="I25" s="67">
        <f>IF(AND(ISNUMBER($G$25),ISNUMBER($H$25)),ABS($H$25-$G$25),"")</f>
        <v>0</v>
      </c>
      <c r="J25" s="68">
        <v>1E-09</v>
      </c>
      <c r="K25" s="39" t="str">
        <f>IF(AND(ISNUMBER($G$25),ISNUMBER($H$25)),IF(ABS($H$25-$G$25)&lt;=$J$25,"PASS","FAIL"),"FAIL")</f>
        <v>PASS</v>
      </c>
    </row>
    <row r="26" spans="2:12" ht="16.2" customHeight="1" x14ac:dyDescent="0.25">
      <c r="B26" s="65">
        <v>16</v>
      </c>
      <c r="C26" s="62" t="s">
        <v>227</v>
      </c>
      <c r="D26" s="62"/>
      <c r="E26" s="62"/>
      <c r="F26" s="62"/>
      <c r="G26" s="69">
        <v>44.85294117647059</v>
      </c>
      <c r="H26" s="70">
        <f>$M$60</f>
        <v>44.8529411764706</v>
      </c>
      <c r="I26" s="67">
        <f>IF(AND(ISNUMBER($G$26),ISNUMBER($H$26)),ABS($H$26-$G$26),"")</f>
        <v>0</v>
      </c>
      <c r="J26" s="68">
        <v>1E-09</v>
      </c>
      <c r="K26" s="39" t="str">
        <f>IF(AND(ISNUMBER($G$26),ISNUMBER($H$26)),IF(ABS($H$26-$G$26)&lt;=$J$26,"PASS","FAIL"),"FAIL")</f>
        <v>PASS</v>
      </c>
    </row>
    <row r="27" spans="2:12" ht="16.2" customHeight="1" x14ac:dyDescent="0.25">
      <c r="B27" s="65">
        <v>17</v>
      </c>
      <c r="C27" s="62" t="s">
        <v>228</v>
      </c>
      <c r="D27" s="62"/>
      <c r="E27" s="62"/>
      <c r="F27" s="62"/>
      <c r="G27" s="69">
        <v>473.6842105263158</v>
      </c>
      <c r="H27" s="70">
        <f>IF((SUMIFS(tblVerifyScores[Units received],tblVerifyScores[View date],"&gt;0"))=0,"",(SUMIFS(tblVerifyScores[Units rejected],tblVerifyScores[View date],"&gt;0")*1000000)/(SUMIFS(tblVerifyScores[Units received],tblVerifyScores[View date],"&gt;0")))</f>
        <v>473.684210526316</v>
      </c>
      <c r="I27" s="67">
        <f>IF(AND(ISNUMBER($G$27),ISNUMBER($H$27)),ABS($H$27-$G$27),"")</f>
        <v>0</v>
      </c>
      <c r="J27" s="68">
        <v>1E-09</v>
      </c>
      <c r="K27" s="39" t="str">
        <f>IF(AND(ISNUMBER($G$27),ISNUMBER($H$27)),IF(ABS($H$27-$G$27)&lt;=$J$27,"PASS","FAIL"),"FAIL")</f>
        <v>PASS</v>
      </c>
    </row>
    <row r="28" spans="2:12" ht="16.2" customHeight="1" x14ac:dyDescent="0.25">
      <c r="B28" s="65">
        <v>18</v>
      </c>
      <c r="C28" s="62" t="s">
        <v>229</v>
      </c>
      <c r="D28" s="62"/>
      <c r="E28" s="62"/>
      <c r="F28" s="62"/>
      <c r="G28" s="72">
        <v>0.9487179487179487</v>
      </c>
      <c r="H28" s="38">
        <f>IF((SUMIFS(tblVerifyScores[Deliveries due],tblVerifyScores[View date],"&gt;0"))=0,"",(SUMIFS(tblVerifyScores[Deliveries on time],tblVerifyScores[View date],"&gt;0"))/(SUMIFS(tblVerifyScores[Deliveries due],tblVerifyScores[View date],"&gt;0")))</f>
        <v>0.948717948717949</v>
      </c>
      <c r="I28" s="67">
        <f>IF(AND(ISNUMBER($G$28),ISNUMBER($H$28)),ABS($H$28-$G$28),"")</f>
        <v>0</v>
      </c>
      <c r="J28" s="68">
        <v>1E-09</v>
      </c>
      <c r="K28" s="39" t="str">
        <f>IF(AND(ISNUMBER($G$28),ISNUMBER($H$28)),IF(ABS($H$28-$G$28)&lt;=$J$28,"PASS","FAIL"),"FAIL")</f>
        <v>PASS</v>
      </c>
    </row>
    <row r="29" spans="2:12" ht="16.2" customHeight="1" x14ac:dyDescent="0.25">
      <c r="B29" s="65">
        <v>19</v>
      </c>
      <c r="C29" s="62" t="s">
        <v>230</v>
      </c>
      <c r="D29" s="62"/>
      <c r="E29" s="62"/>
      <c r="F29" s="62"/>
      <c r="G29" s="61" t="s">
        <v>231</v>
      </c>
      <c r="H29" s="71" t="str">
        <f>$P$56</f>
        <v>On time &gt; due</v>
      </c>
      <c r="I29" s="71"/>
      <c r="J29" s="63" t="s">
        <v>221</v>
      </c>
      <c r="K29" s="39" t="str">
        <f>IF($H$29&amp;""=$G$29&amp;"","PASS","FAIL")</f>
        <v>PASS</v>
      </c>
    </row>
    <row r="31" spans="2:12" ht="21" customHeight="1" x14ac:dyDescent="0.25">
      <c r="B31" s="8" t="s">
        <v>232</v>
      </c>
      <c r="C31" s="8"/>
      <c r="D31" s="8"/>
      <c r="E31" s="8"/>
      <c r="F31" s="8"/>
      <c r="G31" s="8"/>
      <c r="H31" s="8"/>
      <c r="I31" s="8"/>
      <c r="J31" s="8"/>
      <c r="K31" s="8"/>
      <c r="L31" s="8"/>
    </row>
    <row r="32" spans="2:12" ht="5" customHeight="1" x14ac:dyDescent="0.25"/>
    <row r="33" spans="2:12" x14ac:dyDescent="0.25">
      <c r="B33" s="21" t="s">
        <v>233</v>
      </c>
      <c r="C33" s="21"/>
      <c r="D33" s="21"/>
      <c r="E33" s="21"/>
      <c r="F33" s="21"/>
      <c r="G33" s="21"/>
      <c r="H33" s="21"/>
      <c r="I33" s="21"/>
      <c r="J33" s="21"/>
      <c r="K33" s="21"/>
      <c r="L33" s="21"/>
    </row>
    <row r="34" spans="2:12" x14ac:dyDescent="0.25">
      <c r="B34" s="32" t="s">
        <v>234</v>
      </c>
      <c r="C34" s="32"/>
      <c r="D34" s="32"/>
      <c r="E34" s="32"/>
      <c r="F34" s="32"/>
    </row>
    <row r="35" spans="2:12" x14ac:dyDescent="0.25">
      <c r="B35" s="27" t="s">
        <v>235</v>
      </c>
      <c r="C35" s="27"/>
      <c r="D35" s="27"/>
      <c r="E35" s="66">
        <v>0</v>
      </c>
      <c r="F35" s="7"/>
    </row>
    <row r="36" spans="2:12" x14ac:dyDescent="0.25">
      <c r="B36" s="27" t="s">
        <v>236</v>
      </c>
      <c r="C36" s="27"/>
      <c r="D36" s="27"/>
      <c r="E36" s="66">
        <v>2958465</v>
      </c>
      <c r="F36" s="7"/>
    </row>
    <row r="37" spans="2:12" x14ac:dyDescent="0.25">
      <c r="B37" s="27" t="s">
        <v>237</v>
      </c>
      <c r="C37" s="27"/>
      <c r="D37" s="27"/>
      <c r="E37" s="61" t="s">
        <v>126</v>
      </c>
      <c r="F37" s="61"/>
    </row>
    <row r="38" spans="2:12" x14ac:dyDescent="0.25">
      <c r="B38" s="27" t="s">
        <v>67</v>
      </c>
      <c r="C38" s="27"/>
      <c r="D38" s="27"/>
      <c r="E38" s="66">
        <v>50</v>
      </c>
      <c r="F38" s="7"/>
    </row>
    <row r="39" spans="2:12" x14ac:dyDescent="0.25">
      <c r="B39" s="27" t="s">
        <v>69</v>
      </c>
      <c r="C39" s="27"/>
      <c r="D39" s="27"/>
      <c r="E39" s="66">
        <v>30</v>
      </c>
      <c r="F39" s="7"/>
    </row>
    <row r="40" spans="2:12" x14ac:dyDescent="0.25">
      <c r="B40" s="27" t="s">
        <v>70</v>
      </c>
      <c r="C40" s="27"/>
      <c r="D40" s="27"/>
      <c r="E40" s="66">
        <v>20</v>
      </c>
      <c r="F40" s="7"/>
    </row>
    <row r="41" spans="2:12" x14ac:dyDescent="0.25">
      <c r="B41" s="27" t="s">
        <v>238</v>
      </c>
      <c r="C41" s="27"/>
      <c r="D41" s="27"/>
      <c r="E41" s="55">
        <v>85</v>
      </c>
      <c r="F41" s="7"/>
    </row>
    <row r="42" spans="2:12" x14ac:dyDescent="0.25">
      <c r="B42" s="27" t="s">
        <v>239</v>
      </c>
      <c r="C42" s="27"/>
      <c r="D42" s="27"/>
      <c r="E42" s="66">
        <v>4000</v>
      </c>
      <c r="F42" s="7"/>
    </row>
    <row r="43" spans="2:12" x14ac:dyDescent="0.25">
      <c r="B43" s="27" t="s">
        <v>75</v>
      </c>
      <c r="C43" s="27"/>
      <c r="D43" s="27"/>
      <c r="E43" s="66">
        <v>500</v>
      </c>
      <c r="F43" s="7"/>
    </row>
    <row r="44" spans="2:12" x14ac:dyDescent="0.25">
      <c r="B44" s="27" t="s">
        <v>240</v>
      </c>
      <c r="C44" s="27"/>
      <c r="D44" s="27"/>
      <c r="E44" s="72">
        <v>0.95</v>
      </c>
      <c r="F44" s="7"/>
    </row>
    <row r="46" spans="2:12" x14ac:dyDescent="0.25">
      <c r="B46" s="32" t="s">
        <v>241</v>
      </c>
      <c r="C46" s="32"/>
      <c r="D46" s="32"/>
      <c r="E46" s="32"/>
      <c r="F46" s="32"/>
      <c r="G46" s="32"/>
      <c r="H46" s="32"/>
      <c r="I46" s="32"/>
      <c r="J46" s="32"/>
      <c r="K46" s="32"/>
      <c r="L46" s="32"/>
    </row>
    <row r="47" spans="2:12" ht="20" customHeight="1" x14ac:dyDescent="0.25">
      <c r="B47" s="33" t="s">
        <v>60</v>
      </c>
      <c r="C47" s="33" t="s">
        <v>61</v>
      </c>
      <c r="D47" s="33" t="s">
        <v>62</v>
      </c>
      <c r="E47" s="33" t="s">
        <v>63</v>
      </c>
    </row>
    <row r="48" spans="2:12" x14ac:dyDescent="0.25">
      <c r="B48" s="61" t="s">
        <v>242</v>
      </c>
      <c r="C48" s="61" t="s">
        <v>243</v>
      </c>
      <c r="D48" s="61" t="s">
        <v>126</v>
      </c>
      <c r="E48" s="61" t="s">
        <v>126</v>
      </c>
    </row>
    <row r="49" spans="2:17" x14ac:dyDescent="0.25">
      <c r="B49" s="61" t="s">
        <v>244</v>
      </c>
      <c r="C49" s="61" t="s">
        <v>243</v>
      </c>
      <c r="D49" s="61" t="s">
        <v>126</v>
      </c>
      <c r="E49" s="61" t="s">
        <v>126</v>
      </c>
    </row>
    <row r="51" spans="2:17" x14ac:dyDescent="0.25">
      <c r="B51" s="32" t="s">
        <v>245</v>
      </c>
      <c r="C51" s="32"/>
      <c r="D51" s="32"/>
      <c r="E51" s="32"/>
      <c r="F51" s="32"/>
      <c r="G51" s="32"/>
      <c r="H51" s="32"/>
      <c r="I51" s="32"/>
      <c r="J51" s="32"/>
      <c r="K51" s="32"/>
      <c r="L51" s="32"/>
    </row>
    <row r="52" spans="2:17" ht="32" customHeight="1" x14ac:dyDescent="0.25">
      <c r="B52" s="33" t="s">
        <v>112</v>
      </c>
      <c r="C52" s="33" t="s">
        <v>60</v>
      </c>
      <c r="D52" s="33" t="s">
        <v>113</v>
      </c>
      <c r="E52" s="33" t="s">
        <v>114</v>
      </c>
      <c r="F52" s="33" t="s">
        <v>115</v>
      </c>
      <c r="G52" s="33" t="s">
        <v>116</v>
      </c>
      <c r="H52" s="33" t="s">
        <v>117</v>
      </c>
      <c r="I52" s="33" t="s">
        <v>74</v>
      </c>
      <c r="J52" s="33" t="s">
        <v>118</v>
      </c>
      <c r="K52" s="33" t="s">
        <v>119</v>
      </c>
      <c r="L52" s="33" t="s">
        <v>120</v>
      </c>
      <c r="M52" s="33" t="s">
        <v>121</v>
      </c>
      <c r="N52" s="33" t="s">
        <v>122</v>
      </c>
      <c r="O52" s="33" t="s">
        <v>123</v>
      </c>
      <c r="P52" s="33" t="s">
        <v>124</v>
      </c>
      <c r="Q52" s="33" t="s">
        <v>63</v>
      </c>
    </row>
    <row r="53" spans="2:17" x14ac:dyDescent="0.25">
      <c r="B53" s="73">
        <v>46023</v>
      </c>
      <c r="C53" s="61" t="s">
        <v>242</v>
      </c>
      <c r="D53" s="66">
        <v>50000</v>
      </c>
      <c r="E53" s="66">
        <v>16</v>
      </c>
      <c r="F53" s="66">
        <v>20</v>
      </c>
      <c r="G53" s="66">
        <v>19</v>
      </c>
      <c r="H53" s="66">
        <v>70</v>
      </c>
      <c r="I53" s="36">
        <f>IF(tblVerifyScores[[#This Row],[Month]]="","",IF(tblVerifyScores[[#This Row],[Units received]]&gt;0,tblVerifyScores[[#This Row],[Units rejected]]/tblVerifyScores[[#This Row],[Units received]]*1000000,""))</f>
        <v>320</v>
      </c>
      <c r="J53" s="37">
        <f>IF(tblVerifyScores[[#This Row],[Month]]="","",IF(ISNUMBER(tblVerifyScores[[#This Row],[PPM]]),100*MAX(0,1-tblVerifyScores[[#This Row],[PPM]]/$E$42),""))</f>
        <v>92</v>
      </c>
      <c r="K53" s="38">
        <f>IF(tblVerifyScores[[#This Row],[Month]]="","",IF(tblVerifyScores[[#This Row],[Deliveries due]]&gt;0,tblVerifyScores[[#This Row],[Deliveries on time]]/tblVerifyScores[[#This Row],[Deliveries due]],""))</f>
        <v>0.95</v>
      </c>
      <c r="L53" s="37">
        <f>IF(tblVerifyScores[[#This Row],[Month]]="","",IF(ISNUMBER(tblVerifyScores[[#This Row],[On-time delivery]]),100*tblVerifyScores[[#This Row],[On-time delivery]],""))</f>
        <v>95</v>
      </c>
      <c r="M53" s="37">
        <f>IF(tblVerifyScores[[#This Row],[Month]]="","",IF(AND(ISNUMBER(tblVerifyScores[[#This Row],[Quality (pts)]]),ISNUMBER(tblVerifyScores[[#This Row],[Delivery (pts)]]),ISNUMBER(tblVerifyScores[[#This Row],[Responsiveness (pts)]])),($E$38*tblVerifyScores[[#This Row],[Quality (pts)]]+$E$39*tblVerifyScores[[#This Row],[Delivery (pts)]]+$E$40*tblVerifyScores[[#This Row],[Responsiveness (pts)]])/($E$38+$E$39+$E$40),""))</f>
        <v>88.5</v>
      </c>
      <c r="N53" s="39" t="str">
        <f>IF(NOT(ISNUMBER(tblVerifyScores[[#This Row],[Composite (pts)]])),"",IF(tblVerifyScores[[#This Row],[Composite (pts)]]&gt;=$E$41,"On target",IF(tblVerifyScores[[#This Row],[Composite (pts)]]&gt;=$E$41*(1-0.05),"Near target","Below target")))</f>
        <v>On target</v>
      </c>
      <c r="O53" s="40">
        <f>IF(tblVerifyScores[[#This Row],[Month]]="","",IF(AND(tblVerifyScores[[#This Row],[Month]]&gt;=$E$35,tblVerifyScores[[#This Row],[Month]]&lt;=$E$36,OR($E$37="",tblVerifyScores[[#This Row],[Supplier]]=$E$37)),tblVerifyScores[[#This Row],[Month]],""))</f>
        <v>46023</v>
      </c>
      <c r="P53" s="41" t="str">
        <f>IF(tblVerifyScores[[#This Row],[Month]]="","",IF(tblVerifyScores[[#This Row],[Supplier]]="","Missing supplier",IF(tblVerifyScores[[#This Row],[Units received]]="","Missing units received",IF(tblVerifyScores[[#This Row],[Deliveries due]]="","Missing deliveries due",IF(COUNTIF(tblVerifySuppliers[Supplier],tblVerifyScores[[#This Row],[Supplier]])=0,"Supplier not on Setup list",IF(tblVerifyScores[[#This Row],[Units rejected]]&gt;tblVerifyScores[[#This Row],[Units received]],"Rejected &gt; received",IF(tblVerifyScores[[#This Row],[Deliveries on time]]&gt;tblVerifyScores[[#This Row],[Deliveries due]],"On time &gt; due",IF(tblVerifyScores[[#This Row],[Units received]]=0,"No units received",IF(tblVerifyScores[[#This Row],[Deliveries due]]=0,"No deliveries due",IF(DAY(tblVerifyScores[[#This Row],[Month]])&lt;&gt;1,"Use the 1st of the month",IF(COUNTIFS(tblVerifyScores[Month],tblVerifyScores[[#This Row],[Month]],tblVerifyScores[Supplier],tblVerifyScores[[#This Row],[Supplier]])&gt;1,"Duplicate supplier month","OK")))))))))))</f>
        <v>OK</v>
      </c>
      <c r="Q53" s="61"/>
    </row>
    <row r="54" spans="2:17" x14ac:dyDescent="0.25">
      <c r="B54" s="73">
        <v>46023</v>
      </c>
      <c r="C54" s="61" t="s">
        <v>244</v>
      </c>
      <c r="D54" s="66">
        <v>4000</v>
      </c>
      <c r="E54" s="66">
        <v>6</v>
      </c>
      <c r="F54" s="66">
        <v>10</v>
      </c>
      <c r="G54" s="66">
        <v>8</v>
      </c>
      <c r="H54" s="66">
        <v>60</v>
      </c>
      <c r="I54" s="36">
        <f>IF(tblVerifyScores[[#This Row],[Month]]="","",IF(tblVerifyScores[[#This Row],[Units received]]&gt;0,tblVerifyScores[[#This Row],[Units rejected]]/tblVerifyScores[[#This Row],[Units received]]*1000000,""))</f>
        <v>1500</v>
      </c>
      <c r="J54" s="37">
        <f>IF(tblVerifyScores[[#This Row],[Month]]="","",IF(ISNUMBER(tblVerifyScores[[#This Row],[PPM]]),100*MAX(0,1-tblVerifyScores[[#This Row],[PPM]]/$E$42),""))</f>
        <v>62.5</v>
      </c>
      <c r="K54" s="38">
        <f>IF(tblVerifyScores[[#This Row],[Month]]="","",IF(tblVerifyScores[[#This Row],[Deliveries due]]&gt;0,tblVerifyScores[[#This Row],[Deliveries on time]]/tblVerifyScores[[#This Row],[Deliveries due]],""))</f>
        <v>0.8</v>
      </c>
      <c r="L54" s="37">
        <f>IF(tblVerifyScores[[#This Row],[Month]]="","",IF(ISNUMBER(tblVerifyScores[[#This Row],[On-time delivery]]),100*tblVerifyScores[[#This Row],[On-time delivery]],""))</f>
        <v>80</v>
      </c>
      <c r="M54" s="37">
        <f>IF(tblVerifyScores[[#This Row],[Month]]="","",IF(AND(ISNUMBER(tblVerifyScores[[#This Row],[Quality (pts)]]),ISNUMBER(tblVerifyScores[[#This Row],[Delivery (pts)]]),ISNUMBER(tblVerifyScores[[#This Row],[Responsiveness (pts)]])),($E$38*tblVerifyScores[[#This Row],[Quality (pts)]]+$E$39*tblVerifyScores[[#This Row],[Delivery (pts)]]+$E$40*tblVerifyScores[[#This Row],[Responsiveness (pts)]])/($E$38+$E$39+$E$40),""))</f>
        <v>67.25</v>
      </c>
      <c r="N54" s="39" t="str">
        <f>IF(NOT(ISNUMBER(tblVerifyScores[[#This Row],[Composite (pts)]])),"",IF(tblVerifyScores[[#This Row],[Composite (pts)]]&gt;=$E$41,"On target",IF(tblVerifyScores[[#This Row],[Composite (pts)]]&gt;=$E$41*(1-0.05),"Near target","Below target")))</f>
        <v>Below target</v>
      </c>
      <c r="O54" s="40">
        <f>IF(tblVerifyScores[[#This Row],[Month]]="","",IF(AND(tblVerifyScores[[#This Row],[Month]]&gt;=$E$35,tblVerifyScores[[#This Row],[Month]]&lt;=$E$36,OR($E$37="",tblVerifyScores[[#This Row],[Supplier]]=$E$37)),tblVerifyScores[[#This Row],[Month]],""))</f>
        <v>46023</v>
      </c>
      <c r="P54" s="41" t="str">
        <f>IF(tblVerifyScores[[#This Row],[Month]]="","",IF(tblVerifyScores[[#This Row],[Supplier]]="","Missing supplier",IF(tblVerifyScores[[#This Row],[Units received]]="","Missing units received",IF(tblVerifyScores[[#This Row],[Deliveries due]]="","Missing deliveries due",IF(COUNTIF(tblVerifySuppliers[Supplier],tblVerifyScores[[#This Row],[Supplier]])=0,"Supplier not on Setup list",IF(tblVerifyScores[[#This Row],[Units rejected]]&gt;tblVerifyScores[[#This Row],[Units received]],"Rejected &gt; received",IF(tblVerifyScores[[#This Row],[Deliveries on time]]&gt;tblVerifyScores[[#This Row],[Deliveries due]],"On time &gt; due",IF(tblVerifyScores[[#This Row],[Units received]]=0,"No units received",IF(tblVerifyScores[[#This Row],[Deliveries due]]=0,"No deliveries due",IF(DAY(tblVerifyScores[[#This Row],[Month]])&lt;&gt;1,"Use the 1st of the month",IF(COUNTIFS(tblVerifyScores[Month],tblVerifyScores[[#This Row],[Month]],tblVerifyScores[Supplier],tblVerifyScores[[#This Row],[Supplier]])&gt;1,"Duplicate supplier month","OK")))))))))))</f>
        <v>OK</v>
      </c>
      <c r="Q54" s="61"/>
    </row>
    <row r="55" spans="2:17" x14ac:dyDescent="0.25">
      <c r="B55" s="73">
        <v>46054</v>
      </c>
      <c r="C55" s="61" t="s">
        <v>242</v>
      </c>
      <c r="D55" s="66">
        <v>1000</v>
      </c>
      <c r="E55" s="66">
        <v>5</v>
      </c>
      <c r="F55" s="66">
        <v>4</v>
      </c>
      <c r="G55" s="66">
        <v>4</v>
      </c>
      <c r="H55" s="66">
        <v>90</v>
      </c>
      <c r="I55" s="36">
        <f>IF(tblVerifyScores[[#This Row],[Month]]="","",IF(tblVerifyScores[[#This Row],[Units received]]&gt;0,tblVerifyScores[[#This Row],[Units rejected]]/tblVerifyScores[[#This Row],[Units received]]*1000000,""))</f>
        <v>5000</v>
      </c>
      <c r="J55" s="37">
        <f>IF(tblVerifyScores[[#This Row],[Month]]="","",IF(ISNUMBER(tblVerifyScores[[#This Row],[PPM]]),100*MAX(0,1-tblVerifyScores[[#This Row],[PPM]]/$E$42),""))</f>
        <v>0</v>
      </c>
      <c r="K55" s="38">
        <f>IF(tblVerifyScores[[#This Row],[Month]]="","",IF(tblVerifyScores[[#This Row],[Deliveries due]]&gt;0,tblVerifyScores[[#This Row],[Deliveries on time]]/tblVerifyScores[[#This Row],[Deliveries due]],""))</f>
        <v>1</v>
      </c>
      <c r="L55" s="37">
        <f>IF(tblVerifyScores[[#This Row],[Month]]="","",IF(ISNUMBER(tblVerifyScores[[#This Row],[On-time delivery]]),100*tblVerifyScores[[#This Row],[On-time delivery]],""))</f>
        <v>100</v>
      </c>
      <c r="M55" s="37">
        <f>IF(tblVerifyScores[[#This Row],[Month]]="","",IF(AND(ISNUMBER(tblVerifyScores[[#This Row],[Quality (pts)]]),ISNUMBER(tblVerifyScores[[#This Row],[Delivery (pts)]]),ISNUMBER(tblVerifyScores[[#This Row],[Responsiveness (pts)]])),($E$38*tblVerifyScores[[#This Row],[Quality (pts)]]+$E$39*tblVerifyScores[[#This Row],[Delivery (pts)]]+$E$40*tblVerifyScores[[#This Row],[Responsiveness (pts)]])/($E$38+$E$39+$E$40),""))</f>
        <v>48</v>
      </c>
      <c r="N55" s="39" t="str">
        <f>IF(NOT(ISNUMBER(tblVerifyScores[[#This Row],[Composite (pts)]])),"",IF(tblVerifyScores[[#This Row],[Composite (pts)]]&gt;=$E$41,"On target",IF(tblVerifyScores[[#This Row],[Composite (pts)]]&gt;=$E$41*(1-0.05),"Near target","Below target")))</f>
        <v>Below target</v>
      </c>
      <c r="O55" s="40">
        <f>IF(tblVerifyScores[[#This Row],[Month]]="","",IF(AND(tblVerifyScores[[#This Row],[Month]]&gt;=$E$35,tblVerifyScores[[#This Row],[Month]]&lt;=$E$36,OR($E$37="",tblVerifyScores[[#This Row],[Supplier]]=$E$37)),tblVerifyScores[[#This Row],[Month]],""))</f>
        <v>46054</v>
      </c>
      <c r="P55" s="41" t="str">
        <f>IF(tblVerifyScores[[#This Row],[Month]]="","",IF(tblVerifyScores[[#This Row],[Supplier]]="","Missing supplier",IF(tblVerifyScores[[#This Row],[Units received]]="","Missing units received",IF(tblVerifyScores[[#This Row],[Deliveries due]]="","Missing deliveries due",IF(COUNTIF(tblVerifySuppliers[Supplier],tblVerifyScores[[#This Row],[Supplier]])=0,"Supplier not on Setup list",IF(tblVerifyScores[[#This Row],[Units rejected]]&gt;tblVerifyScores[[#This Row],[Units received]],"Rejected &gt; received",IF(tblVerifyScores[[#This Row],[Deliveries on time]]&gt;tblVerifyScores[[#This Row],[Deliveries due]],"On time &gt; due",IF(tblVerifyScores[[#This Row],[Units received]]=0,"No units received",IF(tblVerifyScores[[#This Row],[Deliveries due]]=0,"No deliveries due",IF(DAY(tblVerifyScores[[#This Row],[Month]])&lt;&gt;1,"Use the 1st of the month",IF(COUNTIFS(tblVerifyScores[Month],tblVerifyScores[[#This Row],[Month]],tblVerifyScores[Supplier],tblVerifyScores[[#This Row],[Supplier]])&gt;1,"Duplicate supplier month","OK")))))))))))</f>
        <v>OK</v>
      </c>
      <c r="Q55" s="61"/>
    </row>
    <row r="56" spans="2:17" x14ac:dyDescent="0.25">
      <c r="B56" s="73">
        <v>46054</v>
      </c>
      <c r="C56" s="61" t="s">
        <v>244</v>
      </c>
      <c r="D56" s="66">
        <v>2000</v>
      </c>
      <c r="E56" s="66">
        <v>0</v>
      </c>
      <c r="F56" s="66">
        <v>5</v>
      </c>
      <c r="G56" s="66">
        <v>6</v>
      </c>
      <c r="H56" s="66">
        <v>80</v>
      </c>
      <c r="I56" s="36">
        <f>IF(tblVerifyScores[[#This Row],[Month]]="","",IF(tblVerifyScores[[#This Row],[Units received]]&gt;0,tblVerifyScores[[#This Row],[Units rejected]]/tblVerifyScores[[#This Row],[Units received]]*1000000,""))</f>
        <v>0</v>
      </c>
      <c r="J56" s="37">
        <f>IF(tblVerifyScores[[#This Row],[Month]]="","",IF(ISNUMBER(tblVerifyScores[[#This Row],[PPM]]),100*MAX(0,1-tblVerifyScores[[#This Row],[PPM]]/$E$42),""))</f>
        <v>100</v>
      </c>
      <c r="K56" s="38">
        <f>IF(tblVerifyScores[[#This Row],[Month]]="","",IF(tblVerifyScores[[#This Row],[Deliveries due]]&gt;0,tblVerifyScores[[#This Row],[Deliveries on time]]/tblVerifyScores[[#This Row],[Deliveries due]],""))</f>
        <v>1.2</v>
      </c>
      <c r="L56" s="37">
        <f>IF(tblVerifyScores[[#This Row],[Month]]="","",IF(ISNUMBER(tblVerifyScores[[#This Row],[On-time delivery]]),100*tblVerifyScores[[#This Row],[On-time delivery]],""))</f>
        <v>120</v>
      </c>
      <c r="M56" s="37">
        <f>IF(tblVerifyScores[[#This Row],[Month]]="","",IF(AND(ISNUMBER(tblVerifyScores[[#This Row],[Quality (pts)]]),ISNUMBER(tblVerifyScores[[#This Row],[Delivery (pts)]]),ISNUMBER(tblVerifyScores[[#This Row],[Responsiveness (pts)]])),($E$38*tblVerifyScores[[#This Row],[Quality (pts)]]+$E$39*tblVerifyScores[[#This Row],[Delivery (pts)]]+$E$40*tblVerifyScores[[#This Row],[Responsiveness (pts)]])/($E$38+$E$39+$E$40),""))</f>
        <v>102</v>
      </c>
      <c r="N56" s="39" t="str">
        <f>IF(NOT(ISNUMBER(tblVerifyScores[[#This Row],[Composite (pts)]])),"",IF(tblVerifyScores[[#This Row],[Composite (pts)]]&gt;=$E$41,"On target",IF(tblVerifyScores[[#This Row],[Composite (pts)]]&gt;=$E$41*(1-0.05),"Near target","Below target")))</f>
        <v>On target</v>
      </c>
      <c r="O56" s="40">
        <f>IF(tblVerifyScores[[#This Row],[Month]]="","",IF(AND(tblVerifyScores[[#This Row],[Month]]&gt;=$E$35,tblVerifyScores[[#This Row],[Month]]&lt;=$E$36,OR($E$37="",tblVerifyScores[[#This Row],[Supplier]]=$E$37)),tblVerifyScores[[#This Row],[Month]],""))</f>
        <v>46054</v>
      </c>
      <c r="P56" s="41" t="str">
        <f>IF(tblVerifyScores[[#This Row],[Month]]="","",IF(tblVerifyScores[[#This Row],[Supplier]]="","Missing supplier",IF(tblVerifyScores[[#This Row],[Units received]]="","Missing units received",IF(tblVerifyScores[[#This Row],[Deliveries due]]="","Missing deliveries due",IF(COUNTIF(tblVerifySuppliers[Supplier],tblVerifyScores[[#This Row],[Supplier]])=0,"Supplier not on Setup list",IF(tblVerifyScores[[#This Row],[Units rejected]]&gt;tblVerifyScores[[#This Row],[Units received]],"Rejected &gt; received",IF(tblVerifyScores[[#This Row],[Deliveries on time]]&gt;tblVerifyScores[[#This Row],[Deliveries due]],"On time &gt; due",IF(tblVerifyScores[[#This Row],[Units received]]=0,"No units received",IF(tblVerifyScores[[#This Row],[Deliveries due]]=0,"No deliveries due",IF(DAY(tblVerifyScores[[#This Row],[Month]])&lt;&gt;1,"Use the 1st of the month",IF(COUNTIFS(tblVerifyScores[Month],tblVerifyScores[[#This Row],[Month]],tblVerifyScores[Supplier],tblVerifyScores[[#This Row],[Supplier]])&gt;1,"Duplicate supplier month","OK")))))))))))</f>
        <v>On time &gt; due</v>
      </c>
      <c r="Q56" s="61"/>
    </row>
    <row r="58" spans="2:17" x14ac:dyDescent="0.25">
      <c r="B58" s="32" t="s">
        <v>246</v>
      </c>
      <c r="C58" s="32"/>
      <c r="D58" s="32"/>
      <c r="E58" s="32"/>
      <c r="F58" s="32"/>
      <c r="G58" s="32"/>
      <c r="H58" s="32"/>
      <c r="I58" s="32"/>
      <c r="J58" s="32"/>
      <c r="K58" s="32"/>
      <c r="L58" s="32"/>
    </row>
    <row r="59" spans="2:17" ht="32" customHeight="1" x14ac:dyDescent="0.25">
      <c r="B59" s="52" t="s">
        <v>60</v>
      </c>
      <c r="C59" s="33" t="s">
        <v>139</v>
      </c>
      <c r="D59" s="33" t="s">
        <v>74</v>
      </c>
      <c r="E59" s="33" t="s">
        <v>118</v>
      </c>
      <c r="F59" s="33" t="s">
        <v>119</v>
      </c>
      <c r="G59" s="33" t="s">
        <v>120</v>
      </c>
      <c r="H59" s="33" t="s">
        <v>140</v>
      </c>
      <c r="I59" s="33" t="s">
        <v>121</v>
      </c>
      <c r="J59" s="33" t="s">
        <v>141</v>
      </c>
      <c r="K59" s="33" t="s">
        <v>142</v>
      </c>
      <c r="L59" s="33" t="s">
        <v>122</v>
      </c>
      <c r="M59" s="33" t="s">
        <v>143</v>
      </c>
      <c r="N59" s="33" t="s">
        <v>144</v>
      </c>
      <c r="O59" s="33" t="s">
        <v>145</v>
      </c>
      <c r="P59" s="33" t="s">
        <v>146</v>
      </c>
    </row>
    <row r="60" spans="2:17" x14ac:dyDescent="0.25">
      <c r="B60" s="53" t="str">
        <f>IFERROR(INDEX(tblVerifySuppliers[Supplier],1)&amp;"","")</f>
        <v>Supplier A</v>
      </c>
      <c r="C60" s="36">
        <f>IF($B$60="","",SUMIFS(tblVerifyScores[Units received],tblVerifyScores[Supplier],$B$60,tblVerifyScores[View date],"&gt;0"))</f>
        <v>51000</v>
      </c>
      <c r="D60" s="36">
        <f>IF($B$60="","",IF((SUMIFS(tblVerifyScores[Units received],tblVerifyScores[Supplier],$B$60,tblVerifyScores[View date],"&gt;0"))=0,"",(SUMIFS(tblVerifyScores[Units rejected],tblVerifyScores[Supplier],$B$60,tblVerifyScores[View date],"&gt;0")*1000000)/(SUMIFS(tblVerifyScores[Units received],tblVerifyScores[Supplier],$B$60,tblVerifyScores[View date],"&gt;0"))))</f>
        <v>411.764705882353</v>
      </c>
      <c r="E60" s="37">
        <f>IF($B$60="","",IF($D$60="","",100*MAX(0,1-$D$60/$E$42)))</f>
        <v>89.7058823529412</v>
      </c>
      <c r="F60" s="38">
        <f>IF($B$60="","",IF((SUMIFS(tblVerifyScores[Deliveries due],tblVerifyScores[Supplier],$B$60,tblVerifyScores[View date],"&gt;0"))=0,"",(SUMIFS(tblVerifyScores[Deliveries on time],tblVerifyScores[Supplier],$B$60,tblVerifyScores[View date],"&gt;0"))/(SUMIFS(tblVerifyScores[Deliveries due],tblVerifyScores[Supplier],$B$60,tblVerifyScores[View date],"&gt;0"))))</f>
        <v>0.958333333333333</v>
      </c>
      <c r="G60" s="37">
        <f>IF($B$60="","",IF($F$60="","",100*$F$60))</f>
        <v>95.8333333333333</v>
      </c>
      <c r="H60" s="37">
        <f>IF($B$60="","",IFERROR(AVERAGEIFS(tblVerifyScores[Responsiveness (pts)],tblVerifyScores[Supplier],$B$60,tblVerifyScores[View date],"&gt;0"),""))</f>
        <v>80</v>
      </c>
      <c r="I60" s="37">
        <f>IF($B$60="","",IF(AND(ISNUMBER($E$60),ISNUMBER($G$60),ISNUMBER($H$60)),($E$38*$E$60+$E$39*$G$60+$E$40*$H$60)/($E$38+$E$39+$E$40),""))</f>
        <v>89.6029411764706</v>
      </c>
      <c r="J60" s="54">
        <f>IF($B$60="","",IF(ISNUMBER($I$60),$I$60-$E$41,""))</f>
        <v>4.60294117647059</v>
      </c>
      <c r="K60" s="36">
        <f>IF($B$60="","",IF(ISNUMBER($I$60),COUNTIF($I$60:$I$67,"&gt;"&amp;$I$60)+1,""))</f>
        <v>1</v>
      </c>
      <c r="L60" s="39" t="str">
        <f>IF($B$60="","",IF(NOT(ISNUMBER($I$60)),"",IF($I$60&gt;=$E$41,"On target",IF($I$60&gt;=$E$41*0.95,"Near target","Below target"))))</f>
        <v>On target</v>
      </c>
      <c r="M60" s="37">
        <f>IF($B$60="","",IF(ISNUMBER($I$60),$E$38*$E$60/($E$38+$E$39+$E$40),""))</f>
        <v>44.8529411764706</v>
      </c>
      <c r="N60" s="37">
        <f>IF($B$60="","",IF(ISNUMBER($I$60),$E$39*$G$60/($E$38+$E$39+$E$40),""))</f>
        <v>28.75</v>
      </c>
      <c r="O60" s="37">
        <f>IF($B$60="","",IF(ISNUMBER($I$60),$E$40*$H$60/($E$38+$E$39+$E$40),""))</f>
        <v>16</v>
      </c>
      <c r="P60" s="55">
        <f>$E$41</f>
        <v>85</v>
      </c>
    </row>
    <row r="61" spans="2:17" x14ac:dyDescent="0.25">
      <c r="B61" s="53" t="str">
        <f>IFERROR(INDEX(tblVerifySuppliers[Supplier],2)&amp;"","")</f>
        <v>Supplier B</v>
      </c>
      <c r="C61" s="36">
        <f>IF($B$61="","",SUMIFS(tblVerifyScores[Units received],tblVerifyScores[Supplier],$B$61,tblVerifyScores[View date],"&gt;0"))</f>
        <v>6000</v>
      </c>
      <c r="D61" s="36">
        <f>IF($B$61="","",IF((SUMIFS(tblVerifyScores[Units received],tblVerifyScores[Supplier],$B$61,tblVerifyScores[View date],"&gt;0"))=0,"",(SUMIFS(tblVerifyScores[Units rejected],tblVerifyScores[Supplier],$B$61,tblVerifyScores[View date],"&gt;0")*1000000)/(SUMIFS(tblVerifyScores[Units received],tblVerifyScores[Supplier],$B$61,tblVerifyScores[View date],"&gt;0"))))</f>
        <v>1000</v>
      </c>
      <c r="E61" s="37">
        <f>IF($B$61="","",IF($D$61="","",100*MAX(0,1-$D$61/$E$42)))</f>
        <v>75</v>
      </c>
      <c r="F61" s="38">
        <f>IF($B$61="","",IF((SUMIFS(tblVerifyScores[Deliveries due],tblVerifyScores[Supplier],$B$61,tblVerifyScores[View date],"&gt;0"))=0,"",(SUMIFS(tblVerifyScores[Deliveries on time],tblVerifyScores[Supplier],$B$61,tblVerifyScores[View date],"&gt;0"))/(SUMIFS(tblVerifyScores[Deliveries due],tblVerifyScores[Supplier],$B$61,tblVerifyScores[View date],"&gt;0"))))</f>
        <v>0.933333333333333</v>
      </c>
      <c r="G61" s="37">
        <f>IF($B$61="","",IF($F$61="","",100*$F$61))</f>
        <v>93.3333333333333</v>
      </c>
      <c r="H61" s="37">
        <f>IF($B$61="","",IFERROR(AVERAGEIFS(tblVerifyScores[Responsiveness (pts)],tblVerifyScores[Supplier],$B$61,tblVerifyScores[View date],"&gt;0"),""))</f>
        <v>70</v>
      </c>
      <c r="I61" s="37">
        <f>IF($B$61="","",IF(AND(ISNUMBER($E$61),ISNUMBER($G$61),ISNUMBER($H$61)),($E$38*$E$61+$E$39*$G$61+$E$40*$H$61)/($E$38+$E$39+$E$40),""))</f>
        <v>79.5</v>
      </c>
      <c r="J61" s="54">
        <f>IF($B$61="","",IF(ISNUMBER($I$61),$I$61-$E$41,""))</f>
        <v>-5.5</v>
      </c>
      <c r="K61" s="36">
        <f>IF($B$61="","",IF(ISNUMBER($I$61),COUNTIF($I$60:$I$67,"&gt;"&amp;$I$61)+1,""))</f>
        <v>2</v>
      </c>
      <c r="L61" s="39" t="str">
        <f>IF($B$61="","",IF(NOT(ISNUMBER($I$61)),"",IF($I$61&gt;=$E$41,"On target",IF($I$61&gt;=$E$41*0.95,"Near target","Below target"))))</f>
        <v>Below target</v>
      </c>
      <c r="M61" s="37">
        <f>IF($B$61="","",IF(ISNUMBER($I$61),$E$38*$E$61/($E$38+$E$39+$E$40),""))</f>
        <v>37.5</v>
      </c>
      <c r="N61" s="37">
        <f>IF($B$61="","",IF(ISNUMBER($I$61),$E$39*$G$61/($E$38+$E$39+$E$40),""))</f>
        <v>28</v>
      </c>
      <c r="O61" s="37">
        <f>IF($B$61="","",IF(ISNUMBER($I$61),$E$40*$H$61/($E$38+$E$39+$E$40),""))</f>
        <v>14</v>
      </c>
      <c r="P61" s="55">
        <f>$E$41</f>
        <v>85</v>
      </c>
    </row>
    <row r="62" spans="2:17" x14ac:dyDescent="0.25">
      <c r="B62" s="53">
        <f>IFERROR(INDEX(tblVerifySuppliers[Supplier],3)&amp;"","")</f>
        <v/>
      </c>
      <c r="C62" s="36">
        <f>IF($B$62="","",SUMIFS(tblVerifyScores[Units received],tblVerifyScores[Supplier],$B$62,tblVerifyScores[View date],"&gt;0"))</f>
        <v/>
      </c>
      <c r="D62" s="36">
        <f>IF($B$62="","",IF((SUMIFS(tblVerifyScores[Units received],tblVerifyScores[Supplier],$B$62,tblVerifyScores[View date],"&gt;0"))=0,"",(SUMIFS(tblVerifyScores[Units rejected],tblVerifyScores[Supplier],$B$62,tblVerifyScores[View date],"&gt;0")*1000000)/(SUMIFS(tblVerifyScores[Units received],tblVerifyScores[Supplier],$B$62,tblVerifyScores[View date],"&gt;0"))))</f>
        <v/>
      </c>
      <c r="E62" s="37">
        <f>IF($B$62="","",IF($D$62="","",100*MAX(0,1-$D$62/$E$42)))</f>
        <v/>
      </c>
      <c r="F62" s="38">
        <f>IF($B$62="","",IF((SUMIFS(tblVerifyScores[Deliveries due],tblVerifyScores[Supplier],$B$62,tblVerifyScores[View date],"&gt;0"))=0,"",(SUMIFS(tblVerifyScores[Deliveries on time],tblVerifyScores[Supplier],$B$62,tblVerifyScores[View date],"&gt;0"))/(SUMIFS(tblVerifyScores[Deliveries due],tblVerifyScores[Supplier],$B$62,tblVerifyScores[View date],"&gt;0"))))</f>
        <v/>
      </c>
      <c r="G62" s="37">
        <f>IF($B$62="","",IF($F$62="","",100*$F$62))</f>
        <v/>
      </c>
      <c r="H62" s="37">
        <f>IF($B$62="","",IFERROR(AVERAGEIFS(tblVerifyScores[Responsiveness (pts)],tblVerifyScores[Supplier],$B$62,tblVerifyScores[View date],"&gt;0"),""))</f>
        <v/>
      </c>
      <c r="I62" s="37">
        <f>IF($B$62="","",IF(AND(ISNUMBER($E$62),ISNUMBER($G$62),ISNUMBER($H$62)),($E$38*$E$62+$E$39*$G$62+$E$40*$H$62)/($E$38+$E$39+$E$40),""))</f>
        <v/>
      </c>
      <c r="J62" s="54">
        <f>IF($B$62="","",IF(ISNUMBER($I$62),$I$62-$E$41,""))</f>
        <v/>
      </c>
      <c r="K62" s="36">
        <f>IF($B$62="","",IF(ISNUMBER($I$62),COUNTIF($I$60:$I$67,"&gt;"&amp;$I$62)+1,""))</f>
        <v/>
      </c>
      <c r="L62" s="39">
        <f>IF($B$62="","",IF(NOT(ISNUMBER($I$62)),"",IF($I$62&gt;=$E$41,"On target",IF($I$62&gt;=$E$41*0.95,"Near target","Below target"))))</f>
        <v/>
      </c>
      <c r="M62" s="37">
        <f>IF($B$62="","",IF(ISNUMBER($I$62),$E$38*$E$62/($E$38+$E$39+$E$40),""))</f>
        <v/>
      </c>
      <c r="N62" s="37">
        <f>IF($B$62="","",IF(ISNUMBER($I$62),$E$39*$G$62/($E$38+$E$39+$E$40),""))</f>
        <v/>
      </c>
      <c r="O62" s="37">
        <f>IF($B$62="","",IF(ISNUMBER($I$62),$E$40*$H$62/($E$38+$E$39+$E$40),""))</f>
        <v/>
      </c>
      <c r="P62" s="55">
        <f>$E$41</f>
        <v>85</v>
      </c>
    </row>
    <row r="63" spans="2:17" x14ac:dyDescent="0.25">
      <c r="B63" s="53">
        <f>IFERROR(INDEX(tblVerifySuppliers[Supplier],4)&amp;"","")</f>
        <v/>
      </c>
      <c r="C63" s="36">
        <f>IF($B$63="","",SUMIFS(tblVerifyScores[Units received],tblVerifyScores[Supplier],$B$63,tblVerifyScores[View date],"&gt;0"))</f>
        <v/>
      </c>
      <c r="D63" s="36">
        <f>IF($B$63="","",IF((SUMIFS(tblVerifyScores[Units received],tblVerifyScores[Supplier],$B$63,tblVerifyScores[View date],"&gt;0"))=0,"",(SUMIFS(tblVerifyScores[Units rejected],tblVerifyScores[Supplier],$B$63,tblVerifyScores[View date],"&gt;0")*1000000)/(SUMIFS(tblVerifyScores[Units received],tblVerifyScores[Supplier],$B$63,tblVerifyScores[View date],"&gt;0"))))</f>
        <v/>
      </c>
      <c r="E63" s="37">
        <f>IF($B$63="","",IF($D$63="","",100*MAX(0,1-$D$63/$E$42)))</f>
        <v/>
      </c>
      <c r="F63" s="38">
        <f>IF($B$63="","",IF((SUMIFS(tblVerifyScores[Deliveries due],tblVerifyScores[Supplier],$B$63,tblVerifyScores[View date],"&gt;0"))=0,"",(SUMIFS(tblVerifyScores[Deliveries on time],tblVerifyScores[Supplier],$B$63,tblVerifyScores[View date],"&gt;0"))/(SUMIFS(tblVerifyScores[Deliveries due],tblVerifyScores[Supplier],$B$63,tblVerifyScores[View date],"&gt;0"))))</f>
        <v/>
      </c>
      <c r="G63" s="37">
        <f>IF($B$63="","",IF($F$63="","",100*$F$63))</f>
        <v/>
      </c>
      <c r="H63" s="37">
        <f>IF($B$63="","",IFERROR(AVERAGEIFS(tblVerifyScores[Responsiveness (pts)],tblVerifyScores[Supplier],$B$63,tblVerifyScores[View date],"&gt;0"),""))</f>
        <v/>
      </c>
      <c r="I63" s="37">
        <f>IF($B$63="","",IF(AND(ISNUMBER($E$63),ISNUMBER($G$63),ISNUMBER($H$63)),($E$38*$E$63+$E$39*$G$63+$E$40*$H$63)/($E$38+$E$39+$E$40),""))</f>
        <v/>
      </c>
      <c r="J63" s="54">
        <f>IF($B$63="","",IF(ISNUMBER($I$63),$I$63-$E$41,""))</f>
        <v/>
      </c>
      <c r="K63" s="36">
        <f>IF($B$63="","",IF(ISNUMBER($I$63),COUNTIF($I$60:$I$67,"&gt;"&amp;$I$63)+1,""))</f>
        <v/>
      </c>
      <c r="L63" s="39">
        <f>IF($B$63="","",IF(NOT(ISNUMBER($I$63)),"",IF($I$63&gt;=$E$41,"On target",IF($I$63&gt;=$E$41*0.95,"Near target","Below target"))))</f>
        <v/>
      </c>
      <c r="M63" s="37">
        <f>IF($B$63="","",IF(ISNUMBER($I$63),$E$38*$E$63/($E$38+$E$39+$E$40),""))</f>
        <v/>
      </c>
      <c r="N63" s="37">
        <f>IF($B$63="","",IF(ISNUMBER($I$63),$E$39*$G$63/($E$38+$E$39+$E$40),""))</f>
        <v/>
      </c>
      <c r="O63" s="37">
        <f>IF($B$63="","",IF(ISNUMBER($I$63),$E$40*$H$63/($E$38+$E$39+$E$40),""))</f>
        <v/>
      </c>
      <c r="P63" s="55">
        <f>$E$41</f>
        <v>85</v>
      </c>
    </row>
    <row r="64" spans="2:17" x14ac:dyDescent="0.25">
      <c r="B64" s="53">
        <f>IFERROR(INDEX(tblVerifySuppliers[Supplier],5)&amp;"","")</f>
        <v/>
      </c>
      <c r="C64" s="36">
        <f>IF($B$64="","",SUMIFS(tblVerifyScores[Units received],tblVerifyScores[Supplier],$B$64,tblVerifyScores[View date],"&gt;0"))</f>
        <v/>
      </c>
      <c r="D64" s="36">
        <f>IF($B$64="","",IF((SUMIFS(tblVerifyScores[Units received],tblVerifyScores[Supplier],$B$64,tblVerifyScores[View date],"&gt;0"))=0,"",(SUMIFS(tblVerifyScores[Units rejected],tblVerifyScores[Supplier],$B$64,tblVerifyScores[View date],"&gt;0")*1000000)/(SUMIFS(tblVerifyScores[Units received],tblVerifyScores[Supplier],$B$64,tblVerifyScores[View date],"&gt;0"))))</f>
        <v/>
      </c>
      <c r="E64" s="37">
        <f>IF($B$64="","",IF($D$64="","",100*MAX(0,1-$D$64/$E$42)))</f>
        <v/>
      </c>
      <c r="F64" s="38">
        <f>IF($B$64="","",IF((SUMIFS(tblVerifyScores[Deliveries due],tblVerifyScores[Supplier],$B$64,tblVerifyScores[View date],"&gt;0"))=0,"",(SUMIFS(tblVerifyScores[Deliveries on time],tblVerifyScores[Supplier],$B$64,tblVerifyScores[View date],"&gt;0"))/(SUMIFS(tblVerifyScores[Deliveries due],tblVerifyScores[Supplier],$B$64,tblVerifyScores[View date],"&gt;0"))))</f>
        <v/>
      </c>
      <c r="G64" s="37">
        <f>IF($B$64="","",IF($F$64="","",100*$F$64))</f>
        <v/>
      </c>
      <c r="H64" s="37">
        <f>IF($B$64="","",IFERROR(AVERAGEIFS(tblVerifyScores[Responsiveness (pts)],tblVerifyScores[Supplier],$B$64,tblVerifyScores[View date],"&gt;0"),""))</f>
        <v/>
      </c>
      <c r="I64" s="37">
        <f>IF($B$64="","",IF(AND(ISNUMBER($E$64),ISNUMBER($G$64),ISNUMBER($H$64)),($E$38*$E$64+$E$39*$G$64+$E$40*$H$64)/($E$38+$E$39+$E$40),""))</f>
        <v/>
      </c>
      <c r="J64" s="54">
        <f>IF($B$64="","",IF(ISNUMBER($I$64),$I$64-$E$41,""))</f>
        <v/>
      </c>
      <c r="K64" s="36">
        <f>IF($B$64="","",IF(ISNUMBER($I$64),COUNTIF($I$60:$I$67,"&gt;"&amp;$I$64)+1,""))</f>
        <v/>
      </c>
      <c r="L64" s="39">
        <f>IF($B$64="","",IF(NOT(ISNUMBER($I$64)),"",IF($I$64&gt;=$E$41,"On target",IF($I$64&gt;=$E$41*0.95,"Near target","Below target"))))</f>
        <v/>
      </c>
      <c r="M64" s="37">
        <f>IF($B$64="","",IF(ISNUMBER($I$64),$E$38*$E$64/($E$38+$E$39+$E$40),""))</f>
        <v/>
      </c>
      <c r="N64" s="37">
        <f>IF($B$64="","",IF(ISNUMBER($I$64),$E$39*$G$64/($E$38+$E$39+$E$40),""))</f>
        <v/>
      </c>
      <c r="O64" s="37">
        <f>IF($B$64="","",IF(ISNUMBER($I$64),$E$40*$H$64/($E$38+$E$39+$E$40),""))</f>
        <v/>
      </c>
      <c r="P64" s="55">
        <f>$E$41</f>
        <v>85</v>
      </c>
    </row>
    <row r="65" spans="2:16" x14ac:dyDescent="0.25">
      <c r="B65" s="53">
        <f>IFERROR(INDEX(tblVerifySuppliers[Supplier],6)&amp;"","")</f>
        <v/>
      </c>
      <c r="C65" s="36">
        <f>IF($B$65="","",SUMIFS(tblVerifyScores[Units received],tblVerifyScores[Supplier],$B$65,tblVerifyScores[View date],"&gt;0"))</f>
        <v/>
      </c>
      <c r="D65" s="36">
        <f>IF($B$65="","",IF((SUMIFS(tblVerifyScores[Units received],tblVerifyScores[Supplier],$B$65,tblVerifyScores[View date],"&gt;0"))=0,"",(SUMIFS(tblVerifyScores[Units rejected],tblVerifyScores[Supplier],$B$65,tblVerifyScores[View date],"&gt;0")*1000000)/(SUMIFS(tblVerifyScores[Units received],tblVerifyScores[Supplier],$B$65,tblVerifyScores[View date],"&gt;0"))))</f>
        <v/>
      </c>
      <c r="E65" s="37">
        <f>IF($B$65="","",IF($D$65="","",100*MAX(0,1-$D$65/$E$42)))</f>
        <v/>
      </c>
      <c r="F65" s="38">
        <f>IF($B$65="","",IF((SUMIFS(tblVerifyScores[Deliveries due],tblVerifyScores[Supplier],$B$65,tblVerifyScores[View date],"&gt;0"))=0,"",(SUMIFS(tblVerifyScores[Deliveries on time],tblVerifyScores[Supplier],$B$65,tblVerifyScores[View date],"&gt;0"))/(SUMIFS(tblVerifyScores[Deliveries due],tblVerifyScores[Supplier],$B$65,tblVerifyScores[View date],"&gt;0"))))</f>
        <v/>
      </c>
      <c r="G65" s="37">
        <f>IF($B$65="","",IF($F$65="","",100*$F$65))</f>
        <v/>
      </c>
      <c r="H65" s="37">
        <f>IF($B$65="","",IFERROR(AVERAGEIFS(tblVerifyScores[Responsiveness (pts)],tblVerifyScores[Supplier],$B$65,tblVerifyScores[View date],"&gt;0"),""))</f>
        <v/>
      </c>
      <c r="I65" s="37">
        <f>IF($B$65="","",IF(AND(ISNUMBER($E$65),ISNUMBER($G$65),ISNUMBER($H$65)),($E$38*$E$65+$E$39*$G$65+$E$40*$H$65)/($E$38+$E$39+$E$40),""))</f>
        <v/>
      </c>
      <c r="J65" s="54">
        <f>IF($B$65="","",IF(ISNUMBER($I$65),$I$65-$E$41,""))</f>
        <v/>
      </c>
      <c r="K65" s="36">
        <f>IF($B$65="","",IF(ISNUMBER($I$65),COUNTIF($I$60:$I$67,"&gt;"&amp;$I$65)+1,""))</f>
        <v/>
      </c>
      <c r="L65" s="39">
        <f>IF($B$65="","",IF(NOT(ISNUMBER($I$65)),"",IF($I$65&gt;=$E$41,"On target",IF($I$65&gt;=$E$41*0.95,"Near target","Below target"))))</f>
        <v/>
      </c>
      <c r="M65" s="37">
        <f>IF($B$65="","",IF(ISNUMBER($I$65),$E$38*$E$65/($E$38+$E$39+$E$40),""))</f>
        <v/>
      </c>
      <c r="N65" s="37">
        <f>IF($B$65="","",IF(ISNUMBER($I$65),$E$39*$G$65/($E$38+$E$39+$E$40),""))</f>
        <v/>
      </c>
      <c r="O65" s="37">
        <f>IF($B$65="","",IF(ISNUMBER($I$65),$E$40*$H$65/($E$38+$E$39+$E$40),""))</f>
        <v/>
      </c>
      <c r="P65" s="55">
        <f>$E$41</f>
        <v>85</v>
      </c>
    </row>
    <row r="66" spans="2:16" x14ac:dyDescent="0.25">
      <c r="B66" s="53">
        <f>IFERROR(INDEX(tblVerifySuppliers[Supplier],7)&amp;"","")</f>
        <v/>
      </c>
      <c r="C66" s="36">
        <f>IF($B$66="","",SUMIFS(tblVerifyScores[Units received],tblVerifyScores[Supplier],$B$66,tblVerifyScores[View date],"&gt;0"))</f>
        <v/>
      </c>
      <c r="D66" s="36">
        <f>IF($B$66="","",IF((SUMIFS(tblVerifyScores[Units received],tblVerifyScores[Supplier],$B$66,tblVerifyScores[View date],"&gt;0"))=0,"",(SUMIFS(tblVerifyScores[Units rejected],tblVerifyScores[Supplier],$B$66,tblVerifyScores[View date],"&gt;0")*1000000)/(SUMIFS(tblVerifyScores[Units received],tblVerifyScores[Supplier],$B$66,tblVerifyScores[View date],"&gt;0"))))</f>
        <v/>
      </c>
      <c r="E66" s="37">
        <f>IF($B$66="","",IF($D$66="","",100*MAX(0,1-$D$66/$E$42)))</f>
        <v/>
      </c>
      <c r="F66" s="38">
        <f>IF($B$66="","",IF((SUMIFS(tblVerifyScores[Deliveries due],tblVerifyScores[Supplier],$B$66,tblVerifyScores[View date],"&gt;0"))=0,"",(SUMIFS(tblVerifyScores[Deliveries on time],tblVerifyScores[Supplier],$B$66,tblVerifyScores[View date],"&gt;0"))/(SUMIFS(tblVerifyScores[Deliveries due],tblVerifyScores[Supplier],$B$66,tblVerifyScores[View date],"&gt;0"))))</f>
        <v/>
      </c>
      <c r="G66" s="37">
        <f>IF($B$66="","",IF($F$66="","",100*$F$66))</f>
        <v/>
      </c>
      <c r="H66" s="37">
        <f>IF($B$66="","",IFERROR(AVERAGEIFS(tblVerifyScores[Responsiveness (pts)],tblVerifyScores[Supplier],$B$66,tblVerifyScores[View date],"&gt;0"),""))</f>
        <v/>
      </c>
      <c r="I66" s="37">
        <f>IF($B$66="","",IF(AND(ISNUMBER($E$66),ISNUMBER($G$66),ISNUMBER($H$66)),($E$38*$E$66+$E$39*$G$66+$E$40*$H$66)/($E$38+$E$39+$E$40),""))</f>
        <v/>
      </c>
      <c r="J66" s="54">
        <f>IF($B$66="","",IF(ISNUMBER($I$66),$I$66-$E$41,""))</f>
        <v/>
      </c>
      <c r="K66" s="36">
        <f>IF($B$66="","",IF(ISNUMBER($I$66),COUNTIF($I$60:$I$67,"&gt;"&amp;$I$66)+1,""))</f>
        <v/>
      </c>
      <c r="L66" s="39">
        <f>IF($B$66="","",IF(NOT(ISNUMBER($I$66)),"",IF($I$66&gt;=$E$41,"On target",IF($I$66&gt;=$E$41*0.95,"Near target","Below target"))))</f>
        <v/>
      </c>
      <c r="M66" s="37">
        <f>IF($B$66="","",IF(ISNUMBER($I$66),$E$38*$E$66/($E$38+$E$39+$E$40),""))</f>
        <v/>
      </c>
      <c r="N66" s="37">
        <f>IF($B$66="","",IF(ISNUMBER($I$66),$E$39*$G$66/($E$38+$E$39+$E$40),""))</f>
        <v/>
      </c>
      <c r="O66" s="37">
        <f>IF($B$66="","",IF(ISNUMBER($I$66),$E$40*$H$66/($E$38+$E$39+$E$40),""))</f>
        <v/>
      </c>
      <c r="P66" s="55">
        <f>$E$41</f>
        <v>85</v>
      </c>
    </row>
    <row r="67" spans="2:16" x14ac:dyDescent="0.25">
      <c r="B67" s="53">
        <f>IFERROR(INDEX(tblVerifySuppliers[Supplier],8)&amp;"","")</f>
        <v/>
      </c>
      <c r="C67" s="36">
        <f>IF($B$67="","",SUMIFS(tblVerifyScores[Units received],tblVerifyScores[Supplier],$B$67,tblVerifyScores[View date],"&gt;0"))</f>
        <v/>
      </c>
      <c r="D67" s="36">
        <f>IF($B$67="","",IF((SUMIFS(tblVerifyScores[Units received],tblVerifyScores[Supplier],$B$67,tblVerifyScores[View date],"&gt;0"))=0,"",(SUMIFS(tblVerifyScores[Units rejected],tblVerifyScores[Supplier],$B$67,tblVerifyScores[View date],"&gt;0")*1000000)/(SUMIFS(tblVerifyScores[Units received],tblVerifyScores[Supplier],$B$67,tblVerifyScores[View date],"&gt;0"))))</f>
        <v/>
      </c>
      <c r="E67" s="37">
        <f>IF($B$67="","",IF($D$67="","",100*MAX(0,1-$D$67/$E$42)))</f>
        <v/>
      </c>
      <c r="F67" s="38">
        <f>IF($B$67="","",IF((SUMIFS(tblVerifyScores[Deliveries due],tblVerifyScores[Supplier],$B$67,tblVerifyScores[View date],"&gt;0"))=0,"",(SUMIFS(tblVerifyScores[Deliveries on time],tblVerifyScores[Supplier],$B$67,tblVerifyScores[View date],"&gt;0"))/(SUMIFS(tblVerifyScores[Deliveries due],tblVerifyScores[Supplier],$B$67,tblVerifyScores[View date],"&gt;0"))))</f>
        <v/>
      </c>
      <c r="G67" s="37">
        <f>IF($B$67="","",IF($F$67="","",100*$F$67))</f>
        <v/>
      </c>
      <c r="H67" s="37">
        <f>IF($B$67="","",IFERROR(AVERAGEIFS(tblVerifyScores[Responsiveness (pts)],tblVerifyScores[Supplier],$B$67,tblVerifyScores[View date],"&gt;0"),""))</f>
        <v/>
      </c>
      <c r="I67" s="37">
        <f>IF($B$67="","",IF(AND(ISNUMBER($E$67),ISNUMBER($G$67),ISNUMBER($H$67)),($E$38*$E$67+$E$39*$G$67+$E$40*$H$67)/($E$38+$E$39+$E$40),""))</f>
        <v/>
      </c>
      <c r="J67" s="54">
        <f>IF($B$67="","",IF(ISNUMBER($I$67),$I$67-$E$41,""))</f>
        <v/>
      </c>
      <c r="K67" s="36">
        <f>IF($B$67="","",IF(ISNUMBER($I$67),COUNTIF($I$60:$I$67,"&gt;"&amp;$I$67)+1,""))</f>
        <v/>
      </c>
      <c r="L67" s="39">
        <f>IF($B$67="","",IF(NOT(ISNUMBER($I$67)),"",IF($I$67&gt;=$E$41,"On target",IF($I$67&gt;=$E$41*0.95,"Near target","Below target"))))</f>
        <v/>
      </c>
      <c r="M67" s="37">
        <f>IF($B$67="","",IF(ISNUMBER($I$67),$E$38*$E$67/($E$38+$E$39+$E$40),""))</f>
        <v/>
      </c>
      <c r="N67" s="37">
        <f>IF($B$67="","",IF(ISNUMBER($I$67),$E$39*$G$67/($E$38+$E$39+$E$40),""))</f>
        <v/>
      </c>
      <c r="O67" s="37">
        <f>IF($B$67="","",IF(ISNUMBER($I$67),$E$40*$H$67/($E$38+$E$39+$E$40),""))</f>
        <v/>
      </c>
      <c r="P67" s="55">
        <f>$E$41</f>
        <v>85</v>
      </c>
    </row>
  </sheetData>
  <sheetProtection sheet="1" formatColumns="0" formatRows="0"/>
  <mergeCells count="44">
    <mergeCell ref="A1:Q1"/>
    <mergeCell ref="B2:P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7:D37"/>
    <mergeCell ref="E37:F37"/>
    <mergeCell ref="B38:D38"/>
    <mergeCell ref="B39:D39"/>
    <mergeCell ref="B40:D40"/>
    <mergeCell ref="B41:D41"/>
    <mergeCell ref="B42:D42"/>
    <mergeCell ref="B43:D43"/>
    <mergeCell ref="B44:D44"/>
    <mergeCell ref="B46:L46"/>
    <mergeCell ref="B51:L51"/>
    <mergeCell ref="B58:L58"/>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I60:I67">
    <cfRule type="expression" dxfId="3" priority="43" stopIfTrue="1">
      <formula>AND(ISNUMBER(I60),I60&gt;=($E$41))</formula>
    </cfRule>
    <cfRule type="expression" dxfId="4" priority="44" stopIfTrue="1">
      <formula>AND(ISNUMBER(I60),I60&gt;=($E$41)*(1-0.05))</formula>
    </cfRule>
    <cfRule type="expression" dxfId="5" priority="45">
      <formula>ISNUMBER(I60)</formula>
    </cfRule>
    <cfRule type="dataBar" priority="46">
      <dataBar>
        <cfvo type="num" val="0"/>
        <cfvo type="max"/>
        <color rgb="FFA8BDF0"/>
      </dataBar>
      <extLst>
        <ext xmlns:x14="http://schemas.microsoft.com/office/spreadsheetml/2009/9/main" uri="{B025F937-C7B1-47D3-B67F-A62EFF666E3E}">
          <x14:id>{DA7ABA51-AAAA-BBBB-0006-000000000001}</x14:id>
        </ext>
      </extLst>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L60:L67">
    <cfRule type="cellIs" dxfId="0" priority="47" operator="equal">
      <formula>"On target"</formula>
    </cfRule>
    <cfRule type="cellIs" dxfId="0" priority="48" operator="equal">
      <formula>"PASS"</formula>
    </cfRule>
    <cfRule type="cellIs" dxfId="0" priority="49" operator="equal">
      <formula>"OK"</formula>
    </cfRule>
    <cfRule type="cellIs" dxfId="0" priority="50" operator="equal">
      <formula>"Within limits"</formula>
    </cfRule>
    <cfRule type="cellIs" dxfId="0" priority="51" operator="equal">
      <formula>"Under capacity"</formula>
    </cfRule>
    <cfRule type="cellIs" dxfId="0" priority="52" operator="equal">
      <formula>"Complete"</formula>
    </cfRule>
    <cfRule type="cellIs" dxfId="0" priority="53" operator="equal">
      <formula>"Yes"</formula>
    </cfRule>
    <cfRule type="cellIs" dxfId="1" priority="54" operator="equal">
      <formula>"Near target"</formula>
    </cfRule>
    <cfRule type="cellIs" dxfId="1" priority="55" operator="equal">
      <formula>"Check"</formula>
    </cfRule>
    <cfRule type="cellIs" dxfId="1" priority="56" operator="equal">
      <formula>"Due soon"</formula>
    </cfRule>
    <cfRule type="cellIs" dxfId="1" priority="57" operator="equal">
      <formula>"Near capacity"</formula>
    </cfRule>
    <cfRule type="cellIs" dxfId="1" priority="58" operator="equal">
      <formula>"In progress"</formula>
    </cfRule>
    <cfRule type="cellIs" dxfId="1" priority="59" operator="equal">
      <formula>"Partial"</formula>
    </cfRule>
    <cfRule type="cellIs" dxfId="2" priority="60" operator="equal">
      <formula>"Below target"</formula>
    </cfRule>
    <cfRule type="cellIs" dxfId="2" priority="61" operator="equal">
      <formula>"Above target"</formula>
    </cfRule>
    <cfRule type="cellIs" dxfId="2" priority="62" operator="equal">
      <formula>"FAIL"</formula>
    </cfRule>
    <cfRule type="cellIs" dxfId="2" priority="63" operator="equal">
      <formula>"Over capacity"</formula>
    </cfRule>
    <cfRule type="cellIs" dxfId="2" priority="64" operator="equal">
      <formula>"Overdue"</formula>
    </cfRule>
    <cfRule type="cellIs" dxfId="2" priority="65" operator="equal">
      <formula>"Out of limits"</formula>
    </cfRule>
    <cfRule type="cellIs" dxfId="2" priority="66" operator="equal">
      <formula>"No"</formula>
    </cfRule>
  </conditionalFormatting>
  <conditionalFormatting sqref="P53:P56">
    <cfRule type="expression" dxfId="3" priority="41">
      <formula>$P53="OK"</formula>
    </cfRule>
    <cfRule type="expression" dxfId="1" priority="42">
      <formula>AND($P53&lt;&gt;"",$P53&lt;&gt;"OK")</formula>
    </cfRule>
  </conditionalFormatting>
  <hyperlinks>
    <hyperlink ref="Q2" r:id="rId1" tooltip="Free manufacturing calculators and templates"/>
  </hyperlinks>
  <printOptions horizontalCentered="1"/>
  <pageMargins left="0.4" right="0.4" top="0.7" bottom="0.65" header="0.3" footer="0.3"/>
  <pageSetup fitToHeight="0" orientation="landscape"/>
  <headerFooter>
    <oddHeader>&amp;L&amp;8MFG Calcs - Supplier Scorecard&amp;R&amp;8&amp;A</oddHeader>
    <oddFooter>&amp;L&amp;8mfgcalcs.com - free manufacturing templates&amp;R&amp;8Page &amp;P of &amp;N</oddFooter>
  </headerFooter>
  <rowBreaks count="1" manualBreakCount="1">
    <brk id="33" max="16383" man="1"/>
  </rowBreaks>
  <tableParts count="2">
    <tablePart r:id="rId2"/>
    <tablePart r:id="rId3"/>
  </tableParts>
  <extLst>
    <ext xmlns:x14="http://schemas.microsoft.com/office/spreadsheetml/2009/9/main" uri="{78C0D931-6437-407d-A8EE-F0AAD7539E65}">
      <x14:conditionalFormattings>
        <x14:conditionalFormatting xmlns:xm="http://schemas.microsoft.com/office/excel/2006/main">
          <x14:cfRule type="dataBar" id="{DA7ABA51-AAAA-BBBB-0006-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I60:I67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25</vt:i4>
      </vt:variant>
    </vt:vector>
  </HeadingPairs>
  <TitlesOfParts>
    <vt:vector size="31" baseType="lpstr">
      <vt:lpstr>Start Here</vt:lpstr>
      <vt:lpstr>Setup</vt:lpstr>
      <vt:lpstr>Monthly Log</vt:lpstr>
      <vt:lpstr>Dashboard</vt:lpstr>
      <vt:lpstr>Method</vt:lpstr>
      <vt:lpstr>Verify</vt:lpstr>
      <vt:lpstr>DashFrom</vt:lpstr>
      <vt:lpstr>DashSupplier</vt:lpstr>
      <vt:lpstr>DashTo</vt:lpstr>
      <vt:lpstr>KpiBelow</vt:lpstr>
      <vt:lpstr>KpiLowest</vt:lpstr>
      <vt:lpstr>KpiOTD</vt:lpstr>
      <vt:lpstr>KpiPPM</vt:lpstr>
      <vt:lpstr>MinScore</vt:lpstr>
      <vt:lpstr>PlantName</vt:lpstr>
      <vt:lpstr>PpmZero</vt:lpstr>
      <vt:lpstr>Dashboard!Print_Area</vt:lpstr>
      <vt:lpstr>Method!Print_Area</vt:lpstr>
      <vt:lpstr>'Monthly Log'!Print_Area</vt:lpstr>
      <vt:lpstr>Setup!Print_Area</vt:lpstr>
      <vt:lpstr>'Start Here'!Print_Area</vt:lpstr>
      <vt:lpstr>Verify!Print_Area</vt:lpstr>
      <vt:lpstr>Method!Print_Titles</vt:lpstr>
      <vt:lpstr>'Monthly Log'!Print_Titles</vt:lpstr>
      <vt:lpstr>SelfCheck</vt:lpstr>
      <vt:lpstr>SelfCheckSummary</vt:lpstr>
      <vt:lpstr>TargetOTD</vt:lpstr>
      <vt:lpstr>TargetPPM</vt:lpstr>
      <vt:lpstr>WeightD</vt:lpstr>
      <vt:lpstr>WeightQ</vt:lpstr>
      <vt:lpstr>WeightR</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Supplier Scorecard - free Excel template from MFG Calcs</dc:title>
  <dc:subject>Score every supplier each month on quality (PPM), on-time delivery and responsiveness, weighted your way, and rank them against your minimum.</dc:subject>
  <dc:creator>MFG Calcs</dc:creator>
  <cp:keywords>supplier scorecard, supplier performance, vendor rating, PPM, on-time delivery, OTD, supplier quality, purchasing KPI</cp:keywords>
  <dc:description>https://www.mfgcalcs.com/templates/supplier-scorecard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supplier-scorecard</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https://www.mfgcalcs.com/templates/supplier-scorecard</vt:lpwstr>
  </property>
  <property fmtid="{D5CDD505-2E9C-101B-9397-08002B2CF9AE}" pid="7" name="Template sheet roles">
    <vt:lpwstr>Start Here=start;Setup=setup;Monthly Log=work;Dashboard=dashboard;Method=method;Verify=verify</vt:lpwstr>
  </property>
</Properties>
</file>