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Takt Plan" sheetId="3" r:id="rId3"/>
    <sheet name="Dashboard" sheetId="4" r:id="rId4"/>
    <sheet name="Method" sheetId="5" r:id="rId5"/>
    <sheet name="Verify" sheetId="6" r:id="rId6"/>
  </sheets>
  <definedNames>
    <definedName name="BnCycle">Setup!$C$9</definedName>
    <definedName name="BnName">Setup!$C$8</definedName>
    <definedName name="Crew">Setup!$C$11</definedName>
    <definedName name="Currency">Setup!$C$20</definedName>
    <definedName name="KpiAvgTakt">Dashboard!$D$30</definedName>
    <definedName name="KpiDemand">Dashboard!$B$30</definedName>
    <definedName name="KpiMinTakt">Dashboard!$B$7</definedName>
    <definedName name="KpiOtCost">Dashboard!$J$30</definedName>
    <definedName name="KpiOtH">Dashboard!$G$7</definedName>
    <definedName name="KpiOver">Dashboard!$G$30</definedName>
    <definedName name="KpiPeakLoad">Dashboard!$D$7</definedName>
    <definedName name="KpiPeakOps">Dashboard!$J$7</definedName>
    <definedName name="LabourRate">Setup!$C$21</definedName>
    <definedName name="LineName">Setup!$C$6</definedName>
    <definedName name="NearAt">Setup!$C$15</definedName>
    <definedName name="OTPremium">Setup!$C$22</definedName>
    <definedName name="OverAt">Setup!$C$16</definedName>
    <definedName name="PlanName">Setup!$C$7</definedName>
    <definedName name="_xlnm.Print_Area" localSheetId="3">Dashboard!$A$1:$L$51</definedName>
    <definedName name="_xlnm.Print_Area" localSheetId="4">Method!$A$1:$D$60</definedName>
    <definedName name="_xlnm.Print_Area" localSheetId="1">Setup!$A$1:$E$24</definedName>
    <definedName name="_xlnm.Print_Area" localSheetId="0">'Start Here'!$A$1:$F$55</definedName>
    <definedName name="_xlnm.Print_Area" localSheetId="2">'Takt Plan'!$A$1:$T$18</definedName>
    <definedName name="_xlnm.Print_Area" localSheetId="5">Verify!$A$1:$T$62</definedName>
    <definedName name="_xlnm.Print_Titles" localSheetId="4">Method!$1:$2</definedName>
    <definedName name="_xlnm.Print_Titles" localSheetId="2">'Takt Plan'!$1:$6</definedName>
    <definedName name="SelfCheck">Verify!$D$4</definedName>
    <definedName name="SelfCheckSummary">Verify!$F$4</definedName>
    <definedName name="WorkContent">Setup!$C$10</definedName>
  </definedNames>
  <calcPr calcId="124519" fullCalcOnLoad="1"/>
</workbook>
</file>

<file path=xl/sharedStrings.xml><?xml version="1.0" encoding="utf-8"?>
<sst xmlns="http://schemas.openxmlformats.org/spreadsheetml/2006/main" count="383" uniqueCount="256">
  <si>
    <t>Takt Time Planner</t>
  </si>
  <si>
    <t>Read this first: what the workbook does and how to use it.</t>
  </si>
  <si>
    <t>mfgcalcs.com</t>
  </si>
  <si>
    <t>Work out takt time for every month or scenario, and see where the bottleneck falls behind, the overtime it needs and the crew the pace takes.</t>
  </si>
  <si>
    <t>For: Production and industrial engineers, line designers, planners and plant managers setting the pace of a line or cell.</t>
  </si>
  <si>
    <t>Version 1.0.0  ·  updated 15 October 2026</t>
  </si>
  <si>
    <t>Quick start</t>
  </si>
  <si>
    <t>1.</t>
  </si>
  <si>
    <t>On Setup, name the line and type the bottleneck cycle time, the total work content per unit and today's crew per shift; set the thresholds and, if you want the cost, the labour rate and overtime premium.</t>
  </si>
  <si>
    <t>2.</t>
  </si>
  <si>
    <t>On Takt Plan, add one row per month, week or scenario: working days, shifts per day, shift length, breaks and planned stops, and demand.</t>
  </si>
  <si>
    <t>3.</t>
  </si>
  <si>
    <t>Read takt time, the bottleneck load and status, the overtime needed and the operators needed on each row; fix anything the Check column flags.</t>
  </si>
  <si>
    <t>4.</t>
  </si>
  <si>
    <t>Open the Dashboard for the tightest period, the overtime over the plan and the charts; change shifts or days on a row to test a fix.</t>
  </si>
  <si>
    <t>What is in this workbook</t>
  </si>
  <si>
    <t>Start Here</t>
  </si>
  <si>
    <t>Setup</t>
  </si>
  <si>
    <t>Bottleneck cycle, work content and crew, the capacity thresholds and the overtime cost rates.</t>
  </si>
  <si>
    <t>Takt Plan</t>
  </si>
  <si>
    <t>One row per month, week or scenario: the time available and the demand, and what the pace means for the line.</t>
  </si>
  <si>
    <t>Dashboard</t>
  </si>
  <si>
    <t>Where the plan is tight: takt against the bottleneck, overtime and crew, period by period.</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</si>
  <si>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</si>
  <si>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</si>
  <si>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</si>
  <si>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</si>
  <si>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</si>
  <si>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</si>
  <si>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</si>
  <si>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</si>
  <si>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</si>
  <si>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</si>
  <si>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</si>
  <si>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</si>
  <si>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</si>
  <si>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</si>
  <si>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</si>
  <si>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</si>
  <si>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</si>
  <si>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</si>
  <si>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</si>
  <si>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</si>
  <si>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Takt Time Calculator on mfgcalcs.com</t>
  </si>
  <si>
    <t>Latest version</t>
  </si>
  <si>
    <t>mfgcalcs.com/templates/takt-time</t>
  </si>
  <si>
    <t>More free templates</t>
  </si>
  <si>
    <t>mfgcalcs.com/templates</t>
  </si>
  <si>
    <t>Version</t>
  </si>
  <si>
    <t>1.0.0 (updated 15 October 2026)</t>
  </si>
  <si>
    <t>About the example data</t>
  </si>
  <si>
    <t>Every number already in this workbook is example data for Alder Fans, a fictional business invented for this template, so the dashboard and charts show something meaningful on day one. It plans final assembly line A month by month for 2027: one 480-minute shift most months, two shifts in June and July, and a seasonal peak that leaves April and May over capacity and August near it.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</si>
  <si>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</si>
  <si>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</si>
  <si>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</si>
  <si>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</si>
  <si>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</si>
  <si>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</si>
  <si>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</si>
  <si>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</si>
  <si>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Line and product</t>
  </si>
  <si>
    <t>Line or cell name</t>
  </si>
  <si>
    <t>Alder Fans - final assembly line A (example)</t>
  </si>
  <si>
    <t>Plan</t>
  </si>
  <si>
    <t>2027 monthly plan</t>
  </si>
  <si>
    <t>Bottleneck station</t>
  </si>
  <si>
    <t>Motor run-in test</t>
  </si>
  <si>
    <t>Bottleneck cycle time</t>
  </si>
  <si>
    <t>s per unit</t>
  </si>
  <si>
    <t>Total work content</t>
  </si>
  <si>
    <t>Operators per shift today</t>
  </si>
  <si>
    <t>operators</t>
  </si>
  <si>
    <t>Capacity thresholds</t>
  </si>
  <si>
    <t>Near capacity from</t>
  </si>
  <si>
    <t>bottleneck load</t>
  </si>
  <si>
    <t>Over capacity above</t>
  </si>
  <si>
    <t>Overtime cost (an estimate)</t>
  </si>
  <si>
    <t>Currency label</t>
  </si>
  <si>
    <t>USD</t>
  </si>
  <si>
    <t>Labour cost per operator hour</t>
  </si>
  <si>
    <t>Overtime premium</t>
  </si>
  <si>
    <t>x normal rate</t>
  </si>
  <si>
    <t>Takt time = available time x 60 / demand. The bottleneck load compares the bottleneck cycle with takt: above 100% the line cannot make the demand in its shifts, and the plan shows the overtime it would need. The rates are examples; nothing here is an industry benchmark.</t>
  </si>
  <si>
    <t>Period</t>
  </si>
  <si>
    <t>Working days</t>
  </si>
  <si>
    <t>Shifts per day</t>
  </si>
  <si>
    <t>Shift length (min)</t>
  </si>
  <si>
    <t>Breaks and planned stops (min)</t>
  </si>
  <si>
    <t>Demand (units)</t>
  </si>
  <si>
    <t>Shifts</t>
  </si>
  <si>
    <t>Available time (min)</t>
  </si>
  <si>
    <t>Takt time (s/unit)</t>
  </si>
  <si>
    <t>Required rate (units/h)</t>
  </si>
  <si>
    <t>Bottleneck load (% of takt)</t>
  </si>
  <si>
    <t>Output at bottleneck pace (units)</t>
  </si>
  <si>
    <t>Surplus (units)</t>
  </si>
  <si>
    <t>Overtime needed (h)</t>
  </si>
  <si>
    <t>Overtime cost (est.)</t>
  </si>
  <si>
    <t>Operators needed per shift</t>
  </si>
  <si>
    <t>Status</t>
  </si>
  <si>
    <t>Check</t>
  </si>
  <si>
    <t>Notes</t>
  </si>
  <si>
    <t>Example plan for Alder Fans (fictional). Replace it with your own: select the example rows, right-click, Delete &gt; Table Rows. Yellow = you type; blue = calculated. Add a row for a what-if (another shift, Saturday working) and compare it with the base row.</t>
  </si>
  <si>
    <t>Jan</t>
  </si>
  <si>
    <t/>
  </si>
  <si>
    <t>Feb</t>
  </si>
  <si>
    <t>Mar</t>
  </si>
  <si>
    <t>Apr</t>
  </si>
  <si>
    <t>Easter Monday closed</t>
  </si>
  <si>
    <t>May</t>
  </si>
  <si>
    <t>Two bank holidays</t>
  </si>
  <si>
    <t>Jun</t>
  </si>
  <si>
    <t>Second shift for the summer peak</t>
  </si>
  <si>
    <t>Jul</t>
  </si>
  <si>
    <t>Aug</t>
  </si>
  <si>
    <t>Back to one shift</t>
  </si>
  <si>
    <t>Sep</t>
  </si>
  <si>
    <t>Oct</t>
  </si>
  <si>
    <t>Nov</t>
  </si>
  <si>
    <t>Dec</t>
  </si>
  <si>
    <t>Shutdown from 23 December</t>
  </si>
  <si>
    <t>OVERTIME NEEDED OVER THE PLAN  (h)</t>
  </si>
  <si>
    <t>PEAK OPERATORS NEEDED PER SHIFT</t>
  </si>
  <si>
    <t>The fastest pace the plan asks for</t>
  </si>
  <si>
    <t>At the bottleneck's pace, all periods</t>
  </si>
  <si>
    <t>DEMAND OVER THE PLAN  (units)</t>
  </si>
  <si>
    <t>AVERAGE TAKT OVER THE PLAN  (s)</t>
  </si>
  <si>
    <t>PERIODS OVER CAPACITY</t>
  </si>
  <si>
    <t>All periods</t>
  </si>
  <si>
    <t>Total available time x 60 / total demand</t>
  </si>
  <si>
    <t>Bottleneck slower than takt</t>
  </si>
  <si>
    <t>Overtime h x crew x rate x premium</t>
  </si>
  <si>
    <t>Plan by period (the first 12 rows of the Takt Plan)</t>
  </si>
  <si>
    <t>Takt time (s)</t>
  </si>
  <si>
    <t>Bottleneck cycle (s)</t>
  </si>
  <si>
    <t>Bottleneck load</t>
  </si>
  <si>
    <t>Overtime (h)</t>
  </si>
  <si>
    <t>Operators per shift</t>
  </si>
  <si>
    <t>Crew today</t>
  </si>
  <si>
    <t>The Dashboard shows the first 12 rows of the Takt Plan; the KPI tiles cover every row. If you plan more periods, extend the 'Plan by period' block (see Method).</t>
  </si>
  <si>
    <t>What this workbook calculates</t>
  </si>
  <si>
    <t>Takt time is the pace a line must hold to make customer demand in the time it has: available time divided by demand. It is set by the customer, not by the process. This workbook works it out for every period or scenario of a plan and puts it next to the line's bottleneck cycle (the slowest station's time per unit): when the bottleneck is slower than takt, the line cannot make the demand in its shifts and the plan shows the overtime needed. It also shows the crew the pace takes, from the total work content.</t>
  </si>
  <si>
    <t>Calculations</t>
  </si>
  <si>
    <t>Quantity</t>
  </si>
  <si>
    <t>How it is calculated</t>
  </si>
  <si>
    <t>Units</t>
  </si>
  <si>
    <t>Working days x shifts per day.</t>
  </si>
  <si>
    <t>shifts</t>
  </si>
  <si>
    <t>Available time</t>
  </si>
  <si>
    <t>(Shift length - breaks and planned stops) x shifts.</t>
  </si>
  <si>
    <t>min</t>
  </si>
  <si>
    <t>Takt time</t>
  </si>
  <si>
    <t>Available time x 60 / demand.</t>
  </si>
  <si>
    <t>Required rate</t>
  </si>
  <si>
    <t>Demand / (available time / 60).</t>
  </si>
  <si>
    <t>units per hour</t>
  </si>
  <si>
    <t>Bottleneck cycle time (Setup) / takt time.</t>
  </si>
  <si>
    <t>% of takt</t>
  </si>
  <si>
    <t>Output at bottleneck pace</t>
  </si>
  <si>
    <t>Available time x 60 / bottleneck cycle time: what the line makes in its shifts if it runs at the bottleneck's pace with no stops.</t>
  </si>
  <si>
    <t>units</t>
  </si>
  <si>
    <t>Surplus</t>
  </si>
  <si>
    <t>Output at bottleneck pace - demand (negative = short).</t>
  </si>
  <si>
    <t>Overtime needed</t>
  </si>
  <si>
    <t>MAX(0, demand x bottleneck cycle / 60 - available time) / 60.</t>
  </si>
  <si>
    <t>h</t>
  </si>
  <si>
    <t>Overtime needed x operators per shift today x labour cost per hour x overtime premium (Setup). An estimate in your currency; no exchange rate is applied.</t>
  </si>
  <si>
    <t>currency</t>
  </si>
  <si>
    <t>CEILING(total work content / takt time, 1): the fewest operators who can share the work at that pace.</t>
  </si>
  <si>
    <t>Under capacity below the Near-capacity threshold, Near capacity from it up to the Over-capacity threshold, Over capacity above it (bottleneck load).</t>
  </si>
  <si>
    <t>-</t>
  </si>
  <si>
    <t>Dashboard figures</t>
  </si>
  <si>
    <t>Shortest takt = MIN of takt; peak load = MAX of load; overtime and cost = SUM over the plan; average takt = total available time x 60 / total demand.</t>
  </si>
  <si>
    <t>Assumptions</t>
  </si>
  <si>
    <t>One product, or a mix whose demand and work content are expressed per average unit.</t>
  </si>
  <si>
    <t>The bottleneck cycle and work content are the same in every period; change them on Setup for a new routing.</t>
  </si>
  <si>
    <t>Available time is planned time: breaks, meetings, start-up checks and planned changeovers are taken out per shift, unplanned stops are not.</t>
  </si>
  <si>
    <t>One operator per station; operators needed is the theoretical minimum for a perfectly balanced line.</t>
  </si>
  <si>
    <t>Overtime is costed for today's crew working it at the overtime premium.</t>
  </si>
  <si>
    <t>Limitations</t>
  </si>
  <si>
    <t>Takt and the bottleneck check assume the line runs whenever it is planned to. Unplanned downtime and scrap need extra margin: an 85% available line effectively needs a takt about 15% longer than its bottleneck cycle. See the Throughput Analysis template.</t>
  </si>
  <si>
    <t>Operators needed rounds up the theoretical minimum; a real balance usually needs more (see the Line Balance template).</t>
  </si>
  <si>
    <t>Overtime is measured in line hours at the bottleneck's pace and assumes the overtime is actually available.</t>
  </si>
  <si>
    <t>The Dashboard has fixed blocks for 12 periods (a warning appears when the plan is longer); the KPI tiles cover every row.</t>
  </si>
  <si>
    <t>Agreement with the live calculator</t>
  </si>
  <si>
    <t>Each Takt Plan row is the live Takt Time calculator with Number of Shifts = working days x shifts per day: available time = (shift length - breaks and planned stops) x shifts; takt = available x 60 / demand; required rate = demand / (available / 60); bottleneck load = bottleneck cycle / takt; output = available x 60 / bottleneck cycle; overtime = MAX(0, demand x bottleneck cycle / 60 - available). The calculator gives overtime in minutes, the plan in hours. The build checks the reference against the calculator's engine for its own example (480 min shift, 45 min breaks, 1 shift, 950 units, 28 s bottleneck: takt 27.47 s, load 101.9%, 8.3 min overtime) and two monthly rows. Operators needed and the overtime cost are this workbook's additions.</t>
  </si>
  <si>
    <t>Open the Takt Time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</si>
  <si>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</si>
  <si>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</si>
  <si>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Rother and Shook, Learning to See (Lean Enterprise Institute): takt time as available working time / customer demand.</t>
  </si>
  <si>
    <t>Liker, The Toyota Way: takt, standardised work and staffing to takt.</t>
  </si>
  <si>
    <t>MFG Calcs Takt Time calculator (takt-time): available time, takt, required rate, bottleneck load, output, surplus and overtime.</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</si>
  <si>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</si>
  <si>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</si>
  <si>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</si>
  <si>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</si>
  <si>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</si>
  <si>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</si>
  <si>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</si>
  <si>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</si>
  <si>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</si>
  <si>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</si>
  <si>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</si>
  <si>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</si>
  <si>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</si>
  <si>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</si>
  <si>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</si>
  <si>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</si>
  <si>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available time</t>
  </si>
  <si>
    <t>Row 1 (calculator example): takt time</t>
  </si>
  <si>
    <t>Row 1 (calculator example): bottleneck load</t>
  </si>
  <si>
    <t>Row 1 (calculator example): overtime needed</t>
  </si>
  <si>
    <t>Row 1 (calculator example): operators needed</t>
  </si>
  <si>
    <t>Row 1 (calculator example): status</t>
  </si>
  <si>
    <t>Over capacity</t>
  </si>
  <si>
    <t>exact</t>
  </si>
  <si>
    <t>Row 2 (month, one shift): available time</t>
  </si>
  <si>
    <t>Row 2 (month, one shift): takt time</t>
  </si>
  <si>
    <t>Row 2 (month, one shift): bottleneck load</t>
  </si>
  <si>
    <t>Row 2 (month, one shift): overtime needed</t>
  </si>
  <si>
    <t>Row 2 (month, one shift): operators needed</t>
  </si>
  <si>
    <t>Row 2 (month, one shift): status</t>
  </si>
  <si>
    <t>Under capacity</t>
  </si>
  <si>
    <t>Row 3 (month, two shifts): available time</t>
  </si>
  <si>
    <t>Row 3 (month, two shifts): takt time</t>
  </si>
  <si>
    <t>Row 3 (month, two shifts): bottleneck load</t>
  </si>
  <si>
    <t>Row 3 (month, two shifts): overtime needed</t>
  </si>
  <si>
    <t>Row 3 (month, two shifts): operators needed</t>
  </si>
  <si>
    <t>Row 3 (month, two shifts): status</t>
  </si>
  <si>
    <t>Near capacity</t>
  </si>
  <si>
    <t>Row 1: required rate</t>
  </si>
  <si>
    <t>Row 1: output at bottleneck pace</t>
  </si>
  <si>
    <t>Row 1: surplus over demand</t>
  </si>
  <si>
    <t>Row 1: overtime cost (8.33 min x 6 x 30 x 1.5)</t>
  </si>
  <si>
    <t>Row 3: two shifts double the shifts</t>
  </si>
  <si>
    <t>Row 4: Check flags breaks longer than the shift</t>
  </si>
  <si>
    <t>Breaks &gt;= shift length</t>
  </si>
  <si>
    <t>Row 4: no takt when no time is available</t>
  </si>
  <si>
    <t>Plan: shortest takt (Dashboard formula)</t>
  </si>
  <si>
    <t>Plan: peak bottleneck load (Dashboard formula)</t>
  </si>
  <si>
    <t>Plan: overtime needed (Dashboard formula)</t>
  </si>
  <si>
    <t>Plan: overtime cost (Dashboard formula)</t>
  </si>
  <si>
    <t>Plan: peak operators needed (Dashboard formula)</t>
  </si>
  <si>
    <t>Plan: average takt, all rows (Dashboard formula)</t>
  </si>
  <si>
    <t>Plan: periods over capacity (Dashboard formula)</t>
  </si>
  <si>
    <t>Fixed test inputs</t>
  </si>
  <si>
    <t>White cells are fixed test inputs; blue cells are the workbook's formulas evaluated on them.</t>
  </si>
  <si>
    <t>Parameters</t>
  </si>
  <si>
    <t>Bottleneck cycle time (s per unit)</t>
  </si>
  <si>
    <t>Total work content (s per unit)</t>
  </si>
  <si>
    <t>Overtime premium (x)</t>
  </si>
  <si>
    <t>Test table: Plan</t>
  </si>
  <si>
    <t>Calculator example</t>
  </si>
  <si>
    <t>Month, one shift</t>
  </si>
  <si>
    <t>Month, two shifts</t>
  </si>
  <si>
    <t>Breaks too long</t>
  </si>
</sst>
</file>

<file path=xl/styles.xml><?xml version="1.0" encoding="utf-8"?>
<styleSheet xmlns="http://schemas.openxmlformats.org/spreadsheetml/2006/main">
  <numFmts count="11">
    <numFmt numFmtId="164" formatCode="#,##0.0"/>
    <numFmt numFmtId="165" formatCode="#,##0"/>
    <numFmt numFmtId="166" formatCode="0%"/>
    <numFmt numFmtId="167" formatCode="#,##0.00"/>
    <numFmt numFmtId="168" formatCode="0.0%"/>
    <numFmt numFmtId="169" formatCode="+#,##0;-#,##0;0"/>
    <numFmt numFmtId="170" formatCode="&quot;Limit &quot;0.0%"/>
    <numFmt numFmtId="171" formatCode="&quot;Crew &quot;#,##0"/>
    <numFmt numFmtId="172" formatCode="0.0E+00"/>
    <numFmt numFmtId="173" formatCode="0.0000"/>
    <numFmt numFmtId="174"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sz val="9"/>
      <color rgb="FF8A4A06"/>
      <name val="Calibri"/>
      <family val="2"/>
      <scheme val="minor"/>
    </font>
    <font>
      <i/>
      <sz val="9"/>
      <color rgb="FF6B7280"/>
      <name val="Calibri"/>
      <family val="2"/>
      <scheme val="minor"/>
    </font>
    <font>
      <b/>
      <sz val="10"/>
      <color rgb="FFFFFFFF"/>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0"/>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7" borderId="2" xfId="0" applyFont="1" applyFill="1" applyBorder="1" applyAlignment="1">
      <alignment vertical="center" wrapText="1"/>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18" fillId="0" borderId="0" xfId="0" applyFont="1" applyAlignment="1">
      <alignment vertical="center"/>
    </xf>
    <xf numFmtId="0" fontId="21"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0" fontId="22" fillId="9" borderId="7" xfId="0" applyFont="1" applyFill="1" applyBorder="1" applyAlignment="1">
      <alignment vertical="center"/>
    </xf>
    <xf numFmtId="170" fontId="22" fillId="9" borderId="7" xfId="0" applyNumberFormat="1" applyFont="1" applyFill="1" applyBorder="1" applyAlignment="1">
      <alignment horizontal="left" vertical="center"/>
    </xf>
    <xf numFmtId="171" fontId="22" fillId="9" borderId="7" xfId="0" applyNumberFormat="1" applyFont="1" applyFill="1" applyBorder="1" applyAlignment="1">
      <alignment horizontal="left" vertical="center"/>
    </xf>
    <xf numFmtId="0" fontId="21" fillId="9" borderId="8" xfId="0" applyFont="1" applyFill="1" applyBorder="1" applyAlignment="1">
      <alignment vertical="center"/>
    </xf>
    <xf numFmtId="0" fontId="23" fillId="0" borderId="0" xfId="0" applyFont="1" applyAlignment="1">
      <alignmen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164" fontId="10" fillId="0" borderId="9" xfId="0" applyNumberFormat="1" applyFont="1" applyBorder="1" applyAlignment="1">
      <alignment vertical="center"/>
    </xf>
    <xf numFmtId="165"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0" fontId="10" fillId="4" borderId="3" xfId="0" applyFont="1" applyFill="1" applyBorder="1" applyAlignment="1">
      <alignment vertical="center"/>
    </xf>
    <xf numFmtId="167" fontId="10" fillId="0" borderId="9" xfId="0" applyNumberFormat="1" applyFont="1" applyBorder="1" applyAlignment="1">
      <alignment vertical="center"/>
    </xf>
    <xf numFmtId="167" fontId="10" fillId="4" borderId="3" xfId="0" applyNumberFormat="1" applyFont="1" applyFill="1" applyBorder="1" applyAlignment="1">
      <alignment vertical="center"/>
    </xf>
    <xf numFmtId="166"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Takt time against the bottleneck cycle (s)</a:t>
            </a:r>
          </a:p>
        </c:rich>
      </c:tx>
      <c:layout/>
    </c:title>
    <c:plotArea>
      <c:layout/>
      <c:barChart>
        <c:barDir val="col"/>
        <c:grouping val="clustered"/>
        <c:ser>
          <c:idx val="0"/>
          <c:order val="0"/>
          <c:tx>
            <c:v>Takt time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Dashboard!$B$37:$B$48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Dashboard!$D$37:$D$48</c:f>
              <c:numCache>
                <c:formatCode>General</c:formatCode>
                <c:ptCount val="12"/>
                <c:pt idx="0">
                  <c:v>60</c:v>
                </c:pt>
                <c:pt idx="1">
                  <c:v>56.0869565217391</c:v>
                </c:pt>
                <c:pt idx="2">
                  <c:v>51.6</c:v>
                </c:pt>
                <c:pt idx="3">
                  <c:v>43</c:v>
                </c:pt>
                <c:pt idx="4">
                  <c:v>38.5074626865672</c:v>
                </c:pt>
                <c:pt idx="5">
                  <c:v>71.8481012658228</c:v>
                </c:pt>
                <c:pt idx="6">
                  <c:v>71.2894736842105</c:v>
                </c:pt>
                <c:pt idx="7">
                  <c:v>46.5245901639344</c:v>
                </c:pt>
                <c:pt idx="8">
                  <c:v>53.1176470588235</c:v>
                </c:pt>
                <c:pt idx="9">
                  <c:v>60.2</c:v>
                </c:pt>
                <c:pt idx="10">
                  <c:v>61.5681818181818</c:v>
                </c:pt>
                <c:pt idx="11">
                  <c:v>59.2702702702703</c:v>
                </c:pt>
              </c:numCache>
            </c:numRef>
          </c:val>
        </c:ser>
        <c:gapWidth val="60"/>
        <c:overlap val="-10"/>
        <c:axId val="50010001"/>
        <c:axId val="50010002"/>
      </c:barChart>
      <c:lineChart>
        <c:grouping val="standard"/>
        <c:ser>
          <c:idx val="1"/>
          <c:order val="1"/>
          <c:tx>
            <c:v>Bottleneck cycle</c:v>
          </c:tx>
          <c:spPr>
            <a:ln w="19050">
              <a:solidFill>
                <a:srgbClr val="B3000C"/>
              </a:solidFill>
              <a:prstDash val="dash"/>
            </a:ln>
          </c:spPr>
          <c:marker>
            <c:symbol val="none"/>
          </c:marker>
          <c:cat>
            <c:strRef>
              <c:f>Dashboard!$B$37:$B$48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Dashboard!$E$37:$E$48</c:f>
              <c:numCache>
                <c:formatCode>General</c:formatCode>
                <c:ptCount val="12"/>
                <c:pt idx="0">
                  <c:v>46</c:v>
                </c:pt>
                <c:pt idx="1">
                  <c:v>46</c:v>
                </c:pt>
                <c:pt idx="2">
                  <c:v>46</c:v>
                </c:pt>
                <c:pt idx="3">
                  <c:v>46</c:v>
                </c:pt>
                <c:pt idx="4">
                  <c:v>46</c:v>
                </c:pt>
                <c:pt idx="5">
                  <c:v>46</c:v>
                </c:pt>
                <c:pt idx="6">
                  <c:v>46</c:v>
                </c:pt>
                <c:pt idx="7">
                  <c:v>46</c:v>
                </c:pt>
                <c:pt idx="8">
                  <c:v>46</c:v>
                </c:pt>
                <c:pt idx="9">
                  <c:v>46</c:v>
                </c:pt>
                <c:pt idx="10">
                  <c:v>46</c:v>
                </c:pt>
                <c:pt idx="11">
                  <c:v>46</c:v>
                </c:pt>
              </c:numCache>
            </c:numRef>
          </c:val>
        </c:ser>
        <c:marker val="1"/>
        <c:axId val="50010001"/>
        <c:axId val="50010002"/>
      </c:line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Operators needed per shift</a:t>
            </a:r>
          </a:p>
        </c:rich>
      </c:tx>
      <c:layout/>
    </c:title>
    <c:plotArea>
      <c:layout/>
      <c:barChart>
        <c:barDir val="col"/>
        <c:grouping val="clustered"/>
        <c:ser>
          <c:idx val="0"/>
          <c:order val="0"/>
          <c:tx>
            <c:v>Operators needed</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Dashboard!$B$37:$B$48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Dashboard!$I$37:$I$48</c:f>
              <c:numCache>
                <c:formatCode>General</c:formatCode>
                <c:ptCount val="12"/>
                <c:pt idx="0">
                  <c:v>5</c:v>
                </c:pt>
                <c:pt idx="1">
                  <c:v>6</c:v>
                </c:pt>
                <c:pt idx="2">
                  <c:v>6</c:v>
                </c:pt>
                <c:pt idx="3">
                  <c:v>7</c:v>
                </c:pt>
                <c:pt idx="4">
                  <c:v>8</c:v>
                </c:pt>
                <c:pt idx="5">
                  <c:v>5</c:v>
                </c:pt>
                <c:pt idx="6">
                  <c:v>5</c:v>
                </c:pt>
                <c:pt idx="7">
                  <c:v>7</c:v>
                </c:pt>
                <c:pt idx="8">
                  <c:v>6</c:v>
                </c:pt>
                <c:pt idx="9">
                  <c:v>5</c:v>
                </c:pt>
                <c:pt idx="10">
                  <c:v>5</c:v>
                </c:pt>
                <c:pt idx="11">
                  <c:v>6</c:v>
                </c:pt>
              </c:numCache>
            </c:numRef>
          </c:val>
        </c:ser>
        <c:gapWidth val="60"/>
        <c:overlap val="-10"/>
        <c:axId val="50020001"/>
        <c:axId val="50020002"/>
      </c:barChart>
      <c:lineChart>
        <c:grouping val="standard"/>
        <c:ser>
          <c:idx val="1"/>
          <c:order val="1"/>
          <c:tx>
            <c:v>Crew today</c:v>
          </c:tx>
          <c:spPr>
            <a:ln w="19050">
              <a:solidFill>
                <a:srgbClr val="4A5361"/>
              </a:solidFill>
              <a:prstDash val="dash"/>
            </a:ln>
          </c:spPr>
          <c:marker>
            <c:symbol val="none"/>
          </c:marker>
          <c:cat>
            <c:strRef>
              <c:f>Dashboard!$B$37:$B$48</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Dashboard!$J$37:$J$48</c:f>
              <c:numCache>
                <c:formatCode>General</c:formatCode>
                <c:ptCount val="12"/>
                <c:pt idx="0">
                  <c:v>6</c:v>
                </c:pt>
                <c:pt idx="1">
                  <c:v>6</c:v>
                </c:pt>
                <c:pt idx="2">
                  <c:v>6</c:v>
                </c:pt>
                <c:pt idx="3">
                  <c:v>6</c:v>
                </c:pt>
                <c:pt idx="4">
                  <c:v>6</c:v>
                </c:pt>
                <c:pt idx="5">
                  <c:v>6</c:v>
                </c:pt>
                <c:pt idx="6">
                  <c:v>6</c:v>
                </c:pt>
                <c:pt idx="7">
                  <c:v>6</c:v>
                </c:pt>
                <c:pt idx="8">
                  <c:v>6</c:v>
                </c:pt>
                <c:pt idx="9">
                  <c:v>6</c:v>
                </c:pt>
                <c:pt idx="10">
                  <c:v>6</c:v>
                </c:pt>
                <c:pt idx="11">
                  <c:v>6</c:v>
                </c:pt>
              </c:numCache>
            </c:numRef>
          </c:val>
        </c:ser>
        <c:marker val="1"/>
        <c:axId val="50020001"/>
        <c:axId val="5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26</xdr:row>
      <xdr:rowOff>152400</xdr:rowOff>
    </xdr:to>
    <xdr:graphicFrame macro="">
      <xdr:nvGraphicFramePr>
        <xdr:cNvPr id="2" name="Chart 1" descr="Column chart of takt time in seconds for each period of the plan, with the bottleneck cycle time as a dashed red line: periods whose column is below the line are over capacity."/>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26</xdr:row>
      <xdr:rowOff>152400</xdr:rowOff>
    </xdr:to>
    <xdr:graphicFrame macro="">
      <xdr:nvGraphicFramePr>
        <xdr:cNvPr id="3" name="Chart 2" descr="Column chart of the operators needed per shift in each period of the plan, with today's crew per shift as a dashed grey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Plan" displayName="tblPlan" ref="B6:T18" totalsRowShown="0">
  <autoFilter ref="B6:T18"/>
  <tableColumns count="19">
    <tableColumn id="1" name="Period"/>
    <tableColumn id="2" name="Working days"/>
    <tableColumn id="3" name="Shifts per day"/>
    <tableColumn id="4" name="Shift length (min)"/>
    <tableColumn id="5" name="Breaks and planned stops (min)"/>
    <tableColumn id="6" name="Demand (units)"/>
    <tableColumn id="7" name="Shifts">
      <calculatedColumnFormula>IF(tblPlan[[#This Row],[Period]]="","",tblPlan[[#This Row],[Working days]]*tblPlan[[#This Row],[Shifts per day]])</calculatedColumnFormula>
    </tableColumn>
    <tableColumn id="8" name="Available time (min)">
      <calculatedColumnFormula>IF(tblPlan[[#This Row],[Period]]="","",(tblPlan[[#This Row],[Shift length (min)]]-tblPlan[[#This Row],[Breaks and planned stops (min)]])*tblPlan[[#This Row],[Shifts]])</calculatedColumnFormula>
    </tableColumn>
    <tableColumn id="9" name="Takt time (s/unit)">
      <calculatedColumnFormula>IF(tblPlan[[#This Row],[Period]]="","",IF(AND(tblPlan[[#This Row],[Available time (min)]]&gt;0,tblPlan[[#This Row],[Demand (units)]]&gt;0),tblPlan[[#This Row],[Available time (min)]]*60/tblPlan[[#This Row],[Demand (units)]],""))</calculatedColumnFormula>
    </tableColumn>
    <tableColumn id="10" name="Required rate (units/h)">
      <calculatedColumnFormula>IF(tblPlan[[#This Row],[Period]]="","",IF(AND(tblPlan[[#This Row],[Available time (min)]]&gt;0,tblPlan[[#This Row],[Demand (units)]]&gt;0),tblPlan[[#This Row],[Demand (units)]]/(tblPlan[[#This Row],[Available time (min)]]/60),""))</calculatedColumnFormula>
    </tableColumn>
    <tableColumn id="11" name="Bottleneck load (% of takt)">
      <calculatedColumnFormula>IF(tblPlan[[#This Row],[Period]]="","",IF(ISNUMBER(tblPlan[[#This Row],[Takt time (s/unit)]]),BnCycle/tblPlan[[#This Row],[Takt time (s/unit)]],""))</calculatedColumnFormula>
    </tableColumn>
    <tableColumn id="12" name="Output at bottleneck pace (units)">
      <calculatedColumnFormula>IF(tblPlan[[#This Row],[Period]]="","",IF(tblPlan[[#This Row],[Available time (min)]]&gt;0,tblPlan[[#This Row],[Available time (min)]]*60/BnCycle,""))</calculatedColumnFormula>
    </tableColumn>
    <tableColumn id="13" name="Surplus (units)">
      <calculatedColumnFormula>IF(tblPlan[[#This Row],[Period]]="","",IF(ISNUMBER(tblPlan[[#This Row],[Output at bottleneck pace (units)]]),tblPlan[[#This Row],[Output at bottleneck pace (units)]]-tblPlan[[#This Row],[Demand (units)]],""))</calculatedColumnFormula>
    </tableColumn>
    <tableColumn id="14" name="Overtime needed (h)">
      <calculatedColumnFormula>IF(tblPlan[[#This Row],[Period]]="","",IF(ISNUMBER(tblPlan[[#This Row],[Takt time (s/unit)]]),MAX(0,tblPlan[[#This Row],[Demand (units)]]*BnCycle/60-tblPlan[[#This Row],[Available time (min)]])/60,""))</calculatedColumnFormula>
    </tableColumn>
    <tableColumn id="15" name="Overtime cost (est.)">
      <calculatedColumnFormula>IF(tblPlan[[#This Row],[Period]]="","",IF(ISNUMBER(tblPlan[[#This Row],[Overtime needed (h)]]),tblPlan[[#This Row],[Overtime needed (h)]]*Crew*LabourRate*OTPremium,""))</calculatedColumnFormula>
    </tableColumn>
    <tableColumn id="16" name="Operators needed per shift">
      <calculatedColumnFormula>IF(tblPlan[[#This Row],[Period]]="","",IF(ISNUMBER(tblPlan[[#This Row],[Takt time (s/unit)]]),CEILING(WorkContent/tblPlan[[#This Row],[Takt time (s/unit)]],1),""))</calculatedColumnFormula>
    </tableColumn>
    <tableColumn id="17" name="Status">
      <calculatedColumnFormula>IF(tblPlan[[#This Row],[Period]]="","",IF(NOT(ISNUMBER(tblPlan[[#This Row],[Bottleneck load (% of takt)]])),"",IF(tblPlan[[#This Row],[Bottleneck load (% of takt)]]&gt;OverAt,"Over capacity",IF(tblPlan[[#This Row],[Bottleneck load (% of takt)]]&gt;=NearAt,"Near capacity","Under capacity"))))</calculatedColumnFormula>
    </tableColumn>
    <tableColumn id="18" name="Check">
      <calculatedColumnFormula>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calculatedColumnFormula>
    </tableColumn>
    <tableColumn id="19" name="Notes"/>
  </tableColumns>
  <tableStyleInfo name="TableStyleLight1" showFirstColumn="0" showLastColumn="0" showRowStripes="0" showColumnStripes="0"/>
</table>
</file>

<file path=xl/tables/table2.xml><?xml version="1.0" encoding="utf-8"?>
<table xmlns="http://schemas.openxmlformats.org/spreadsheetml/2006/main" id="2" name="tblVerifyPlan" displayName="tblVerifyPlan" ref="B58:T62" totalsRowShown="0">
  <tableColumns count="19">
    <tableColumn id="1" name="Period"/>
    <tableColumn id="2" name="Working days"/>
    <tableColumn id="3" name="Shifts per day"/>
    <tableColumn id="4" name="Shift length (min)"/>
    <tableColumn id="5" name="Breaks and planned stops (min)"/>
    <tableColumn id="6" name="Demand (units)"/>
    <tableColumn id="7" name="Shifts">
      <calculatedColumnFormula>IF(tblVerifyPlan[[#This Row],[Period]]="","",tblVerifyPlan[[#This Row],[Working days]]*tblVerifyPlan[[#This Row],[Shifts per day]])</calculatedColumnFormula>
    </tableColumn>
    <tableColumn id="8" name="Available time (min)">
      <calculatedColumnFormula>IF(tblVerifyPlan[[#This Row],[Period]]="","",(tblVerifyPlan[[#This Row],[Shift length (min)]]-tblVerifyPlan[[#This Row],[Breaks and planned stops (min)]])*tblVerifyPlan[[#This Row],[Shifts]])</calculatedColumnFormula>
    </tableColumn>
    <tableColumn id="9" name="Takt time (s/unit)">
      <calculatedColumnFormula>IF(tblVerifyPlan[[#This Row],[Period]]="","",IF(AND(tblVerifyPlan[[#This Row],[Available time (min)]]&gt;0,tblVerifyPlan[[#This Row],[Demand (units)]]&gt;0),tblVerifyPlan[[#This Row],[Available time (min)]]*60/tblVerifyPlan[[#This Row],[Demand (units)]],""))</calculatedColumnFormula>
    </tableColumn>
    <tableColumn id="10" name="Required rate (units/h)">
      <calculatedColumnFormula>IF(tblVerifyPlan[[#This Row],[Period]]="","",IF(AND(tblVerifyPlan[[#This Row],[Available time (min)]]&gt;0,tblVerifyPlan[[#This Row],[Demand (units)]]&gt;0),tblVerifyPlan[[#This Row],[Demand (units)]]/(tblVerifyPlan[[#This Row],[Available time (min)]]/60),""))</calculatedColumnFormula>
    </tableColumn>
    <tableColumn id="11" name="Bottleneck load (% of takt)">
      <calculatedColumnFormula>IF(tblVerifyPlan[[#This Row],[Period]]="","",IF(ISNUMBER(tblVerifyPlan[[#This Row],[Takt time (s/unit)]]),$E$48/tblVerifyPlan[[#This Row],[Takt time (s/unit)]],""))</calculatedColumnFormula>
    </tableColumn>
    <tableColumn id="12" name="Output at bottleneck pace (units)">
      <calculatedColumnFormula>IF(tblVerifyPlan[[#This Row],[Period]]="","",IF(tblVerifyPlan[[#This Row],[Available time (min)]]&gt;0,tblVerifyPlan[[#This Row],[Available time (min)]]*60/$E$48,""))</calculatedColumnFormula>
    </tableColumn>
    <tableColumn id="13" name="Surplus (units)">
      <calculatedColumnFormula>IF(tblVerifyPlan[[#This Row],[Period]]="","",IF(ISNUMBER(tblVerifyPlan[[#This Row],[Output at bottleneck pace (units)]]),tblVerifyPlan[[#This Row],[Output at bottleneck pace (units)]]-tblVerifyPlan[[#This Row],[Demand (units)]],""))</calculatedColumnFormula>
    </tableColumn>
    <tableColumn id="14" name="Overtime needed (h)">
      <calculatedColumnFormula>IF(tblVerifyPlan[[#This Row],[Period]]="","",IF(ISNUMBER(tblVerifyPlan[[#This Row],[Takt time (s/unit)]]),MAX(0,tblVerifyPlan[[#This Row],[Demand (units)]]*$E$48/60-tblVerifyPlan[[#This Row],[Available time (min)]])/60,""))</calculatedColumnFormula>
    </tableColumn>
    <tableColumn id="15" name="Overtime cost (est.)">
      <calculatedColumnFormula>IF(tblVerifyPlan[[#This Row],[Period]]="","",IF(ISNUMBER(tblVerifyPlan[[#This Row],[Overtime needed (h)]]),tblVerifyPlan[[#This Row],[Overtime needed (h)]]*$E$50*$E$51*$E$52,""))</calculatedColumnFormula>
    </tableColumn>
    <tableColumn id="16" name="Operators needed per shift">
      <calculatedColumnFormula>IF(tblVerifyPlan[[#This Row],[Period]]="","",IF(ISNUMBER(tblVerifyPlan[[#This Row],[Takt time (s/unit)]]),CEILING($E$49/tblVerifyPlan[[#This Row],[Takt time (s/unit)]],1),""))</calculatedColumnFormula>
    </tableColumn>
    <tableColumn id="17" name="Status">
      <calculatedColumnFormula>IF(tblVerifyPlan[[#This Row],[Period]]="","",IF(NOT(ISNUMBER(tblVerifyPlan[[#This Row],[Bottleneck load (% of takt)]])),"",IF(tblVerifyPlan[[#This Row],[Bottleneck load (% of takt)]]&gt;$E$54,"Over capacity",IF(tblVerifyPlan[[#This Row],[Bottleneck load (% of takt)]]&gt;=$E$53,"Near capacity","Under capacity"))))</calculatedColumnFormula>
    </tableColumn>
    <tableColumn id="18" name="Check">
      <calculatedColumnFormula>IF(tblVerifyPlan[[#This Row],[Period]]="","",IF(tblVerifyPlan[[#This Row],[Working days]]="","Missing working days",IF(tblVerifyPlan[[#This Row],[Shifts per day]]="","Missing shifts per day",IF(tblVerifyPlan[[#This Row],[Shift length (min)]]="","Missing shift length",IF(tblVerifyPlan[[#This Row],[Breaks and planned stops (min)]]="","Missing breaks and planned stops",IF(tblVerifyPlan[[#This Row],[Demand (units)]]="","Missing demand",IF(tblVerifyPlan[[#This Row],[Breaks and planned stops (min)]]&gt;=tblVerifyPlan[[#This Row],[Shift length (min)]],"Breaks &gt;= shift length",IF(tblVerifyPlan[[#This Row],[Working days]]*tblVerifyPlan[[#This Row],[Shifts per day]]=0,"No shifts in the period",IF(COUNTIF(tblVerifyPlan[Period],tblVerifyPlan[[#This Row],[Period]])&gt;1,"Duplicate period","OK")))))))))</calculatedColumnFormula>
    </tableColumn>
    <tableColumn id="19"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akt-time" TargetMode="External"/><Relationship Id="rId2" Type="http://schemas.openxmlformats.org/officeDocument/2006/relationships/hyperlink" Target="https://www.mfgcalcs.com/calculators/conveyors-production-lines/takt-time?utm_source=mfgcalcs-template&amp;utm_medium=xlsx&amp;utm_campaign=takt-time" TargetMode="External"/><Relationship Id="rId3" Type="http://schemas.openxmlformats.org/officeDocument/2006/relationships/hyperlink" Target="https://www.mfgcalcs.com/templates/takt-time?utm_source=mfgcalcs-template&amp;utm_medium=xlsx&amp;utm_campaign=takt-time" TargetMode="External"/><Relationship Id="rId4" Type="http://schemas.openxmlformats.org/officeDocument/2006/relationships/hyperlink" Target="https://www.mfgcalcs.com/templates?utm_source=mfgcalcs-template&amp;utm_medium=xlsx&amp;utm_campaign=takt-time"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akt-tim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akt-time" TargetMode="External"/><Relationship Id="rId2"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akt-time"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akt-time" TargetMode="External"/><Relationship Id="rId2" Type="http://schemas.openxmlformats.org/officeDocument/2006/relationships/hyperlink" Target="https://www.mfgcalcs.com/calculators/conveyors-production-lines/takt-time?utm_source=mfgcalcs-template&amp;utm_medium=xlsx&amp;utm_campaign=takt-tim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takt-time" TargetMode="External"/><Relationship Id="rId2"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32 of 32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Takt Plan'!A1" tooltip="Go to Takt Plan" display="Takt Plan"/>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Takt Time Planner&amp;R&amp;8&amp;A</oddHeader>
    <oddFooter>&amp;L&amp;8mfgcalcs.com - free manufacturing templates&amp;R&amp;8Page &amp;P of &amp;N</oddFooter>
  </headerFooter>
  <rowBreaks count="1" manualBreakCount="1">
    <brk id="25"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4"/>
  <sheetViews>
    <sheetView showGridLines="0" workbookViewId="0"/>
  </sheetViews>
  <sheetFormatPr defaultRowHeight="15"/>
  <cols>
    <col min="1" max="1" width="2.7109375" customWidth="1"/>
    <col min="2" max="2" width="34.7109375" customWidth="1"/>
    <col min="3" max="3" width="14.7109375" customWidth="1"/>
    <col min="4" max="4" width="40.7109375" customWidth="1"/>
  </cols>
  <sheetData>
    <row r="1" spans="1:5" ht="30" customHeight="1">
      <c r="A1" s="1" t="s">
        <v>0</v>
      </c>
      <c r="B1" s="1"/>
      <c r="C1" s="1"/>
      <c r="D1" s="1"/>
      <c r="E1" s="1"/>
    </row>
    <row r="2" spans="1:5" ht="32.4" customHeight="1">
      <c r="B2" s="2" t="s">
        <v>18</v>
      </c>
      <c r="C2" s="2"/>
      <c r="D2" s="3" t="s">
        <v>2</v>
      </c>
      <c r="E2" s="3"/>
    </row>
    <row r="3" spans="1:5" ht="6" customHeight="1"/>
    <row r="4" spans="1:5" ht="21" customHeight="1">
      <c r="B4" s="8" t="s">
        <v>60</v>
      </c>
      <c r="C4" s="8"/>
      <c r="D4" s="8"/>
    </row>
    <row r="5" spans="1:5" ht="5" customHeight="1"/>
    <row r="6" spans="1:5">
      <c r="B6" s="27" t="s">
        <v>61</v>
      </c>
      <c r="C6" s="28" t="s">
        <v>62</v>
      </c>
      <c r="D6" s="28"/>
    </row>
    <row r="7" spans="1:5">
      <c r="B7" s="27" t="s">
        <v>63</v>
      </c>
      <c r="C7" s="28" t="s">
        <v>64</v>
      </c>
      <c r="D7" s="28"/>
    </row>
    <row r="8" spans="1:5">
      <c r="B8" s="27" t="s">
        <v>65</v>
      </c>
      <c r="C8" s="28" t="s">
        <v>66</v>
      </c>
      <c r="D8" s="28"/>
    </row>
    <row r="9" spans="1:5">
      <c r="B9" s="27" t="s">
        <v>67</v>
      </c>
      <c r="C9" s="29">
        <v>46</v>
      </c>
      <c r="D9" s="7" t="s">
        <v>68</v>
      </c>
    </row>
    <row r="10" spans="1:5">
      <c r="B10" s="27" t="s">
        <v>69</v>
      </c>
      <c r="C10" s="29">
        <v>300</v>
      </c>
      <c r="D10" s="7" t="s">
        <v>68</v>
      </c>
    </row>
    <row r="11" spans="1:5">
      <c r="B11" s="27" t="s">
        <v>70</v>
      </c>
      <c r="C11" s="30">
        <v>6</v>
      </c>
      <c r="D11" s="7" t="s">
        <v>71</v>
      </c>
    </row>
    <row r="13" spans="1:5" ht="21" customHeight="1">
      <c r="B13" s="8" t="s">
        <v>72</v>
      </c>
      <c r="C13" s="8"/>
      <c r="D13" s="8"/>
    </row>
    <row r="14" spans="1:5" ht="5" customHeight="1"/>
    <row r="15" spans="1:5">
      <c r="B15" s="27" t="s">
        <v>73</v>
      </c>
      <c r="C15" s="31">
        <v>0.9</v>
      </c>
      <c r="D15" s="7" t="s">
        <v>74</v>
      </c>
    </row>
    <row r="16" spans="1:5">
      <c r="B16" s="27" t="s">
        <v>75</v>
      </c>
      <c r="C16" s="31">
        <v>1</v>
      </c>
      <c r="D16" s="7" t="s">
        <v>74</v>
      </c>
    </row>
    <row r="18" spans="2:4" ht="21" customHeight="1">
      <c r="B18" s="8" t="s">
        <v>76</v>
      </c>
      <c r="C18" s="8"/>
      <c r="D18" s="8"/>
    </row>
    <row r="19" spans="2:4" ht="5" customHeight="1"/>
    <row r="20" spans="2:4">
      <c r="B20" s="27" t="s">
        <v>77</v>
      </c>
      <c r="C20" s="28" t="s">
        <v>78</v>
      </c>
      <c r="D20" s="28"/>
    </row>
    <row r="21" spans="2:4">
      <c r="B21" s="27" t="s">
        <v>79</v>
      </c>
      <c r="C21" s="32">
        <v>32</v>
      </c>
      <c r="D21" s="7" t="str">
        <f>Currency&amp;" per hour"</f>
        <v>USD per hour</v>
      </c>
    </row>
    <row r="22" spans="2:4">
      <c r="B22" s="27" t="s">
        <v>80</v>
      </c>
      <c r="C22" s="32">
        <v>1.5</v>
      </c>
      <c r="D22" s="7" t="s">
        <v>81</v>
      </c>
    </row>
    <row r="24" spans="2:4" ht="48.6" customHeight="1">
      <c r="B24" s="25" t="s">
        <v>82</v>
      </c>
      <c r="C24" s="25"/>
      <c r="D24" s="25"/>
    </row>
  </sheetData>
  <mergeCells count="11">
    <mergeCell ref="A1:E1"/>
    <mergeCell ref="B2:C2"/>
    <mergeCell ref="D2:E2"/>
    <mergeCell ref="B4:D4"/>
    <mergeCell ref="C6:D6"/>
    <mergeCell ref="C7:D7"/>
    <mergeCell ref="C8:D8"/>
    <mergeCell ref="B13:D13"/>
    <mergeCell ref="B18:D18"/>
    <mergeCell ref="C20:D20"/>
    <mergeCell ref="B24:D24"/>
  </mergeCells>
  <dataValidations count="11">
    <dataValidation type="textLength" allowBlank="1" showInputMessage="1" showErrorMessage="1" errorTitle="Check this entry" error="Text up to 80 characters." promptTitle="Line or cell name" prompt="Shown on the Dashboard. Text up to 80 characters." sqref="C6">
      <formula1>0</formula1>
      <formula2>80</formula2>
    </dataValidation>
    <dataValidation type="textLength" allowBlank="1" showInputMessage="1" showErrorMessage="1" errorTitle="Check this entry" error="Text up to 60 characters." promptTitle="Plan" prompt="What the Takt Plan rows cover, e.g. 2027 monthly plan or Q3 scenarios. Shown on the Dashboard. Text up to 60 characters." sqref="C7">
      <formula1>0</formula1>
      <formula2>60</formula2>
    </dataValidation>
    <dataValidation type="textLength" allowBlank="1" showInputMessage="1" showErrorMessage="1" errorTitle="Check this entry" error="Text up to 60 characters." promptTitle="Bottleneck station" prompt="The station with the longest cycle: it limits the line. Text up to 60 characters." sqref="C8">
      <formula1>0</formula1>
      <formula2>60</formula2>
    </dataValidation>
    <dataValidation type="decimal" allowBlank="1" showInputMessage="1" showErrorMessage="1" errorTitle="Check this entry" error="Enter a number from 0.01 to 86,400." promptTitle="Bottleneck cycle time" prompt="The longest station cycle on the line, measured or standard. Every row's load and overtime use it. Enter a number from 0.01 to 86,400." sqref="C9">
      <formula1>0.01</formula1>
      <formula2>86400</formula2>
    </dataValidation>
    <dataValidation type="decimal" allowBlank="1" showInputMessage="1" showErrorMessage="1" errorTitle="Check this entry" error="Enter a number from 0.01 to 1,000,000." promptTitle="Total work content" prompt="Manual work for one unit added over every station (one operator per station). Operators needed = this / takt, rounded up. Enter a number from 0.01 to 1,000,000." sqref="C10">
      <formula1>0.01</formula1>
      <formula2>1000000</formula2>
    </dataValidation>
    <dataValidation type="whole" allowBlank="1" showInputMessage="1" showErrorMessage="1" errorTitle="Check this entry" error="Enter a whole number from 0 to 10,000." promptTitle="Operators per shift today" prompt="Today's crew on the line per shift; the Dashboard compares the operators each period needs with it. Enter a whole number from 0 to 10,000." sqref="C11">
      <formula1>0</formula1>
      <formula2>10000</formula2>
    </dataValidation>
    <dataValidation type="decimal" allowBlank="1" showInputMessage="1" showErrorMessage="1" errorTitle="Check this entry" error="Enter a percentage from 0% to 200% (type 85% or 0.85)." promptTitle="Near capacity from" prompt="From this load (bottleneck cycle / takt) a period has little slack. Your own threshold; 90% is the example's choice, not a standard. Enter a percentage from 0% to 200% (type 85% or 0.85)." sqref="C15">
      <formula1>0</formula1>
      <formula2>2</formula2>
    </dataValidation>
    <dataValidation type="decimal" allowBlank="1" showInputMessage="1" showErrorMessage="1" errorTitle="Check this entry" error="Enter a percentage from 0% to 300% (type 85% or 0.85)." promptTitle="Over capacity above" prompt="Above this load the bottleneck cannot keep pace with takt in the time available. Enter a percentage from 0% to 300% (type 85% or 0.85)." sqref="C16">
      <formula1>0</formula1>
      <formula2>3</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C20">
      <formula1>0</formula1>
      <formula2>12</formula2>
    </dataValidation>
    <dataValidation type="decimal" allowBlank="1" showInputMessage="1" showErrorMessage="1" errorTitle="Check this entry" error="Enter a number from 0 to 1,000,000." promptTitle="Labour cost per operator hour" prompt="Loaded cost of one operator hour at the normal rate. An example value: use your own. Enter a number from 0 to 1,000,000." sqref="C21">
      <formula1>0</formula1>
      <formula2>1000000.0</formula2>
    </dataValidation>
    <dataValidation type="decimal" allowBlank="1" showInputMessage="1" showErrorMessage="1" errorTitle="Check this entry" error="Enter a number from 1 to 5." promptTitle="Overtime premium" prompt="Multiplier for overtime hours, e.g. 1.5 for time and a half. Enter a number from 1 to 5." sqref="C22">
      <formula1>1</formula1>
      <formula2>5</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Takt Time Planner&amp;R&amp;8&amp;A</oddHeader>
    <oddFooter>&amp;L&amp;8mfgcalcs.com - free manufacturing templates&amp;R&amp;8Page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T18"/>
  <sheetViews>
    <sheetView workbookViewId="0">
      <pane xSplit="2" ySplit="6" topLeftCell="C7" activePane="bottomRight" state="frozen"/>
      <selection pane="topRight" activeCell="C1" sqref="C1"/>
      <selection pane="bottomLeft" activeCell="A7" sqref="A7"/>
      <selection pane="bottomRight"/>
    </sheetView>
  </sheetViews>
  <sheetFormatPr defaultRowHeight="15" x14ac:dyDescent="0.25"/>
  <cols>
    <col min="1" max="1" width="2.7109375" customWidth="1"/>
    <col min="2" max="2" width="11.7109375" customWidth="1"/>
    <col min="3" max="3" width="9.28515625" customWidth="1"/>
    <col min="4" max="4" width="8.7109375" customWidth="1"/>
    <col min="5" max="5" width="9.28515625" customWidth="1"/>
    <col min="6" max="6" width="10.7109375" customWidth="1"/>
    <col min="7" max="7" width="10.28515625" customWidth="1"/>
    <col min="8" max="8" width="8.28515625" customWidth="1"/>
    <col min="9" max="9" width="10.7109375" customWidth="1"/>
    <col min="10" max="10" width="9.7109375" customWidth="1"/>
    <col min="11" max="11" width="10.7109375" customWidth="1"/>
    <col min="12" max="12" width="11.28515625" customWidth="1"/>
    <col min="13" max="13" width="11.7109375" customWidth="1"/>
    <col min="14" max="15" width="10.28515625" customWidth="1"/>
    <col min="16" max="17" width="10.7109375" customWidth="1"/>
    <col min="18" max="18" width="13.7109375" customWidth="1"/>
    <col min="19" max="19" width="17.7109375" customWidth="1"/>
    <col min="20" max="20" width="26.7109375" customWidth="1"/>
  </cols>
  <sheetData>
    <row r="1" spans="1:20" ht="30" customHeight="1" x14ac:dyDescent="0.25">
      <c r="A1" s="1" t="s">
        <v>0</v>
      </c>
      <c r="B1" s="1"/>
      <c r="C1" s="1"/>
      <c r="D1" s="1"/>
      <c r="E1" s="1"/>
      <c r="F1" s="1"/>
      <c r="G1" s="1"/>
      <c r="H1" s="1"/>
      <c r="I1" s="1"/>
      <c r="J1" s="1"/>
      <c r="K1" s="1"/>
      <c r="L1" s="1"/>
      <c r="M1" s="1"/>
      <c r="N1" s="1"/>
      <c r="O1" s="1"/>
      <c r="P1" s="1"/>
      <c r="Q1" s="1"/>
      <c r="R1" s="1"/>
      <c r="S1" s="1"/>
      <c r="T1" s="1"/>
    </row>
    <row r="2" spans="1:20" ht="21" customHeight="1" x14ac:dyDescent="0.25">
      <c r="B2" s="2" t="s">
        <v>20</v>
      </c>
      <c r="C2" s="2"/>
      <c r="D2" s="2"/>
      <c r="E2" s="2"/>
      <c r="F2" s="2"/>
      <c r="G2" s="2"/>
      <c r="H2" s="2"/>
      <c r="I2" s="2"/>
      <c r="J2" s="2"/>
      <c r="K2" s="2"/>
      <c r="L2" s="2"/>
      <c r="M2" s="2"/>
      <c r="N2" s="2"/>
      <c r="O2" s="2"/>
      <c r="P2" s="2"/>
      <c r="Q2" s="2"/>
      <c r="R2" s="2"/>
      <c r="S2" s="2"/>
      <c r="T2" s="3" t="s">
        <v>2</v>
      </c>
    </row>
    <row r="3" spans="1:20" ht="6" customHeight="1" x14ac:dyDescent="0.25"/>
    <row r="4" spans="1:20" ht="29.76" customHeight="1" x14ac:dyDescent="0.25">
      <c r="B4" s="33" t="s">
        <v>102</v>
      </c>
      <c r="C4" s="33"/>
      <c r="D4" s="33"/>
      <c r="E4" s="33"/>
      <c r="F4" s="33"/>
      <c r="G4" s="33"/>
      <c r="H4" s="33"/>
      <c r="I4" s="33"/>
      <c r="J4" s="33"/>
      <c r="K4" s="33"/>
      <c r="L4" s="33"/>
      <c r="M4" s="33"/>
      <c r="N4" s="33"/>
      <c r="O4" s="33"/>
      <c r="P4" s="33"/>
      <c r="Q4" s="33"/>
      <c r="R4" s="33"/>
      <c r="S4" s="33"/>
      <c r="T4" s="33"/>
    </row>
    <row r="5" spans="1:20" ht="14" customHeight="1" x14ac:dyDescent="0.25">
      <c r="B5" s="34"/>
      <c r="C5" s="34"/>
      <c r="D5" s="34"/>
      <c r="E5" s="34"/>
      <c r="F5" s="34"/>
      <c r="G5" s="34"/>
      <c r="H5" s="34"/>
      <c r="I5" s="34"/>
      <c r="J5" s="34"/>
      <c r="K5" s="34"/>
      <c r="L5" s="34"/>
      <c r="M5" s="34"/>
      <c r="N5" s="34"/>
      <c r="O5" s="34"/>
      <c r="P5" s="34" t="str">
        <f>Currency</f>
        <v>USD</v>
      </c>
      <c r="Q5" s="34"/>
      <c r="R5" s="34"/>
      <c r="S5" s="34"/>
      <c r="T5" s="34"/>
    </row>
    <row r="6" spans="1:20" ht="45.5" customHeight="1" x14ac:dyDescent="0.25">
      <c r="B6" s="35" t="s">
        <v>83</v>
      </c>
      <c r="C6" s="35" t="s">
        <v>84</v>
      </c>
      <c r="D6" s="35" t="s">
        <v>85</v>
      </c>
      <c r="E6" s="35" t="s">
        <v>86</v>
      </c>
      <c r="F6" s="35" t="s">
        <v>87</v>
      </c>
      <c r="G6" s="35" t="s">
        <v>88</v>
      </c>
      <c r="H6" s="35" t="s">
        <v>89</v>
      </c>
      <c r="I6" s="35" t="s">
        <v>90</v>
      </c>
      <c r="J6" s="35" t="s">
        <v>91</v>
      </c>
      <c r="K6" s="35" t="s">
        <v>92</v>
      </c>
      <c r="L6" s="35" t="s">
        <v>93</v>
      </c>
      <c r="M6" s="35" t="s">
        <v>94</v>
      </c>
      <c r="N6" s="35" t="s">
        <v>95</v>
      </c>
      <c r="O6" s="35" t="s">
        <v>96</v>
      </c>
      <c r="P6" s="35" t="s">
        <v>97</v>
      </c>
      <c r="Q6" s="35" t="s">
        <v>98</v>
      </c>
      <c r="R6" s="35" t="s">
        <v>99</v>
      </c>
      <c r="S6" s="35" t="s">
        <v>100</v>
      </c>
      <c r="T6" s="35" t="s">
        <v>101</v>
      </c>
    </row>
    <row r="7" spans="1:20" x14ac:dyDescent="0.25">
      <c r="B7" s="28" t="s">
        <v>103</v>
      </c>
      <c r="C7" s="29">
        <v>20</v>
      </c>
      <c r="D7" s="29">
        <v>1</v>
      </c>
      <c r="E7" s="30">
        <v>480</v>
      </c>
      <c r="F7" s="30">
        <v>50</v>
      </c>
      <c r="G7" s="30">
        <v>8600</v>
      </c>
      <c r="H7" s="36">
        <f>IF(tblPlan[[#This Row],[Period]]="","",tblPlan[[#This Row],[Working days]]*tblPlan[[#This Row],[Shifts per day]])</f>
        <v>20</v>
      </c>
      <c r="I7" s="37">
        <f>IF(tblPlan[[#This Row],[Period]]="","",(tblPlan[[#This Row],[Shift length (min)]]-tblPlan[[#This Row],[Breaks and planned stops (min)]])*tblPlan[[#This Row],[Shifts]])</f>
        <v>8600</v>
      </c>
      <c r="J7" s="36">
        <f>IF(tblPlan[[#This Row],[Period]]="","",IF(AND(tblPlan[[#This Row],[Available time (min)]]&gt;0,tblPlan[[#This Row],[Demand (units)]]&gt;0),tblPlan[[#This Row],[Available time (min)]]*60/tblPlan[[#This Row],[Demand (units)]],""))</f>
        <v>60</v>
      </c>
      <c r="K7" s="36">
        <f>IF(tblPlan[[#This Row],[Period]]="","",IF(AND(tblPlan[[#This Row],[Available time (min)]]&gt;0,tblPlan[[#This Row],[Demand (units)]]&gt;0),tblPlan[[#This Row],[Demand (units)]]/(tblPlan[[#This Row],[Available time (min)]]/60),""))</f>
        <v>60</v>
      </c>
      <c r="L7" s="38">
        <f>IF(tblPlan[[#This Row],[Period]]="","",IF(ISNUMBER(tblPlan[[#This Row],[Takt time (s/unit)]]),BnCycle/tblPlan[[#This Row],[Takt time (s/unit)]],""))</f>
        <v>0.766666666666667</v>
      </c>
      <c r="M7" s="37">
        <f>IF(tblPlan[[#This Row],[Period]]="","",IF(tblPlan[[#This Row],[Available time (min)]]&gt;0,tblPlan[[#This Row],[Available time (min)]]*60/BnCycle,""))</f>
        <v>11217.3913043478</v>
      </c>
      <c r="N7" s="39">
        <f>IF(tblPlan[[#This Row],[Period]]="","",IF(ISNUMBER(tblPlan[[#This Row],[Output at bottleneck pace (units)]]),tblPlan[[#This Row],[Output at bottleneck pace (units)]]-tblPlan[[#This Row],[Demand (units)]],""))</f>
        <v>2617.39130434783</v>
      </c>
      <c r="O7" s="36">
        <f>IF(tblPlan[[#This Row],[Period]]="","",IF(ISNUMBER(tblPlan[[#This Row],[Takt time (s/unit)]]),MAX(0,tblPlan[[#This Row],[Demand (units)]]*BnCycle/60-tblPlan[[#This Row],[Available time (min)]])/60,""))</f>
        <v>0</v>
      </c>
      <c r="P7" s="37">
        <f>IF(tblPlan[[#This Row],[Period]]="","",IF(ISNUMBER(tblPlan[[#This Row],[Overtime needed (h)]]),tblPlan[[#This Row],[Overtime needed (h)]]*Crew*LabourRate*OTPremium,""))</f>
        <v>0</v>
      </c>
      <c r="Q7" s="37">
        <f>IF(tblPlan[[#This Row],[Period]]="","",IF(ISNUMBER(tblPlan[[#This Row],[Takt time (s/unit)]]),CEILING(WorkContent/tblPlan[[#This Row],[Takt time (s/unit)]],1),""))</f>
        <v>5</v>
      </c>
      <c r="R7" s="40" t="str">
        <f>IF(tblPlan[[#This Row],[Period]]="","",IF(NOT(ISNUMBER(tblPlan[[#This Row],[Bottleneck load (% of takt)]])),"",IF(tblPlan[[#This Row],[Bottleneck load (% of takt)]]&gt;OverAt,"Over capacity",IF(tblPlan[[#This Row],[Bottleneck load (% of takt)]]&gt;=NearAt,"Near capacity","Under capacity"))))</f>
        <v>Under capacity</v>
      </c>
      <c r="S7"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7" s="28" t="s">
        <v>104</v>
      </c>
    </row>
    <row r="8" spans="1:20" x14ac:dyDescent="0.25">
      <c r="B8" s="28" t="s">
        <v>105</v>
      </c>
      <c r="C8" s="29">
        <v>20</v>
      </c>
      <c r="D8" s="29">
        <v>1</v>
      </c>
      <c r="E8" s="30">
        <v>480</v>
      </c>
      <c r="F8" s="30">
        <v>50</v>
      </c>
      <c r="G8" s="30">
        <v>9200</v>
      </c>
      <c r="H8" s="36">
        <f>IF(tblPlan[[#This Row],[Period]]="","",tblPlan[[#This Row],[Working days]]*tblPlan[[#This Row],[Shifts per day]])</f>
        <v>20</v>
      </c>
      <c r="I8" s="37">
        <f>IF(tblPlan[[#This Row],[Period]]="","",(tblPlan[[#This Row],[Shift length (min)]]-tblPlan[[#This Row],[Breaks and planned stops (min)]])*tblPlan[[#This Row],[Shifts]])</f>
        <v>8600</v>
      </c>
      <c r="J8" s="36">
        <f>IF(tblPlan[[#This Row],[Period]]="","",IF(AND(tblPlan[[#This Row],[Available time (min)]]&gt;0,tblPlan[[#This Row],[Demand (units)]]&gt;0),tblPlan[[#This Row],[Available time (min)]]*60/tblPlan[[#This Row],[Demand (units)]],""))</f>
        <v>56.0869565217391</v>
      </c>
      <c r="K8" s="36">
        <f>IF(tblPlan[[#This Row],[Period]]="","",IF(AND(tblPlan[[#This Row],[Available time (min)]]&gt;0,tblPlan[[#This Row],[Demand (units)]]&gt;0),tblPlan[[#This Row],[Demand (units)]]/(tblPlan[[#This Row],[Available time (min)]]/60),""))</f>
        <v>64.1860465116279</v>
      </c>
      <c r="L8" s="38">
        <f>IF(tblPlan[[#This Row],[Period]]="","",IF(ISNUMBER(tblPlan[[#This Row],[Takt time (s/unit)]]),BnCycle/tblPlan[[#This Row],[Takt time (s/unit)]],""))</f>
        <v>0.82015503875969</v>
      </c>
      <c r="M8" s="37">
        <f>IF(tblPlan[[#This Row],[Period]]="","",IF(tblPlan[[#This Row],[Available time (min)]]&gt;0,tblPlan[[#This Row],[Available time (min)]]*60/BnCycle,""))</f>
        <v>11217.3913043478</v>
      </c>
      <c r="N8" s="39">
        <f>IF(tblPlan[[#This Row],[Period]]="","",IF(ISNUMBER(tblPlan[[#This Row],[Output at bottleneck pace (units)]]),tblPlan[[#This Row],[Output at bottleneck pace (units)]]-tblPlan[[#This Row],[Demand (units)]],""))</f>
        <v>2017.39130434783</v>
      </c>
      <c r="O8" s="36">
        <f>IF(tblPlan[[#This Row],[Period]]="","",IF(ISNUMBER(tblPlan[[#This Row],[Takt time (s/unit)]]),MAX(0,tblPlan[[#This Row],[Demand (units)]]*BnCycle/60-tblPlan[[#This Row],[Available time (min)]])/60,""))</f>
        <v>0</v>
      </c>
      <c r="P8" s="37">
        <f>IF(tblPlan[[#This Row],[Period]]="","",IF(ISNUMBER(tblPlan[[#This Row],[Overtime needed (h)]]),tblPlan[[#This Row],[Overtime needed (h)]]*Crew*LabourRate*OTPremium,""))</f>
        <v>0</v>
      </c>
      <c r="Q8" s="37">
        <f>IF(tblPlan[[#This Row],[Period]]="","",IF(ISNUMBER(tblPlan[[#This Row],[Takt time (s/unit)]]),CEILING(WorkContent/tblPlan[[#This Row],[Takt time (s/unit)]],1),""))</f>
        <v>6</v>
      </c>
      <c r="R8" s="40" t="str">
        <f>IF(tblPlan[[#This Row],[Period]]="","",IF(NOT(ISNUMBER(tblPlan[[#This Row],[Bottleneck load (% of takt)]])),"",IF(tblPlan[[#This Row],[Bottleneck load (% of takt)]]&gt;OverAt,"Over capacity",IF(tblPlan[[#This Row],[Bottleneck load (% of takt)]]&gt;=NearAt,"Near capacity","Under capacity"))))</f>
        <v>Under capacity</v>
      </c>
      <c r="S8"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8" s="28" t="s">
        <v>104</v>
      </c>
    </row>
    <row r="9" spans="1:20" x14ac:dyDescent="0.25">
      <c r="B9" s="28" t="s">
        <v>106</v>
      </c>
      <c r="C9" s="29">
        <v>22</v>
      </c>
      <c r="D9" s="29">
        <v>1</v>
      </c>
      <c r="E9" s="30">
        <v>480</v>
      </c>
      <c r="F9" s="30">
        <v>50</v>
      </c>
      <c r="G9" s="30">
        <v>11000</v>
      </c>
      <c r="H9" s="36">
        <f>IF(tblPlan[[#This Row],[Period]]="","",tblPlan[[#This Row],[Working days]]*tblPlan[[#This Row],[Shifts per day]])</f>
        <v>22</v>
      </c>
      <c r="I9" s="37">
        <f>IF(tblPlan[[#This Row],[Period]]="","",(tblPlan[[#This Row],[Shift length (min)]]-tblPlan[[#This Row],[Breaks and planned stops (min)]])*tblPlan[[#This Row],[Shifts]])</f>
        <v>9460</v>
      </c>
      <c r="J9" s="36">
        <f>IF(tblPlan[[#This Row],[Period]]="","",IF(AND(tblPlan[[#This Row],[Available time (min)]]&gt;0,tblPlan[[#This Row],[Demand (units)]]&gt;0),tblPlan[[#This Row],[Available time (min)]]*60/tblPlan[[#This Row],[Demand (units)]],""))</f>
        <v>51.6</v>
      </c>
      <c r="K9" s="36">
        <f>IF(tblPlan[[#This Row],[Period]]="","",IF(AND(tblPlan[[#This Row],[Available time (min)]]&gt;0,tblPlan[[#This Row],[Demand (units)]]&gt;0),tblPlan[[#This Row],[Demand (units)]]/(tblPlan[[#This Row],[Available time (min)]]/60),""))</f>
        <v>69.7674418604651</v>
      </c>
      <c r="L9" s="38">
        <f>IF(tblPlan[[#This Row],[Period]]="","",IF(ISNUMBER(tblPlan[[#This Row],[Takt time (s/unit)]]),BnCycle/tblPlan[[#This Row],[Takt time (s/unit)]],""))</f>
        <v>0.891472868217054</v>
      </c>
      <c r="M9" s="37">
        <f>IF(tblPlan[[#This Row],[Period]]="","",IF(tblPlan[[#This Row],[Available time (min)]]&gt;0,tblPlan[[#This Row],[Available time (min)]]*60/BnCycle,""))</f>
        <v>12339.1304347826</v>
      </c>
      <c r="N9" s="39">
        <f>IF(tblPlan[[#This Row],[Period]]="","",IF(ISNUMBER(tblPlan[[#This Row],[Output at bottleneck pace (units)]]),tblPlan[[#This Row],[Output at bottleneck pace (units)]]-tblPlan[[#This Row],[Demand (units)]],""))</f>
        <v>1339.13043478261</v>
      </c>
      <c r="O9" s="36">
        <f>IF(tblPlan[[#This Row],[Period]]="","",IF(ISNUMBER(tblPlan[[#This Row],[Takt time (s/unit)]]),MAX(0,tblPlan[[#This Row],[Demand (units)]]*BnCycle/60-tblPlan[[#This Row],[Available time (min)]])/60,""))</f>
        <v>0</v>
      </c>
      <c r="P9" s="37">
        <f>IF(tblPlan[[#This Row],[Period]]="","",IF(ISNUMBER(tblPlan[[#This Row],[Overtime needed (h)]]),tblPlan[[#This Row],[Overtime needed (h)]]*Crew*LabourRate*OTPremium,""))</f>
        <v>0</v>
      </c>
      <c r="Q9" s="37">
        <f>IF(tblPlan[[#This Row],[Period]]="","",IF(ISNUMBER(tblPlan[[#This Row],[Takt time (s/unit)]]),CEILING(WorkContent/tblPlan[[#This Row],[Takt time (s/unit)]],1),""))</f>
        <v>6</v>
      </c>
      <c r="R9" s="40" t="str">
        <f>IF(tblPlan[[#This Row],[Period]]="","",IF(NOT(ISNUMBER(tblPlan[[#This Row],[Bottleneck load (% of takt)]])),"",IF(tblPlan[[#This Row],[Bottleneck load (% of takt)]]&gt;OverAt,"Over capacity",IF(tblPlan[[#This Row],[Bottleneck load (% of takt)]]&gt;=NearAt,"Near capacity","Under capacity"))))</f>
        <v>Under capacity</v>
      </c>
      <c r="S9"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9" s="28" t="s">
        <v>104</v>
      </c>
    </row>
    <row r="10" spans="1:20" x14ac:dyDescent="0.25">
      <c r="B10" s="28" t="s">
        <v>107</v>
      </c>
      <c r="C10" s="29">
        <v>21</v>
      </c>
      <c r="D10" s="29">
        <v>1</v>
      </c>
      <c r="E10" s="30">
        <v>480</v>
      </c>
      <c r="F10" s="30">
        <v>50</v>
      </c>
      <c r="G10" s="30">
        <v>12600</v>
      </c>
      <c r="H10" s="36">
        <f>IF(tblPlan[[#This Row],[Period]]="","",tblPlan[[#This Row],[Working days]]*tblPlan[[#This Row],[Shifts per day]])</f>
        <v>21</v>
      </c>
      <c r="I10" s="37">
        <f>IF(tblPlan[[#This Row],[Period]]="","",(tblPlan[[#This Row],[Shift length (min)]]-tblPlan[[#This Row],[Breaks and planned stops (min)]])*tblPlan[[#This Row],[Shifts]])</f>
        <v>9030</v>
      </c>
      <c r="J10" s="36">
        <f>IF(tblPlan[[#This Row],[Period]]="","",IF(AND(tblPlan[[#This Row],[Available time (min)]]&gt;0,tblPlan[[#This Row],[Demand (units)]]&gt;0),tblPlan[[#This Row],[Available time (min)]]*60/tblPlan[[#This Row],[Demand (units)]],""))</f>
        <v>43</v>
      </c>
      <c r="K10" s="36">
        <f>IF(tblPlan[[#This Row],[Period]]="","",IF(AND(tblPlan[[#This Row],[Available time (min)]]&gt;0,tblPlan[[#This Row],[Demand (units)]]&gt;0),tblPlan[[#This Row],[Demand (units)]]/(tblPlan[[#This Row],[Available time (min)]]/60),""))</f>
        <v>83.7209302325582</v>
      </c>
      <c r="L10" s="38">
        <f>IF(tblPlan[[#This Row],[Period]]="","",IF(ISNUMBER(tblPlan[[#This Row],[Takt time (s/unit)]]),BnCycle/tblPlan[[#This Row],[Takt time (s/unit)]],""))</f>
        <v>1.06976744186047</v>
      </c>
      <c r="M10" s="37">
        <f>IF(tblPlan[[#This Row],[Period]]="","",IF(tblPlan[[#This Row],[Available time (min)]]&gt;0,tblPlan[[#This Row],[Available time (min)]]*60/BnCycle,""))</f>
        <v>11778.2608695652</v>
      </c>
      <c r="N10" s="39">
        <f>IF(tblPlan[[#This Row],[Period]]="","",IF(ISNUMBER(tblPlan[[#This Row],[Output at bottleneck pace (units)]]),tblPlan[[#This Row],[Output at bottleneck pace (units)]]-tblPlan[[#This Row],[Demand (units)]],""))</f>
        <v>-821.739130434782</v>
      </c>
      <c r="O10" s="36">
        <f>IF(tblPlan[[#This Row],[Period]]="","",IF(ISNUMBER(tblPlan[[#This Row],[Takt time (s/unit)]]),MAX(0,tblPlan[[#This Row],[Demand (units)]]*BnCycle/60-tblPlan[[#This Row],[Available time (min)]])/60,""))</f>
        <v>10.5</v>
      </c>
      <c r="P10" s="37">
        <f>IF(tblPlan[[#This Row],[Period]]="","",IF(ISNUMBER(tblPlan[[#This Row],[Overtime needed (h)]]),tblPlan[[#This Row],[Overtime needed (h)]]*Crew*LabourRate*OTPremium,""))</f>
        <v>3024</v>
      </c>
      <c r="Q10" s="37">
        <f>IF(tblPlan[[#This Row],[Period]]="","",IF(ISNUMBER(tblPlan[[#This Row],[Takt time (s/unit)]]),CEILING(WorkContent/tblPlan[[#This Row],[Takt time (s/unit)]],1),""))</f>
        <v>7</v>
      </c>
      <c r="R10" s="40" t="str">
        <f>IF(tblPlan[[#This Row],[Period]]="","",IF(NOT(ISNUMBER(tblPlan[[#This Row],[Bottleneck load (% of takt)]])),"",IF(tblPlan[[#This Row],[Bottleneck load (% of takt)]]&gt;OverAt,"Over capacity",IF(tblPlan[[#This Row],[Bottleneck load (% of takt)]]&gt;=NearAt,"Near capacity","Under capacity"))))</f>
        <v>Over capacity</v>
      </c>
      <c r="S10"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10" s="28" t="s">
        <v>108</v>
      </c>
    </row>
    <row r="11" spans="1:20" x14ac:dyDescent="0.25">
      <c r="B11" s="28" t="s">
        <v>109</v>
      </c>
      <c r="C11" s="29">
        <v>20</v>
      </c>
      <c r="D11" s="29">
        <v>1</v>
      </c>
      <c r="E11" s="30">
        <v>480</v>
      </c>
      <c r="F11" s="30">
        <v>50</v>
      </c>
      <c r="G11" s="30">
        <v>13400</v>
      </c>
      <c r="H11" s="36">
        <f>IF(tblPlan[[#This Row],[Period]]="","",tblPlan[[#This Row],[Working days]]*tblPlan[[#This Row],[Shifts per day]])</f>
        <v>20</v>
      </c>
      <c r="I11" s="37">
        <f>IF(tblPlan[[#This Row],[Period]]="","",(tblPlan[[#This Row],[Shift length (min)]]-tblPlan[[#This Row],[Breaks and planned stops (min)]])*tblPlan[[#This Row],[Shifts]])</f>
        <v>8600</v>
      </c>
      <c r="J11" s="36">
        <f>IF(tblPlan[[#This Row],[Period]]="","",IF(AND(tblPlan[[#This Row],[Available time (min)]]&gt;0,tblPlan[[#This Row],[Demand (units)]]&gt;0),tblPlan[[#This Row],[Available time (min)]]*60/tblPlan[[#This Row],[Demand (units)]],""))</f>
        <v>38.5074626865672</v>
      </c>
      <c r="K11" s="36">
        <f>IF(tblPlan[[#This Row],[Period]]="","",IF(AND(tblPlan[[#This Row],[Available time (min)]]&gt;0,tblPlan[[#This Row],[Demand (units)]]&gt;0),tblPlan[[#This Row],[Demand (units)]]/(tblPlan[[#This Row],[Available time (min)]]/60),""))</f>
        <v>93.4883720930232</v>
      </c>
      <c r="L11" s="38">
        <f>IF(tblPlan[[#This Row],[Period]]="","",IF(ISNUMBER(tblPlan[[#This Row],[Takt time (s/unit)]]),BnCycle/tblPlan[[#This Row],[Takt time (s/unit)]],""))</f>
        <v>1.19457364341085</v>
      </c>
      <c r="M11" s="37">
        <f>IF(tblPlan[[#This Row],[Period]]="","",IF(tblPlan[[#This Row],[Available time (min)]]&gt;0,tblPlan[[#This Row],[Available time (min)]]*60/BnCycle,""))</f>
        <v>11217.3913043478</v>
      </c>
      <c r="N11" s="39">
        <f>IF(tblPlan[[#This Row],[Period]]="","",IF(ISNUMBER(tblPlan[[#This Row],[Output at bottleneck pace (units)]]),tblPlan[[#This Row],[Output at bottleneck pace (units)]]-tblPlan[[#This Row],[Demand (units)]],""))</f>
        <v>-2182.60869565217</v>
      </c>
      <c r="O11" s="36">
        <f>IF(tblPlan[[#This Row],[Period]]="","",IF(ISNUMBER(tblPlan[[#This Row],[Takt time (s/unit)]]),MAX(0,tblPlan[[#This Row],[Demand (units)]]*BnCycle/60-tblPlan[[#This Row],[Available time (min)]])/60,""))</f>
        <v>27.8888888888889</v>
      </c>
      <c r="P11" s="37">
        <f>IF(tblPlan[[#This Row],[Period]]="","",IF(ISNUMBER(tblPlan[[#This Row],[Overtime needed (h)]]),tblPlan[[#This Row],[Overtime needed (h)]]*Crew*LabourRate*OTPremium,""))</f>
        <v>8032</v>
      </c>
      <c r="Q11" s="37">
        <f>IF(tblPlan[[#This Row],[Period]]="","",IF(ISNUMBER(tblPlan[[#This Row],[Takt time (s/unit)]]),CEILING(WorkContent/tblPlan[[#This Row],[Takt time (s/unit)]],1),""))</f>
        <v>8</v>
      </c>
      <c r="R11" s="40" t="str">
        <f>IF(tblPlan[[#This Row],[Period]]="","",IF(NOT(ISNUMBER(tblPlan[[#This Row],[Bottleneck load (% of takt)]])),"",IF(tblPlan[[#This Row],[Bottleneck load (% of takt)]]&gt;OverAt,"Over capacity",IF(tblPlan[[#This Row],[Bottleneck load (% of takt)]]&gt;=NearAt,"Near capacity","Under capacity"))))</f>
        <v>Over capacity</v>
      </c>
      <c r="S11"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11" s="28" t="s">
        <v>110</v>
      </c>
    </row>
    <row r="12" spans="1:20" x14ac:dyDescent="0.25">
      <c r="B12" s="28" t="s">
        <v>111</v>
      </c>
      <c r="C12" s="29">
        <v>22</v>
      </c>
      <c r="D12" s="29">
        <v>2</v>
      </c>
      <c r="E12" s="30">
        <v>480</v>
      </c>
      <c r="F12" s="30">
        <v>50</v>
      </c>
      <c r="G12" s="30">
        <v>15800</v>
      </c>
      <c r="H12" s="36">
        <f>IF(tblPlan[[#This Row],[Period]]="","",tblPlan[[#This Row],[Working days]]*tblPlan[[#This Row],[Shifts per day]])</f>
        <v>44</v>
      </c>
      <c r="I12" s="37">
        <f>IF(tblPlan[[#This Row],[Period]]="","",(tblPlan[[#This Row],[Shift length (min)]]-tblPlan[[#This Row],[Breaks and planned stops (min)]])*tblPlan[[#This Row],[Shifts]])</f>
        <v>18920</v>
      </c>
      <c r="J12" s="36">
        <f>IF(tblPlan[[#This Row],[Period]]="","",IF(AND(tblPlan[[#This Row],[Available time (min)]]&gt;0,tblPlan[[#This Row],[Demand (units)]]&gt;0),tblPlan[[#This Row],[Available time (min)]]*60/tblPlan[[#This Row],[Demand (units)]],""))</f>
        <v>71.8481012658228</v>
      </c>
      <c r="K12" s="36">
        <f>IF(tblPlan[[#This Row],[Period]]="","",IF(AND(tblPlan[[#This Row],[Available time (min)]]&gt;0,tblPlan[[#This Row],[Demand (units)]]&gt;0),tblPlan[[#This Row],[Demand (units)]]/(tblPlan[[#This Row],[Available time (min)]]/60),""))</f>
        <v>50.1057082452431</v>
      </c>
      <c r="L12" s="38">
        <f>IF(tblPlan[[#This Row],[Period]]="","",IF(ISNUMBER(tblPlan[[#This Row],[Takt time (s/unit)]]),BnCycle/tblPlan[[#This Row],[Takt time (s/unit)]],""))</f>
        <v>0.640239605355884</v>
      </c>
      <c r="M12" s="37">
        <f>IF(tblPlan[[#This Row],[Period]]="","",IF(tblPlan[[#This Row],[Available time (min)]]&gt;0,tblPlan[[#This Row],[Available time (min)]]*60/BnCycle,""))</f>
        <v>24678.2608695652</v>
      </c>
      <c r="N12" s="39">
        <f>IF(tblPlan[[#This Row],[Period]]="","",IF(ISNUMBER(tblPlan[[#This Row],[Output at bottleneck pace (units)]]),tblPlan[[#This Row],[Output at bottleneck pace (units)]]-tblPlan[[#This Row],[Demand (units)]],""))</f>
        <v>8878.26086956522</v>
      </c>
      <c r="O12" s="36">
        <f>IF(tblPlan[[#This Row],[Period]]="","",IF(ISNUMBER(tblPlan[[#This Row],[Takt time (s/unit)]]),MAX(0,tblPlan[[#This Row],[Demand (units)]]*BnCycle/60-tblPlan[[#This Row],[Available time (min)]])/60,""))</f>
        <v>0</v>
      </c>
      <c r="P12" s="37">
        <f>IF(tblPlan[[#This Row],[Period]]="","",IF(ISNUMBER(tblPlan[[#This Row],[Overtime needed (h)]]),tblPlan[[#This Row],[Overtime needed (h)]]*Crew*LabourRate*OTPremium,""))</f>
        <v>0</v>
      </c>
      <c r="Q12" s="37">
        <f>IF(tblPlan[[#This Row],[Period]]="","",IF(ISNUMBER(tblPlan[[#This Row],[Takt time (s/unit)]]),CEILING(WorkContent/tblPlan[[#This Row],[Takt time (s/unit)]],1),""))</f>
        <v>5</v>
      </c>
      <c r="R12" s="40" t="str">
        <f>IF(tblPlan[[#This Row],[Period]]="","",IF(NOT(ISNUMBER(tblPlan[[#This Row],[Bottleneck load (% of takt)]])),"",IF(tblPlan[[#This Row],[Bottleneck load (% of takt)]]&gt;OverAt,"Over capacity",IF(tblPlan[[#This Row],[Bottleneck load (% of takt)]]&gt;=NearAt,"Near capacity","Under capacity"))))</f>
        <v>Under capacity</v>
      </c>
      <c r="S12"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12" s="28" t="s">
        <v>112</v>
      </c>
    </row>
    <row r="13" spans="1:20" x14ac:dyDescent="0.25">
      <c r="B13" s="28" t="s">
        <v>113</v>
      </c>
      <c r="C13" s="29">
        <v>21</v>
      </c>
      <c r="D13" s="29">
        <v>2</v>
      </c>
      <c r="E13" s="30">
        <v>480</v>
      </c>
      <c r="F13" s="30">
        <v>50</v>
      </c>
      <c r="G13" s="30">
        <v>15200</v>
      </c>
      <c r="H13" s="36">
        <f>IF(tblPlan[[#This Row],[Period]]="","",tblPlan[[#This Row],[Working days]]*tblPlan[[#This Row],[Shifts per day]])</f>
        <v>42</v>
      </c>
      <c r="I13" s="37">
        <f>IF(tblPlan[[#This Row],[Period]]="","",(tblPlan[[#This Row],[Shift length (min)]]-tblPlan[[#This Row],[Breaks and planned stops (min)]])*tblPlan[[#This Row],[Shifts]])</f>
        <v>18060</v>
      </c>
      <c r="J13" s="36">
        <f>IF(tblPlan[[#This Row],[Period]]="","",IF(AND(tblPlan[[#This Row],[Available time (min)]]&gt;0,tblPlan[[#This Row],[Demand (units)]]&gt;0),tblPlan[[#This Row],[Available time (min)]]*60/tblPlan[[#This Row],[Demand (units)]],""))</f>
        <v>71.2894736842105</v>
      </c>
      <c r="K13" s="36">
        <f>IF(tblPlan[[#This Row],[Period]]="","",IF(AND(tblPlan[[#This Row],[Available time (min)]]&gt;0,tblPlan[[#This Row],[Demand (units)]]&gt;0),tblPlan[[#This Row],[Demand (units)]]/(tblPlan[[#This Row],[Available time (min)]]/60),""))</f>
        <v>50.4983388704319</v>
      </c>
      <c r="L13" s="38">
        <f>IF(tblPlan[[#This Row],[Period]]="","",IF(ISNUMBER(tblPlan[[#This Row],[Takt time (s/unit)]]),BnCycle/tblPlan[[#This Row],[Takt time (s/unit)]],""))</f>
        <v>0.645256552233297</v>
      </c>
      <c r="M13" s="37">
        <f>IF(tblPlan[[#This Row],[Period]]="","",IF(tblPlan[[#This Row],[Available time (min)]]&gt;0,tblPlan[[#This Row],[Available time (min)]]*60/BnCycle,""))</f>
        <v>23556.5217391304</v>
      </c>
      <c r="N13" s="39">
        <f>IF(tblPlan[[#This Row],[Period]]="","",IF(ISNUMBER(tblPlan[[#This Row],[Output at bottleneck pace (units)]]),tblPlan[[#This Row],[Output at bottleneck pace (units)]]-tblPlan[[#This Row],[Demand (units)]],""))</f>
        <v>8356.52173913044</v>
      </c>
      <c r="O13" s="36">
        <f>IF(tblPlan[[#This Row],[Period]]="","",IF(ISNUMBER(tblPlan[[#This Row],[Takt time (s/unit)]]),MAX(0,tblPlan[[#This Row],[Demand (units)]]*BnCycle/60-tblPlan[[#This Row],[Available time (min)]])/60,""))</f>
        <v>0</v>
      </c>
      <c r="P13" s="37">
        <f>IF(tblPlan[[#This Row],[Period]]="","",IF(ISNUMBER(tblPlan[[#This Row],[Overtime needed (h)]]),tblPlan[[#This Row],[Overtime needed (h)]]*Crew*LabourRate*OTPremium,""))</f>
        <v>0</v>
      </c>
      <c r="Q13" s="37">
        <f>IF(tblPlan[[#This Row],[Period]]="","",IF(ISNUMBER(tblPlan[[#This Row],[Takt time (s/unit)]]),CEILING(WorkContent/tblPlan[[#This Row],[Takt time (s/unit)]],1),""))</f>
        <v>5</v>
      </c>
      <c r="R13" s="40" t="str">
        <f>IF(tblPlan[[#This Row],[Period]]="","",IF(NOT(ISNUMBER(tblPlan[[#This Row],[Bottleneck load (% of takt)]])),"",IF(tblPlan[[#This Row],[Bottleneck load (% of takt)]]&gt;OverAt,"Over capacity",IF(tblPlan[[#This Row],[Bottleneck load (% of takt)]]&gt;=NearAt,"Near capacity","Under capacity"))))</f>
        <v>Under capacity</v>
      </c>
      <c r="S13"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13" s="28" t="s">
        <v>112</v>
      </c>
    </row>
    <row r="14" spans="1:20" x14ac:dyDescent="0.25">
      <c r="B14" s="28" t="s">
        <v>114</v>
      </c>
      <c r="C14" s="29">
        <v>22</v>
      </c>
      <c r="D14" s="29">
        <v>1</v>
      </c>
      <c r="E14" s="30">
        <v>480</v>
      </c>
      <c r="F14" s="30">
        <v>50</v>
      </c>
      <c r="G14" s="30">
        <v>12200</v>
      </c>
      <c r="H14" s="36">
        <f>IF(tblPlan[[#This Row],[Period]]="","",tblPlan[[#This Row],[Working days]]*tblPlan[[#This Row],[Shifts per day]])</f>
        <v>22</v>
      </c>
      <c r="I14" s="37">
        <f>IF(tblPlan[[#This Row],[Period]]="","",(tblPlan[[#This Row],[Shift length (min)]]-tblPlan[[#This Row],[Breaks and planned stops (min)]])*tblPlan[[#This Row],[Shifts]])</f>
        <v>9460</v>
      </c>
      <c r="J14" s="36">
        <f>IF(tblPlan[[#This Row],[Period]]="","",IF(AND(tblPlan[[#This Row],[Available time (min)]]&gt;0,tblPlan[[#This Row],[Demand (units)]]&gt;0),tblPlan[[#This Row],[Available time (min)]]*60/tblPlan[[#This Row],[Demand (units)]],""))</f>
        <v>46.5245901639344</v>
      </c>
      <c r="K14" s="36">
        <f>IF(tblPlan[[#This Row],[Period]]="","",IF(AND(tblPlan[[#This Row],[Available time (min)]]&gt;0,tblPlan[[#This Row],[Demand (units)]]&gt;0),tblPlan[[#This Row],[Demand (units)]]/(tblPlan[[#This Row],[Available time (min)]]/60),""))</f>
        <v>77.3784355179704</v>
      </c>
      <c r="L14" s="38">
        <f>IF(tblPlan[[#This Row],[Period]]="","",IF(ISNUMBER(tblPlan[[#This Row],[Takt time (s/unit)]]),BnCycle/tblPlan[[#This Row],[Takt time (s/unit)]],""))</f>
        <v>0.988724453840733</v>
      </c>
      <c r="M14" s="37">
        <f>IF(tblPlan[[#This Row],[Period]]="","",IF(tblPlan[[#This Row],[Available time (min)]]&gt;0,tblPlan[[#This Row],[Available time (min)]]*60/BnCycle,""))</f>
        <v>12339.1304347826</v>
      </c>
      <c r="N14" s="39">
        <f>IF(tblPlan[[#This Row],[Period]]="","",IF(ISNUMBER(tblPlan[[#This Row],[Output at bottleneck pace (units)]]),tblPlan[[#This Row],[Output at bottleneck pace (units)]]-tblPlan[[#This Row],[Demand (units)]],""))</f>
        <v>139.130434782608</v>
      </c>
      <c r="O14" s="36">
        <f>IF(tblPlan[[#This Row],[Period]]="","",IF(ISNUMBER(tblPlan[[#This Row],[Takt time (s/unit)]]),MAX(0,tblPlan[[#This Row],[Demand (units)]]*BnCycle/60-tblPlan[[#This Row],[Available time (min)]])/60,""))</f>
        <v>0</v>
      </c>
      <c r="P14" s="37">
        <f>IF(tblPlan[[#This Row],[Period]]="","",IF(ISNUMBER(tblPlan[[#This Row],[Overtime needed (h)]]),tblPlan[[#This Row],[Overtime needed (h)]]*Crew*LabourRate*OTPremium,""))</f>
        <v>0</v>
      </c>
      <c r="Q14" s="37">
        <f>IF(tblPlan[[#This Row],[Period]]="","",IF(ISNUMBER(tblPlan[[#This Row],[Takt time (s/unit)]]),CEILING(WorkContent/tblPlan[[#This Row],[Takt time (s/unit)]],1),""))</f>
        <v>7</v>
      </c>
      <c r="R14" s="40" t="str">
        <f>IF(tblPlan[[#This Row],[Period]]="","",IF(NOT(ISNUMBER(tblPlan[[#This Row],[Bottleneck load (% of takt)]])),"",IF(tblPlan[[#This Row],[Bottleneck load (% of takt)]]&gt;OverAt,"Over capacity",IF(tblPlan[[#This Row],[Bottleneck load (% of takt)]]&gt;=NearAt,"Near capacity","Under capacity"))))</f>
        <v>Near capacity</v>
      </c>
      <c r="S14"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14" s="28" t="s">
        <v>115</v>
      </c>
    </row>
    <row r="15" spans="1:20" x14ac:dyDescent="0.25">
      <c r="B15" s="28" t="s">
        <v>116</v>
      </c>
      <c r="C15" s="29">
        <v>21</v>
      </c>
      <c r="D15" s="29">
        <v>1</v>
      </c>
      <c r="E15" s="30">
        <v>480</v>
      </c>
      <c r="F15" s="30">
        <v>50</v>
      </c>
      <c r="G15" s="30">
        <v>10200</v>
      </c>
      <c r="H15" s="36">
        <f>IF(tblPlan[[#This Row],[Period]]="","",tblPlan[[#This Row],[Working days]]*tblPlan[[#This Row],[Shifts per day]])</f>
        <v>21</v>
      </c>
      <c r="I15" s="37">
        <f>IF(tblPlan[[#This Row],[Period]]="","",(tblPlan[[#This Row],[Shift length (min)]]-tblPlan[[#This Row],[Breaks and planned stops (min)]])*tblPlan[[#This Row],[Shifts]])</f>
        <v>9030</v>
      </c>
      <c r="J15" s="36">
        <f>IF(tblPlan[[#This Row],[Period]]="","",IF(AND(tblPlan[[#This Row],[Available time (min)]]&gt;0,tblPlan[[#This Row],[Demand (units)]]&gt;0),tblPlan[[#This Row],[Available time (min)]]*60/tblPlan[[#This Row],[Demand (units)]],""))</f>
        <v>53.1176470588235</v>
      </c>
      <c r="K15" s="36">
        <f>IF(tblPlan[[#This Row],[Period]]="","",IF(AND(tblPlan[[#This Row],[Available time (min)]]&gt;0,tblPlan[[#This Row],[Demand (units)]]&gt;0),tblPlan[[#This Row],[Demand (units)]]/(tblPlan[[#This Row],[Available time (min)]]/60),""))</f>
        <v>67.7740863787375</v>
      </c>
      <c r="L15" s="38">
        <f>IF(tblPlan[[#This Row],[Period]]="","",IF(ISNUMBER(tblPlan[[#This Row],[Takt time (s/unit)]]),BnCycle/tblPlan[[#This Row],[Takt time (s/unit)]],""))</f>
        <v>0.866002214839424</v>
      </c>
      <c r="M15" s="37">
        <f>IF(tblPlan[[#This Row],[Period]]="","",IF(tblPlan[[#This Row],[Available time (min)]]&gt;0,tblPlan[[#This Row],[Available time (min)]]*60/BnCycle,""))</f>
        <v>11778.2608695652</v>
      </c>
      <c r="N15" s="39">
        <f>IF(tblPlan[[#This Row],[Period]]="","",IF(ISNUMBER(tblPlan[[#This Row],[Output at bottleneck pace (units)]]),tblPlan[[#This Row],[Output at bottleneck pace (units)]]-tblPlan[[#This Row],[Demand (units)]],""))</f>
        <v>1578.26086956522</v>
      </c>
      <c r="O15" s="36">
        <f>IF(tblPlan[[#This Row],[Period]]="","",IF(ISNUMBER(tblPlan[[#This Row],[Takt time (s/unit)]]),MAX(0,tblPlan[[#This Row],[Demand (units)]]*BnCycle/60-tblPlan[[#This Row],[Available time (min)]])/60,""))</f>
        <v>0</v>
      </c>
      <c r="P15" s="37">
        <f>IF(tblPlan[[#This Row],[Period]]="","",IF(ISNUMBER(tblPlan[[#This Row],[Overtime needed (h)]]),tblPlan[[#This Row],[Overtime needed (h)]]*Crew*LabourRate*OTPremium,""))</f>
        <v>0</v>
      </c>
      <c r="Q15" s="37">
        <f>IF(tblPlan[[#This Row],[Period]]="","",IF(ISNUMBER(tblPlan[[#This Row],[Takt time (s/unit)]]),CEILING(WorkContent/tblPlan[[#This Row],[Takt time (s/unit)]],1),""))</f>
        <v>6</v>
      </c>
      <c r="R15" s="40" t="str">
        <f>IF(tblPlan[[#This Row],[Period]]="","",IF(NOT(ISNUMBER(tblPlan[[#This Row],[Bottleneck load (% of takt)]])),"",IF(tblPlan[[#This Row],[Bottleneck load (% of takt)]]&gt;OverAt,"Over capacity",IF(tblPlan[[#This Row],[Bottleneck load (% of takt)]]&gt;=NearAt,"Near capacity","Under capacity"))))</f>
        <v>Under capacity</v>
      </c>
      <c r="S15"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15" s="28" t="s">
        <v>104</v>
      </c>
    </row>
    <row r="16" spans="1:20" x14ac:dyDescent="0.25">
      <c r="B16" s="28" t="s">
        <v>117</v>
      </c>
      <c r="C16" s="29">
        <v>21</v>
      </c>
      <c r="D16" s="29">
        <v>1</v>
      </c>
      <c r="E16" s="30">
        <v>480</v>
      </c>
      <c r="F16" s="30">
        <v>50</v>
      </c>
      <c r="G16" s="30">
        <v>9000</v>
      </c>
      <c r="H16" s="36">
        <f>IF(tblPlan[[#This Row],[Period]]="","",tblPlan[[#This Row],[Working days]]*tblPlan[[#This Row],[Shifts per day]])</f>
        <v>21</v>
      </c>
      <c r="I16" s="37">
        <f>IF(tblPlan[[#This Row],[Period]]="","",(tblPlan[[#This Row],[Shift length (min)]]-tblPlan[[#This Row],[Breaks and planned stops (min)]])*tblPlan[[#This Row],[Shifts]])</f>
        <v>9030</v>
      </c>
      <c r="J16" s="36">
        <f>IF(tblPlan[[#This Row],[Period]]="","",IF(AND(tblPlan[[#This Row],[Available time (min)]]&gt;0,tblPlan[[#This Row],[Demand (units)]]&gt;0),tblPlan[[#This Row],[Available time (min)]]*60/tblPlan[[#This Row],[Demand (units)]],""))</f>
        <v>60.2</v>
      </c>
      <c r="K16" s="36">
        <f>IF(tblPlan[[#This Row],[Period]]="","",IF(AND(tblPlan[[#This Row],[Available time (min)]]&gt;0,tblPlan[[#This Row],[Demand (units)]]&gt;0),tblPlan[[#This Row],[Demand (units)]]/(tblPlan[[#This Row],[Available time (min)]]/60),""))</f>
        <v>59.8006644518272</v>
      </c>
      <c r="L16" s="38">
        <f>IF(tblPlan[[#This Row],[Period]]="","",IF(ISNUMBER(tblPlan[[#This Row],[Takt time (s/unit)]]),BnCycle/tblPlan[[#This Row],[Takt time (s/unit)]],""))</f>
        <v>0.764119601328904</v>
      </c>
      <c r="M16" s="37">
        <f>IF(tblPlan[[#This Row],[Period]]="","",IF(tblPlan[[#This Row],[Available time (min)]]&gt;0,tblPlan[[#This Row],[Available time (min)]]*60/BnCycle,""))</f>
        <v>11778.2608695652</v>
      </c>
      <c r="N16" s="39">
        <f>IF(tblPlan[[#This Row],[Period]]="","",IF(ISNUMBER(tblPlan[[#This Row],[Output at bottleneck pace (units)]]),tblPlan[[#This Row],[Output at bottleneck pace (units)]]-tblPlan[[#This Row],[Demand (units)]],""))</f>
        <v>2778.26086956522</v>
      </c>
      <c r="O16" s="36">
        <f>IF(tblPlan[[#This Row],[Period]]="","",IF(ISNUMBER(tblPlan[[#This Row],[Takt time (s/unit)]]),MAX(0,tblPlan[[#This Row],[Demand (units)]]*BnCycle/60-tblPlan[[#This Row],[Available time (min)]])/60,""))</f>
        <v>0</v>
      </c>
      <c r="P16" s="37">
        <f>IF(tblPlan[[#This Row],[Period]]="","",IF(ISNUMBER(tblPlan[[#This Row],[Overtime needed (h)]]),tblPlan[[#This Row],[Overtime needed (h)]]*Crew*LabourRate*OTPremium,""))</f>
        <v>0</v>
      </c>
      <c r="Q16" s="37">
        <f>IF(tblPlan[[#This Row],[Period]]="","",IF(ISNUMBER(tblPlan[[#This Row],[Takt time (s/unit)]]),CEILING(WorkContent/tblPlan[[#This Row],[Takt time (s/unit)]],1),""))</f>
        <v>5</v>
      </c>
      <c r="R16" s="40" t="str">
        <f>IF(tblPlan[[#This Row],[Period]]="","",IF(NOT(ISNUMBER(tblPlan[[#This Row],[Bottleneck load (% of takt)]])),"",IF(tblPlan[[#This Row],[Bottleneck load (% of takt)]]&gt;OverAt,"Over capacity",IF(tblPlan[[#This Row],[Bottleneck load (% of takt)]]&gt;=NearAt,"Near capacity","Under capacity"))))</f>
        <v>Under capacity</v>
      </c>
      <c r="S16"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16" s="28" t="s">
        <v>104</v>
      </c>
    </row>
    <row r="17" spans="2:20" x14ac:dyDescent="0.25">
      <c r="B17" s="28" t="s">
        <v>118</v>
      </c>
      <c r="C17" s="29">
        <v>21</v>
      </c>
      <c r="D17" s="29">
        <v>1</v>
      </c>
      <c r="E17" s="30">
        <v>480</v>
      </c>
      <c r="F17" s="30">
        <v>50</v>
      </c>
      <c r="G17" s="30">
        <v>8800</v>
      </c>
      <c r="H17" s="36">
        <f>IF(tblPlan[[#This Row],[Period]]="","",tblPlan[[#This Row],[Working days]]*tblPlan[[#This Row],[Shifts per day]])</f>
        <v>21</v>
      </c>
      <c r="I17" s="37">
        <f>IF(tblPlan[[#This Row],[Period]]="","",(tblPlan[[#This Row],[Shift length (min)]]-tblPlan[[#This Row],[Breaks and planned stops (min)]])*tblPlan[[#This Row],[Shifts]])</f>
        <v>9030</v>
      </c>
      <c r="J17" s="36">
        <f>IF(tblPlan[[#This Row],[Period]]="","",IF(AND(tblPlan[[#This Row],[Available time (min)]]&gt;0,tblPlan[[#This Row],[Demand (units)]]&gt;0),tblPlan[[#This Row],[Available time (min)]]*60/tblPlan[[#This Row],[Demand (units)]],""))</f>
        <v>61.5681818181818</v>
      </c>
      <c r="K17" s="36">
        <f>IF(tblPlan[[#This Row],[Period]]="","",IF(AND(tblPlan[[#This Row],[Available time (min)]]&gt;0,tblPlan[[#This Row],[Demand (units)]]&gt;0),tblPlan[[#This Row],[Demand (units)]]/(tblPlan[[#This Row],[Available time (min)]]/60),""))</f>
        <v>58.4717607973422</v>
      </c>
      <c r="L17" s="38">
        <f>IF(tblPlan[[#This Row],[Period]]="","",IF(ISNUMBER(tblPlan[[#This Row],[Takt time (s/unit)]]),BnCycle/tblPlan[[#This Row],[Takt time (s/unit)]],""))</f>
        <v>0.747139165743817</v>
      </c>
      <c r="M17" s="37">
        <f>IF(tblPlan[[#This Row],[Period]]="","",IF(tblPlan[[#This Row],[Available time (min)]]&gt;0,tblPlan[[#This Row],[Available time (min)]]*60/BnCycle,""))</f>
        <v>11778.2608695652</v>
      </c>
      <c r="N17" s="39">
        <f>IF(tblPlan[[#This Row],[Period]]="","",IF(ISNUMBER(tblPlan[[#This Row],[Output at bottleneck pace (units)]]),tblPlan[[#This Row],[Output at bottleneck pace (units)]]-tblPlan[[#This Row],[Demand (units)]],""))</f>
        <v>2978.26086956522</v>
      </c>
      <c r="O17" s="36">
        <f>IF(tblPlan[[#This Row],[Period]]="","",IF(ISNUMBER(tblPlan[[#This Row],[Takt time (s/unit)]]),MAX(0,tblPlan[[#This Row],[Demand (units)]]*BnCycle/60-tblPlan[[#This Row],[Available time (min)]])/60,""))</f>
        <v>0</v>
      </c>
      <c r="P17" s="37">
        <f>IF(tblPlan[[#This Row],[Period]]="","",IF(ISNUMBER(tblPlan[[#This Row],[Overtime needed (h)]]),tblPlan[[#This Row],[Overtime needed (h)]]*Crew*LabourRate*OTPremium,""))</f>
        <v>0</v>
      </c>
      <c r="Q17" s="37">
        <f>IF(tblPlan[[#This Row],[Period]]="","",IF(ISNUMBER(tblPlan[[#This Row],[Takt time (s/unit)]]),CEILING(WorkContent/tblPlan[[#This Row],[Takt time (s/unit)]],1),""))</f>
        <v>5</v>
      </c>
      <c r="R17" s="40" t="str">
        <f>IF(tblPlan[[#This Row],[Period]]="","",IF(NOT(ISNUMBER(tblPlan[[#This Row],[Bottleneck load (% of takt)]])),"",IF(tblPlan[[#This Row],[Bottleneck load (% of takt)]]&gt;OverAt,"Over capacity",IF(tblPlan[[#This Row],[Bottleneck load (% of takt)]]&gt;=NearAt,"Near capacity","Under capacity"))))</f>
        <v>Under capacity</v>
      </c>
      <c r="S17"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17" s="28" t="s">
        <v>104</v>
      </c>
    </row>
    <row r="18" spans="2:20" x14ac:dyDescent="0.25">
      <c r="B18" s="28" t="s">
        <v>119</v>
      </c>
      <c r="C18" s="29">
        <v>17</v>
      </c>
      <c r="D18" s="29">
        <v>1</v>
      </c>
      <c r="E18" s="30">
        <v>480</v>
      </c>
      <c r="F18" s="30">
        <v>50</v>
      </c>
      <c r="G18" s="30">
        <v>7400</v>
      </c>
      <c r="H18" s="36">
        <f>IF(tblPlan[[#This Row],[Period]]="","",tblPlan[[#This Row],[Working days]]*tblPlan[[#This Row],[Shifts per day]])</f>
        <v>17</v>
      </c>
      <c r="I18" s="37">
        <f>IF(tblPlan[[#This Row],[Period]]="","",(tblPlan[[#This Row],[Shift length (min)]]-tblPlan[[#This Row],[Breaks and planned stops (min)]])*tblPlan[[#This Row],[Shifts]])</f>
        <v>7310</v>
      </c>
      <c r="J18" s="36">
        <f>IF(tblPlan[[#This Row],[Period]]="","",IF(AND(tblPlan[[#This Row],[Available time (min)]]&gt;0,tblPlan[[#This Row],[Demand (units)]]&gt;0),tblPlan[[#This Row],[Available time (min)]]*60/tblPlan[[#This Row],[Demand (units)]],""))</f>
        <v>59.2702702702703</v>
      </c>
      <c r="K18" s="36">
        <f>IF(tblPlan[[#This Row],[Period]]="","",IF(AND(tblPlan[[#This Row],[Available time (min)]]&gt;0,tblPlan[[#This Row],[Demand (units)]]&gt;0),tblPlan[[#This Row],[Demand (units)]]/(tblPlan[[#This Row],[Available time (min)]]/60),""))</f>
        <v>60.7387140902873</v>
      </c>
      <c r="L18" s="38">
        <f>IF(tblPlan[[#This Row],[Period]]="","",IF(ISNUMBER(tblPlan[[#This Row],[Takt time (s/unit)]]),BnCycle/tblPlan[[#This Row],[Takt time (s/unit)]],""))</f>
        <v>0.776105791153671</v>
      </c>
      <c r="M18" s="37">
        <f>IF(tblPlan[[#This Row],[Period]]="","",IF(tblPlan[[#This Row],[Available time (min)]]&gt;0,tblPlan[[#This Row],[Available time (min)]]*60/BnCycle,""))</f>
        <v>9534.78260869565</v>
      </c>
      <c r="N18" s="39">
        <f>IF(tblPlan[[#This Row],[Period]]="","",IF(ISNUMBER(tblPlan[[#This Row],[Output at bottleneck pace (units)]]),tblPlan[[#This Row],[Output at bottleneck pace (units)]]-tblPlan[[#This Row],[Demand (units)]],""))</f>
        <v>2134.78260869565</v>
      </c>
      <c r="O18" s="36">
        <f>IF(tblPlan[[#This Row],[Period]]="","",IF(ISNUMBER(tblPlan[[#This Row],[Takt time (s/unit)]]),MAX(0,tblPlan[[#This Row],[Demand (units)]]*BnCycle/60-tblPlan[[#This Row],[Available time (min)]])/60,""))</f>
        <v>0</v>
      </c>
      <c r="P18" s="37">
        <f>IF(tblPlan[[#This Row],[Period]]="","",IF(ISNUMBER(tblPlan[[#This Row],[Overtime needed (h)]]),tblPlan[[#This Row],[Overtime needed (h)]]*Crew*LabourRate*OTPremium,""))</f>
        <v>0</v>
      </c>
      <c r="Q18" s="37">
        <f>IF(tblPlan[[#This Row],[Period]]="","",IF(ISNUMBER(tblPlan[[#This Row],[Takt time (s/unit)]]),CEILING(WorkContent/tblPlan[[#This Row],[Takt time (s/unit)]],1),""))</f>
        <v>6</v>
      </c>
      <c r="R18" s="40" t="str">
        <f>IF(tblPlan[[#This Row],[Period]]="","",IF(NOT(ISNUMBER(tblPlan[[#This Row],[Bottleneck load (% of takt)]])),"",IF(tblPlan[[#This Row],[Bottleneck load (% of takt)]]&gt;OverAt,"Over capacity",IF(tblPlan[[#This Row],[Bottleneck load (% of takt)]]&gt;=NearAt,"Near capacity","Under capacity"))))</f>
        <v>Under capacity</v>
      </c>
      <c r="S18" s="41" t="str">
        <f>IF(tblPlan[[#This Row],[Period]]="","",IF(tblPlan[[#This Row],[Working days]]="","Missing working days",IF(tblPlan[[#This Row],[Shifts per day]]="","Missing shifts per day",IF(tblPlan[[#This Row],[Shift length (min)]]="","Missing shift length",IF(tblPlan[[#This Row],[Breaks and planned stops (min)]]="","Missing breaks and planned stops",IF(tblPlan[[#This Row],[Demand (units)]]="","Missing demand",IF(tblPlan[[#This Row],[Breaks and planned stops (min)]]&gt;=tblPlan[[#This Row],[Shift length (min)]],"Breaks &gt;= shift length",IF(tblPlan[[#This Row],[Working days]]*tblPlan[[#This Row],[Shifts per day]]=0,"No shifts in the period",IF(COUNTIF(tblPlan[Period],tblPlan[[#This Row],[Period]])&gt;1,"Duplicate period","OK")))))))))</f>
        <v>OK</v>
      </c>
      <c r="T18" s="28" t="s">
        <v>120</v>
      </c>
    </row>
  </sheetData>
  <mergeCells count="3">
    <mergeCell ref="A1:T1"/>
    <mergeCell ref="B2:S2"/>
    <mergeCell ref="B4:T4"/>
  </mergeCells>
  <conditionalFormatting sqref="L7:L518">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S7:S518">
    <cfRule type="expression" dxfId="3" priority="2">
      <formula>$S7="OK"</formula>
    </cfRule>
    <cfRule type="expression" dxfId="1" priority="3">
      <formula>AND($S7&lt;&gt;"",$S7&lt;&gt;"OK")</formula>
    </cfRule>
  </conditionalFormatting>
  <dataValidations count="7">
    <dataValidation type="textLength" allowBlank="1" showInputMessage="1" showErrorMessage="1" errorTitle="Check this entry" error="Text up to 30 characters." promptTitle="Period" prompt="A month, week or scenario name typed as text, e.g. Jan, Wk 14 or Two shifts. (Excel turns Jan 2027 into a date; 2027 Jan stays text.) Text up to 30 characters." sqref="B7:B518">
      <formula1>0</formula1>
      <formula2>30</formula2>
    </dataValidation>
    <dataValidation type="decimal" allowBlank="1" showInputMessage="1" showErrorMessage="1" errorTitle="Check this entry" error="Enter a number from 0 to 31." promptTitle="Working days" prompt="Days the line works in the period. Enter a number from 0 to 31." sqref="C7:C518">
      <formula1>0</formula1>
      <formula2>31</formula2>
    </dataValidation>
    <dataValidation type="decimal" allowBlank="1" showInputMessage="1" showErrorMessage="1" errorTitle="Check this entry" error="Enter a number from 0 to 4." promptTitle="Shifts per day" prompt="Shifts the line runs each working day (1.5 for a part shift). Enter a number from 0 to 4." sqref="D7:D518">
      <formula1>0</formula1>
      <formula2>4</formula2>
    </dataValidation>
    <dataValidation type="whole" allowBlank="1" showInputMessage="1" showErrorMessage="1" errorTitle="Check this entry" error="Enter a whole number from 1 to 1,440." promptTitle="Shift length (min)" prompt="Paid shift length. Enter a whole number from 1 to 1,440." sqref="E7:E518">
      <formula1>1</formula1>
      <formula2>1440</formula2>
    </dataValidation>
    <dataValidation type="whole" allowBlank="1" showInputMessage="1" showErrorMessage="1" errorTitle="Check this entry" error="Enter a whole number from 0 to 1,440." promptTitle="Breaks and planned stops (min)" prompt="Per shift: breaks, meetings, start-up checks, cleaning, planned changeovers. Enter a whole number from 0 to 1,440." sqref="F7:F518">
      <formula1>0</formula1>
      <formula2>1440</formula2>
    </dataValidation>
    <dataValidation type="whole" allowBlank="1" showInputMessage="1" showErrorMessage="1" errorTitle="Check this entry" error="Enter a whole number from 1 to 100,000,000." promptTitle="Demand (units)" prompt="Good units the customer needs in the period. Enter a whole number from 1 to 100,000,000." sqref="G7:G518">
      <formula1>1</formula1>
      <formula2>100000000</formula2>
    </dataValidation>
    <dataValidation type="textLength" allowBlank="1" showInputMessage="1" showErrorMessage="1" errorTitle="Check this entry" error="Text up to 255 characters." promptTitle="Notes" prompt="Text up to 255 characters." sqref="T7:T518">
      <formula1>0</formula1>
      <formula2>255</formula2>
    </dataValidation>
  </dataValidations>
  <hyperlinks>
    <hyperlink ref="T2" r:id="rId1" tooltip="Free manufacturing calculators and templates"/>
  </hyperlinks>
  <pageMargins left="0.4" right="0.4" top="0.7" bottom="0.65" header="0.3" footer="0.3"/>
  <pageSetup fitToHeight="0" orientation="landscape"/>
  <headerFooter>
    <oddHeader>&amp;L&amp;8MFG Calcs - Takt Time Planner&amp;R&amp;8&amp;A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L7:L518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51"/>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22</v>
      </c>
      <c r="C2" s="2"/>
      <c r="D2" s="2"/>
      <c r="E2" s="2"/>
      <c r="F2" s="2"/>
      <c r="G2" s="2"/>
      <c r="H2" s="2"/>
      <c r="I2" s="2"/>
      <c r="J2" s="2"/>
      <c r="K2" s="3" t="s">
        <v>2</v>
      </c>
      <c r="L2" s="3"/>
    </row>
    <row r="3" spans="1:12" ht="6" customHeight="1" x14ac:dyDescent="0.25"/>
    <row r="4" spans="1:12" x14ac:dyDescent="0.25">
      <c r="B4" s="42" t="str">
        <f>PlanName&amp;"   |   "&amp;LineName&amp;"   |   Bottleneck: "&amp;BnName&amp;", "&amp;FIXED(BnCycle,1)&amp;" s per unit   |   Today's crew: "&amp;Crew&amp;" per shift"</f>
        <v>2027 monthly plan   |   Alder Fans - final assembly line A (example)   |   Bottleneck: Motor run-in test, 46.0 s per unit   |   Today's crew: 6 per shift</v>
      </c>
      <c r="C4" s="42"/>
      <c r="D4" s="42"/>
      <c r="E4" s="42"/>
      <c r="F4" s="42"/>
      <c r="G4" s="42"/>
      <c r="H4" s="42"/>
      <c r="I4" s="42"/>
      <c r="J4" s="42"/>
      <c r="K4" s="42"/>
      <c r="L4" s="42"/>
    </row>
    <row r="6" spans="1:12" ht="18" customHeight="1" x14ac:dyDescent="0.25">
      <c r="B6" s="43" t="str">
        <f>"SHORTEST TAKT  (s)"&amp;IF(COUNT(tblPlan[Takt time (s/unit)])=0,"",":  "&amp;UPPER(INDEX(tblPlan[Period],MATCH(MIN(tblPlan[Takt time (s/unit)]),tblPlan[Takt time (s/unit)],0))))</f>
        <v>SHORTEST TAKT  (s):  MAY</v>
      </c>
      <c r="C6" s="43"/>
      <c r="D6" s="43" t="str">
        <f>"PEAK BOTTLENECK LOAD"&amp;IF(COUNT(tblPlan[Bottleneck load (% of takt)])=0,"",":  "&amp;UPPER(INDEX(tblPlan[Period],MATCH(MAX(tblPlan[Bottleneck load (% of takt)]),tblPlan[Bottleneck load (% of takt)],0))))</f>
        <v>PEAK BOTTLENECK LOAD:  MAY</v>
      </c>
      <c r="E6" s="43"/>
      <c r="F6" s="43"/>
      <c r="G6" s="43" t="s">
        <v>121</v>
      </c>
      <c r="H6" s="43"/>
      <c r="I6" s="43"/>
      <c r="J6" s="43" t="s">
        <v>122</v>
      </c>
      <c r="K6" s="43"/>
      <c r="L6" s="43"/>
    </row>
    <row r="7" spans="1:12" ht="21" customHeight="1" x14ac:dyDescent="0.25">
      <c r="B7" s="44">
        <f>IF(COUNT(tblPlan[Takt time (s/unit)])=0,"",MIN(tblPlan[Takt time (s/unit)]))</f>
        <v>38.5074626865672</v>
      </c>
      <c r="C7" s="44"/>
      <c r="D7" s="45">
        <f>IF(COUNT(tblPlan[Bottleneck load (% of takt)])=0,"",MAX(tblPlan[Bottleneck load (% of takt)]))</f>
        <v>1.19457364341085</v>
      </c>
      <c r="E7" s="45"/>
      <c r="F7" s="45"/>
      <c r="G7" s="44">
        <f>SUM(tblPlan[Overtime needed (h)])</f>
        <v>38.3888888888889</v>
      </c>
      <c r="H7" s="44"/>
      <c r="I7" s="44"/>
      <c r="J7" s="46">
        <f>IF(COUNT(tblPlan[Operators needed per shift])=0,"",MAX(tblPlan[Operators needed per shift]))</f>
        <v>8</v>
      </c>
      <c r="K7" s="46"/>
      <c r="L7" s="46"/>
    </row>
    <row r="8" spans="1:12" ht="21" customHeight="1" x14ac:dyDescent="0.25">
      <c r="B8" s="44"/>
      <c r="C8" s="44"/>
      <c r="D8" s="45"/>
      <c r="E8" s="45"/>
      <c r="F8" s="45"/>
      <c r="G8" s="44"/>
      <c r="H8" s="44"/>
      <c r="I8" s="44"/>
      <c r="J8" s="46"/>
      <c r="K8" s="46"/>
      <c r="L8" s="46"/>
    </row>
    <row r="9" spans="1:12" x14ac:dyDescent="0.25">
      <c r="B9" s="47" t="s">
        <v>123</v>
      </c>
      <c r="C9" s="47"/>
      <c r="D9" s="48">
        <f>OverAt</f>
        <v>1</v>
      </c>
      <c r="E9" s="48"/>
      <c r="F9" s="48"/>
      <c r="G9" s="47" t="s">
        <v>124</v>
      </c>
      <c r="H9" s="47"/>
      <c r="I9" s="47"/>
      <c r="J9" s="49">
        <f>Crew</f>
        <v>6</v>
      </c>
      <c r="K9" s="49"/>
      <c r="L9" s="49"/>
    </row>
    <row r="10" spans="1:12" ht="18" customHeight="1" x14ac:dyDescent="0.25">
      <c r="B10" s="50"/>
      <c r="C10" s="50"/>
      <c r="D10" s="50" t="str">
        <f>IF(NOT(ISNUMBER(KpiPeakLoad)),"No data",IF(KpiPeakLoad&lt;=(NearAt),"Under capacity",IF(KpiPeakLoad&lt;=(OverAt),"Near capacity","Over capacity")))</f>
        <v>Over capacity</v>
      </c>
      <c r="E10" s="50"/>
      <c r="F10" s="50"/>
      <c r="G10" s="50"/>
      <c r="H10" s="50"/>
      <c r="I10" s="50"/>
      <c r="J10" s="50" t="str">
        <f>IF(NOT(ISNUMBER(KpiPeakOps)),"No data",IF(KpiPeakOps&lt;=(Crew),"On target",IF(KpiPeakOps&lt;=(Crew)*(1+0.0),"Near target","Above target")))</f>
        <v>Above target</v>
      </c>
      <c r="K10" s="50"/>
      <c r="L10" s="50"/>
    </row>
    <row r="29" spans="2:12" ht="18" customHeight="1" x14ac:dyDescent="0.25">
      <c r="B29" s="43" t="s">
        <v>125</v>
      </c>
      <c r="C29" s="43"/>
      <c r="D29" s="43" t="s">
        <v>126</v>
      </c>
      <c r="E29" s="43"/>
      <c r="F29" s="43"/>
      <c r="G29" s="43" t="s">
        <v>127</v>
      </c>
      <c r="H29" s="43"/>
      <c r="I29" s="43"/>
      <c r="J29" s="43" t="str">
        <f>"OVERTIME COST  ("&amp;Currency&amp;", EST.)"</f>
        <v>OVERTIME COST  (USD, EST.)</v>
      </c>
      <c r="K29" s="43"/>
      <c r="L29" s="43"/>
    </row>
    <row r="30" spans="2:12" ht="21" customHeight="1" x14ac:dyDescent="0.25">
      <c r="B30" s="46">
        <f>SUM(tblPlan[Demand (units)])</f>
        <v>133400</v>
      </c>
      <c r="C30" s="46"/>
      <c r="D30" s="44">
        <f>IF((SUM(tblPlan[Demand (units)]))=0,"",(SUM(tblPlan[Available time (min)])*60)/(SUM(tblPlan[Demand (units)])))</f>
        <v>56.28035982009</v>
      </c>
      <c r="E30" s="44"/>
      <c r="F30" s="44"/>
      <c r="G30" s="46">
        <f>COUNTIF(tblPlan[Status],"Over capacity")</f>
        <v>2</v>
      </c>
      <c r="H30" s="46"/>
      <c r="I30" s="46"/>
      <c r="J30" s="46">
        <f>SUM(tblPlan[Overtime cost (est.)])</f>
        <v>11056</v>
      </c>
      <c r="K30" s="46"/>
      <c r="L30" s="46"/>
    </row>
    <row r="31" spans="2:12" ht="21" customHeight="1" x14ac:dyDescent="0.25">
      <c r="B31" s="46"/>
      <c r="C31" s="46"/>
      <c r="D31" s="44"/>
      <c r="E31" s="44"/>
      <c r="F31" s="44"/>
      <c r="G31" s="46"/>
      <c r="H31" s="46"/>
      <c r="I31" s="46"/>
      <c r="J31" s="46"/>
      <c r="K31" s="46"/>
      <c r="L31" s="46"/>
    </row>
    <row r="32" spans="2:12" x14ac:dyDescent="0.25">
      <c r="B32" s="47" t="s">
        <v>128</v>
      </c>
      <c r="C32" s="47"/>
      <c r="D32" s="47" t="s">
        <v>129</v>
      </c>
      <c r="E32" s="47"/>
      <c r="F32" s="47"/>
      <c r="G32" s="47" t="s">
        <v>130</v>
      </c>
      <c r="H32" s="47"/>
      <c r="I32" s="47"/>
      <c r="J32" s="47" t="s">
        <v>131</v>
      </c>
      <c r="K32" s="47"/>
      <c r="L32" s="47"/>
    </row>
    <row r="33" spans="2:12" ht="18" customHeight="1" x14ac:dyDescent="0.25">
      <c r="B33" s="50"/>
      <c r="C33" s="50"/>
      <c r="D33" s="50"/>
      <c r="E33" s="50"/>
      <c r="F33" s="50"/>
      <c r="G33" s="50"/>
      <c r="H33" s="50"/>
      <c r="I33" s="50"/>
      <c r="J33" s="50"/>
      <c r="K33" s="50"/>
      <c r="L33" s="50"/>
    </row>
    <row r="35" spans="2:12" x14ac:dyDescent="0.25">
      <c r="B35" s="51" t="s">
        <v>132</v>
      </c>
      <c r="C35" s="51"/>
      <c r="D35" s="51"/>
      <c r="E35" s="51"/>
      <c r="F35" s="51"/>
      <c r="G35" s="51"/>
      <c r="H35" s="51"/>
      <c r="I35" s="51"/>
      <c r="J35" s="51"/>
      <c r="K35" s="51"/>
      <c r="L35" s="51"/>
    </row>
    <row r="36" spans="2:12" ht="32" customHeight="1" x14ac:dyDescent="0.25">
      <c r="B36" s="52" t="s">
        <v>83</v>
      </c>
      <c r="C36" s="35" t="s">
        <v>85</v>
      </c>
      <c r="D36" s="35" t="s">
        <v>133</v>
      </c>
      <c r="E36" s="35" t="s">
        <v>134</v>
      </c>
      <c r="F36" s="35" t="s">
        <v>135</v>
      </c>
      <c r="G36" s="35" t="s">
        <v>88</v>
      </c>
      <c r="H36" s="35" t="s">
        <v>136</v>
      </c>
      <c r="I36" s="35" t="s">
        <v>137</v>
      </c>
      <c r="J36" s="35" t="s">
        <v>138</v>
      </c>
      <c r="K36" s="35" t="s">
        <v>99</v>
      </c>
      <c r="L36" s="35"/>
    </row>
    <row r="37" spans="2:12" x14ac:dyDescent="0.25">
      <c r="B37" s="53" t="str">
        <f>IFERROR(INDEX(tblPlan[Period],1)&amp;"","")</f>
        <v>Jan</v>
      </c>
      <c r="C37" s="36">
        <f>IF($B$37="","",INDEX(tblPlan[Shifts per day],1))</f>
        <v>1</v>
      </c>
      <c r="D37" s="36">
        <f>IF($B$37="","",INDEX(tblPlan[Takt time (s/unit)],1))</f>
        <v>60</v>
      </c>
      <c r="E37" s="54">
        <f>BnCycle</f>
        <v>46</v>
      </c>
      <c r="F37" s="38">
        <f>IF($B$37="","",INDEX(tblPlan[Bottleneck load (% of takt)],1))</f>
        <v>0.766666666666667</v>
      </c>
      <c r="G37" s="37">
        <f>IF($B$37="","",INDEX(tblPlan[Demand (units)],1))</f>
        <v>8600</v>
      </c>
      <c r="H37" s="36">
        <f>IF($B$37="","",INDEX(tblPlan[Overtime needed (h)],1))</f>
        <v>0</v>
      </c>
      <c r="I37" s="37">
        <f>IF($B$37="","",INDEX(tblPlan[Operators needed per shift],1))</f>
        <v>5</v>
      </c>
      <c r="J37" s="55">
        <f>Crew</f>
        <v>6</v>
      </c>
      <c r="K37" s="40" t="str">
        <f>IF($B$37="","",INDEX(tblPlan[Status],1))</f>
        <v>Under capacity</v>
      </c>
      <c r="L37" s="40"/>
    </row>
    <row r="38" spans="2:12" x14ac:dyDescent="0.25">
      <c r="B38" s="53" t="str">
        <f>IFERROR(INDEX(tblPlan[Period],2)&amp;"","")</f>
        <v>Feb</v>
      </c>
      <c r="C38" s="36">
        <f>IF($B$38="","",INDEX(tblPlan[Shifts per day],2))</f>
        <v>1</v>
      </c>
      <c r="D38" s="36">
        <f>IF($B$38="","",INDEX(tblPlan[Takt time (s/unit)],2))</f>
        <v>56.0869565217391</v>
      </c>
      <c r="E38" s="54">
        <f>BnCycle</f>
        <v>46</v>
      </c>
      <c r="F38" s="38">
        <f>IF($B$38="","",INDEX(tblPlan[Bottleneck load (% of takt)],2))</f>
        <v>0.82015503875969</v>
      </c>
      <c r="G38" s="37">
        <f>IF($B$38="","",INDEX(tblPlan[Demand (units)],2))</f>
        <v>9200</v>
      </c>
      <c r="H38" s="36">
        <f>IF($B$38="","",INDEX(tblPlan[Overtime needed (h)],2))</f>
        <v>0</v>
      </c>
      <c r="I38" s="37">
        <f>IF($B$38="","",INDEX(tblPlan[Operators needed per shift],2))</f>
        <v>6</v>
      </c>
      <c r="J38" s="55">
        <f>Crew</f>
        <v>6</v>
      </c>
      <c r="K38" s="40" t="str">
        <f>IF($B$38="","",INDEX(tblPlan[Status],2))</f>
        <v>Under capacity</v>
      </c>
      <c r="L38" s="40"/>
    </row>
    <row r="39" spans="2:12" x14ac:dyDescent="0.25">
      <c r="B39" s="53" t="str">
        <f>IFERROR(INDEX(tblPlan[Period],3)&amp;"","")</f>
        <v>Mar</v>
      </c>
      <c r="C39" s="36">
        <f>IF($B$39="","",INDEX(tblPlan[Shifts per day],3))</f>
        <v>1</v>
      </c>
      <c r="D39" s="36">
        <f>IF($B$39="","",INDEX(tblPlan[Takt time (s/unit)],3))</f>
        <v>51.6</v>
      </c>
      <c r="E39" s="54">
        <f>BnCycle</f>
        <v>46</v>
      </c>
      <c r="F39" s="38">
        <f>IF($B$39="","",INDEX(tblPlan[Bottleneck load (% of takt)],3))</f>
        <v>0.891472868217054</v>
      </c>
      <c r="G39" s="37">
        <f>IF($B$39="","",INDEX(tblPlan[Demand (units)],3))</f>
        <v>11000</v>
      </c>
      <c r="H39" s="36">
        <f>IF($B$39="","",INDEX(tblPlan[Overtime needed (h)],3))</f>
        <v>0</v>
      </c>
      <c r="I39" s="37">
        <f>IF($B$39="","",INDEX(tblPlan[Operators needed per shift],3))</f>
        <v>6</v>
      </c>
      <c r="J39" s="55">
        <f>Crew</f>
        <v>6</v>
      </c>
      <c r="K39" s="40" t="str">
        <f>IF($B$39="","",INDEX(tblPlan[Status],3))</f>
        <v>Under capacity</v>
      </c>
      <c r="L39" s="40"/>
    </row>
    <row r="40" spans="2:12" x14ac:dyDescent="0.25">
      <c r="B40" s="53" t="str">
        <f>IFERROR(INDEX(tblPlan[Period],4)&amp;"","")</f>
        <v>Apr</v>
      </c>
      <c r="C40" s="36">
        <f>IF($B$40="","",INDEX(tblPlan[Shifts per day],4))</f>
        <v>1</v>
      </c>
      <c r="D40" s="36">
        <f>IF($B$40="","",INDEX(tblPlan[Takt time (s/unit)],4))</f>
        <v>43</v>
      </c>
      <c r="E40" s="54">
        <f>BnCycle</f>
        <v>46</v>
      </c>
      <c r="F40" s="38">
        <f>IF($B$40="","",INDEX(tblPlan[Bottleneck load (% of takt)],4))</f>
        <v>1.06976744186047</v>
      </c>
      <c r="G40" s="37">
        <f>IF($B$40="","",INDEX(tblPlan[Demand (units)],4))</f>
        <v>12600</v>
      </c>
      <c r="H40" s="36">
        <f>IF($B$40="","",INDEX(tblPlan[Overtime needed (h)],4))</f>
        <v>10.5</v>
      </c>
      <c r="I40" s="37">
        <f>IF($B$40="","",INDEX(tblPlan[Operators needed per shift],4))</f>
        <v>7</v>
      </c>
      <c r="J40" s="55">
        <f>Crew</f>
        <v>6</v>
      </c>
      <c r="K40" s="40" t="str">
        <f>IF($B$40="","",INDEX(tblPlan[Status],4))</f>
        <v>Over capacity</v>
      </c>
      <c r="L40" s="40"/>
    </row>
    <row r="41" spans="2:12" x14ac:dyDescent="0.25">
      <c r="B41" s="53" t="str">
        <f>IFERROR(INDEX(tblPlan[Period],5)&amp;"","")</f>
        <v>May</v>
      </c>
      <c r="C41" s="36">
        <f>IF($B$41="","",INDEX(tblPlan[Shifts per day],5))</f>
        <v>1</v>
      </c>
      <c r="D41" s="36">
        <f>IF($B$41="","",INDEX(tblPlan[Takt time (s/unit)],5))</f>
        <v>38.5074626865672</v>
      </c>
      <c r="E41" s="54">
        <f>BnCycle</f>
        <v>46</v>
      </c>
      <c r="F41" s="38">
        <f>IF($B$41="","",INDEX(tblPlan[Bottleneck load (% of takt)],5))</f>
        <v>1.19457364341085</v>
      </c>
      <c r="G41" s="37">
        <f>IF($B$41="","",INDEX(tblPlan[Demand (units)],5))</f>
        <v>13400</v>
      </c>
      <c r="H41" s="36">
        <f>IF($B$41="","",INDEX(tblPlan[Overtime needed (h)],5))</f>
        <v>27.8888888888889</v>
      </c>
      <c r="I41" s="37">
        <f>IF($B$41="","",INDEX(tblPlan[Operators needed per shift],5))</f>
        <v>8</v>
      </c>
      <c r="J41" s="55">
        <f>Crew</f>
        <v>6</v>
      </c>
      <c r="K41" s="40" t="str">
        <f>IF($B$41="","",INDEX(tblPlan[Status],5))</f>
        <v>Over capacity</v>
      </c>
      <c r="L41" s="40"/>
    </row>
    <row r="42" spans="2:12" x14ac:dyDescent="0.25">
      <c r="B42" s="53" t="str">
        <f>IFERROR(INDEX(tblPlan[Period],6)&amp;"","")</f>
        <v>Jun</v>
      </c>
      <c r="C42" s="36">
        <f>IF($B$42="","",INDEX(tblPlan[Shifts per day],6))</f>
        <v>2</v>
      </c>
      <c r="D42" s="36">
        <f>IF($B$42="","",INDEX(tblPlan[Takt time (s/unit)],6))</f>
        <v>71.8481012658228</v>
      </c>
      <c r="E42" s="54">
        <f>BnCycle</f>
        <v>46</v>
      </c>
      <c r="F42" s="38">
        <f>IF($B$42="","",INDEX(tblPlan[Bottleneck load (% of takt)],6))</f>
        <v>0.640239605355884</v>
      </c>
      <c r="G42" s="37">
        <f>IF($B$42="","",INDEX(tblPlan[Demand (units)],6))</f>
        <v>15800</v>
      </c>
      <c r="H42" s="36">
        <f>IF($B$42="","",INDEX(tblPlan[Overtime needed (h)],6))</f>
        <v>0</v>
      </c>
      <c r="I42" s="37">
        <f>IF($B$42="","",INDEX(tblPlan[Operators needed per shift],6))</f>
        <v>5</v>
      </c>
      <c r="J42" s="55">
        <f>Crew</f>
        <v>6</v>
      </c>
      <c r="K42" s="40" t="str">
        <f>IF($B$42="","",INDEX(tblPlan[Status],6))</f>
        <v>Under capacity</v>
      </c>
      <c r="L42" s="40"/>
    </row>
    <row r="43" spans="2:12" x14ac:dyDescent="0.25">
      <c r="B43" s="53" t="str">
        <f>IFERROR(INDEX(tblPlan[Period],7)&amp;"","")</f>
        <v>Jul</v>
      </c>
      <c r="C43" s="36">
        <f>IF($B$43="","",INDEX(tblPlan[Shifts per day],7))</f>
        <v>2</v>
      </c>
      <c r="D43" s="36">
        <f>IF($B$43="","",INDEX(tblPlan[Takt time (s/unit)],7))</f>
        <v>71.2894736842105</v>
      </c>
      <c r="E43" s="54">
        <f>BnCycle</f>
        <v>46</v>
      </c>
      <c r="F43" s="38">
        <f>IF($B$43="","",INDEX(tblPlan[Bottleneck load (% of takt)],7))</f>
        <v>0.645256552233297</v>
      </c>
      <c r="G43" s="37">
        <f>IF($B$43="","",INDEX(tblPlan[Demand (units)],7))</f>
        <v>15200</v>
      </c>
      <c r="H43" s="36">
        <f>IF($B$43="","",INDEX(tblPlan[Overtime needed (h)],7))</f>
        <v>0</v>
      </c>
      <c r="I43" s="37">
        <f>IF($B$43="","",INDEX(tblPlan[Operators needed per shift],7))</f>
        <v>5</v>
      </c>
      <c r="J43" s="55">
        <f>Crew</f>
        <v>6</v>
      </c>
      <c r="K43" s="40" t="str">
        <f>IF($B$43="","",INDEX(tblPlan[Status],7))</f>
        <v>Under capacity</v>
      </c>
      <c r="L43" s="40"/>
    </row>
    <row r="44" spans="2:12" x14ac:dyDescent="0.25">
      <c r="B44" s="53" t="str">
        <f>IFERROR(INDEX(tblPlan[Period],8)&amp;"","")</f>
        <v>Aug</v>
      </c>
      <c r="C44" s="36">
        <f>IF($B$44="","",INDEX(tblPlan[Shifts per day],8))</f>
        <v>1</v>
      </c>
      <c r="D44" s="36">
        <f>IF($B$44="","",INDEX(tblPlan[Takt time (s/unit)],8))</f>
        <v>46.5245901639344</v>
      </c>
      <c r="E44" s="54">
        <f>BnCycle</f>
        <v>46</v>
      </c>
      <c r="F44" s="38">
        <f>IF($B$44="","",INDEX(tblPlan[Bottleneck load (% of takt)],8))</f>
        <v>0.988724453840733</v>
      </c>
      <c r="G44" s="37">
        <f>IF($B$44="","",INDEX(tblPlan[Demand (units)],8))</f>
        <v>12200</v>
      </c>
      <c r="H44" s="36">
        <f>IF($B$44="","",INDEX(tblPlan[Overtime needed (h)],8))</f>
        <v>0</v>
      </c>
      <c r="I44" s="37">
        <f>IF($B$44="","",INDEX(tblPlan[Operators needed per shift],8))</f>
        <v>7</v>
      </c>
      <c r="J44" s="55">
        <f>Crew</f>
        <v>6</v>
      </c>
      <c r="K44" s="40" t="str">
        <f>IF($B$44="","",INDEX(tblPlan[Status],8))</f>
        <v>Near capacity</v>
      </c>
      <c r="L44" s="40"/>
    </row>
    <row r="45" spans="2:12" x14ac:dyDescent="0.25">
      <c r="B45" s="53" t="str">
        <f>IFERROR(INDEX(tblPlan[Period],9)&amp;"","")</f>
        <v>Sep</v>
      </c>
      <c r="C45" s="36">
        <f>IF($B$45="","",INDEX(tblPlan[Shifts per day],9))</f>
        <v>1</v>
      </c>
      <c r="D45" s="36">
        <f>IF($B$45="","",INDEX(tblPlan[Takt time (s/unit)],9))</f>
        <v>53.1176470588235</v>
      </c>
      <c r="E45" s="54">
        <f>BnCycle</f>
        <v>46</v>
      </c>
      <c r="F45" s="38">
        <f>IF($B$45="","",INDEX(tblPlan[Bottleneck load (% of takt)],9))</f>
        <v>0.866002214839424</v>
      </c>
      <c r="G45" s="37">
        <f>IF($B$45="","",INDEX(tblPlan[Demand (units)],9))</f>
        <v>10200</v>
      </c>
      <c r="H45" s="36">
        <f>IF($B$45="","",INDEX(tblPlan[Overtime needed (h)],9))</f>
        <v>0</v>
      </c>
      <c r="I45" s="37">
        <f>IF($B$45="","",INDEX(tblPlan[Operators needed per shift],9))</f>
        <v>6</v>
      </c>
      <c r="J45" s="55">
        <f>Crew</f>
        <v>6</v>
      </c>
      <c r="K45" s="40" t="str">
        <f>IF($B$45="","",INDEX(tblPlan[Status],9))</f>
        <v>Under capacity</v>
      </c>
      <c r="L45" s="40"/>
    </row>
    <row r="46" spans="2:12" x14ac:dyDescent="0.25">
      <c r="B46" s="53" t="str">
        <f>IFERROR(INDEX(tblPlan[Period],10)&amp;"","")</f>
        <v>Oct</v>
      </c>
      <c r="C46" s="36">
        <f>IF($B$46="","",INDEX(tblPlan[Shifts per day],10))</f>
        <v>1</v>
      </c>
      <c r="D46" s="36">
        <f>IF($B$46="","",INDEX(tblPlan[Takt time (s/unit)],10))</f>
        <v>60.2</v>
      </c>
      <c r="E46" s="54">
        <f>BnCycle</f>
        <v>46</v>
      </c>
      <c r="F46" s="38">
        <f>IF($B$46="","",INDEX(tblPlan[Bottleneck load (% of takt)],10))</f>
        <v>0.764119601328904</v>
      </c>
      <c r="G46" s="37">
        <f>IF($B$46="","",INDEX(tblPlan[Demand (units)],10))</f>
        <v>9000</v>
      </c>
      <c r="H46" s="36">
        <f>IF($B$46="","",INDEX(tblPlan[Overtime needed (h)],10))</f>
        <v>0</v>
      </c>
      <c r="I46" s="37">
        <f>IF($B$46="","",INDEX(tblPlan[Operators needed per shift],10))</f>
        <v>5</v>
      </c>
      <c r="J46" s="55">
        <f>Crew</f>
        <v>6</v>
      </c>
      <c r="K46" s="40" t="str">
        <f>IF($B$46="","",INDEX(tblPlan[Status],10))</f>
        <v>Under capacity</v>
      </c>
      <c r="L46" s="40"/>
    </row>
    <row r="47" spans="2:12" x14ac:dyDescent="0.25">
      <c r="B47" s="53" t="str">
        <f>IFERROR(INDEX(tblPlan[Period],11)&amp;"","")</f>
        <v>Nov</v>
      </c>
      <c r="C47" s="36">
        <f>IF($B$47="","",INDEX(tblPlan[Shifts per day],11))</f>
        <v>1</v>
      </c>
      <c r="D47" s="36">
        <f>IF($B$47="","",INDEX(tblPlan[Takt time (s/unit)],11))</f>
        <v>61.5681818181818</v>
      </c>
      <c r="E47" s="54">
        <f>BnCycle</f>
        <v>46</v>
      </c>
      <c r="F47" s="38">
        <f>IF($B$47="","",INDEX(tblPlan[Bottleneck load (% of takt)],11))</f>
        <v>0.747139165743817</v>
      </c>
      <c r="G47" s="37">
        <f>IF($B$47="","",INDEX(tblPlan[Demand (units)],11))</f>
        <v>8800</v>
      </c>
      <c r="H47" s="36">
        <f>IF($B$47="","",INDEX(tblPlan[Overtime needed (h)],11))</f>
        <v>0</v>
      </c>
      <c r="I47" s="37">
        <f>IF($B$47="","",INDEX(tblPlan[Operators needed per shift],11))</f>
        <v>5</v>
      </c>
      <c r="J47" s="55">
        <f>Crew</f>
        <v>6</v>
      </c>
      <c r="K47" s="40" t="str">
        <f>IF($B$47="","",INDEX(tblPlan[Status],11))</f>
        <v>Under capacity</v>
      </c>
      <c r="L47" s="40"/>
    </row>
    <row r="48" spans="2:12" x14ac:dyDescent="0.25">
      <c r="B48" s="53" t="str">
        <f>IFERROR(INDEX(tblPlan[Period],12)&amp;"","")</f>
        <v>Dec</v>
      </c>
      <c r="C48" s="36">
        <f>IF($B$48="","",INDEX(tblPlan[Shifts per day],12))</f>
        <v>1</v>
      </c>
      <c r="D48" s="36">
        <f>IF($B$48="","",INDEX(tblPlan[Takt time (s/unit)],12))</f>
        <v>59.2702702702703</v>
      </c>
      <c r="E48" s="54">
        <f>BnCycle</f>
        <v>46</v>
      </c>
      <c r="F48" s="38">
        <f>IF($B$48="","",INDEX(tblPlan[Bottleneck load (% of takt)],12))</f>
        <v>0.776105791153671</v>
      </c>
      <c r="G48" s="37">
        <f>IF($B$48="","",INDEX(tblPlan[Demand (units)],12))</f>
        <v>7400</v>
      </c>
      <c r="H48" s="36">
        <f>IF($B$48="","",INDEX(tblPlan[Overtime needed (h)],12))</f>
        <v>0</v>
      </c>
      <c r="I48" s="37">
        <f>IF($B$48="","",INDEX(tblPlan[Operators needed per shift],12))</f>
        <v>6</v>
      </c>
      <c r="J48" s="55">
        <f>Crew</f>
        <v>6</v>
      </c>
      <c r="K48" s="40" t="str">
        <f>IF($B$48="","",INDEX(tblPlan[Status],12))</f>
        <v>Under capacity</v>
      </c>
      <c r="L48" s="40"/>
    </row>
    <row r="49" spans="2:12" ht="8" customHeight="1" x14ac:dyDescent="0.25"/>
    <row r="50" spans="2:12" x14ac:dyDescent="0.25">
      <c r="B50" s="21" t="s">
        <v>139</v>
      </c>
      <c r="C50" s="21"/>
      <c r="D50" s="21"/>
      <c r="E50" s="21"/>
      <c r="F50" s="21"/>
      <c r="G50" s="21"/>
      <c r="H50" s="21"/>
      <c r="I50" s="21"/>
      <c r="J50" s="21"/>
      <c r="K50" s="21"/>
      <c r="L50" s="21"/>
    </row>
    <row r="51" spans="2:12" x14ac:dyDescent="0.25">
      <c r="B51" s="56">
        <f>IF(COUNTA(tblPlan[Period])&gt;12,"The Takt Plan has more than 12 rows: the charts and the table above show the first 12.","")</f>
        <v/>
      </c>
      <c r="C51" s="56"/>
      <c r="D51" s="56"/>
      <c r="E51" s="56"/>
      <c r="F51" s="56"/>
      <c r="G51" s="56"/>
      <c r="H51" s="56"/>
      <c r="I51" s="56"/>
      <c r="J51" s="56"/>
      <c r="K51" s="56"/>
      <c r="L51" s="56"/>
    </row>
  </sheetData>
  <sheetProtection sheet="1" formatColumns="0" formatRows="0"/>
  <mergeCells count="52">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35:L35"/>
    <mergeCell ref="K36:L36"/>
    <mergeCell ref="K37:L37"/>
    <mergeCell ref="K38:L38"/>
    <mergeCell ref="K39:L39"/>
    <mergeCell ref="K40:L40"/>
    <mergeCell ref="K41:L41"/>
    <mergeCell ref="K42:L42"/>
    <mergeCell ref="K43:L43"/>
    <mergeCell ref="K44:L44"/>
    <mergeCell ref="K45:L45"/>
    <mergeCell ref="K46:L46"/>
    <mergeCell ref="K47:L47"/>
    <mergeCell ref="K48:L48"/>
    <mergeCell ref="B50:L50"/>
    <mergeCell ref="B51:L51"/>
  </mergeCells>
  <conditionalFormatting sqref="D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F37:F48">
    <cfRule type="dataBar" priority="4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J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37:K48">
    <cfRule type="cellIs" dxfId="0" priority="42" operator="equal">
      <formula>"On target"</formula>
    </cfRule>
    <cfRule type="cellIs" dxfId="0" priority="43" operator="equal">
      <formula>"PASS"</formula>
    </cfRule>
    <cfRule type="cellIs" dxfId="0" priority="44" operator="equal">
      <formula>"OK"</formula>
    </cfRule>
    <cfRule type="cellIs" dxfId="0" priority="45" operator="equal">
      <formula>"Within limits"</formula>
    </cfRule>
    <cfRule type="cellIs" dxfId="0" priority="46" operator="equal">
      <formula>"Under capacity"</formula>
    </cfRule>
    <cfRule type="cellIs" dxfId="0" priority="47" operator="equal">
      <formula>"Complete"</formula>
    </cfRule>
    <cfRule type="cellIs" dxfId="0" priority="48" operator="equal">
      <formula>"Yes"</formula>
    </cfRule>
    <cfRule type="cellIs" dxfId="1" priority="49" operator="equal">
      <formula>"Near target"</formula>
    </cfRule>
    <cfRule type="cellIs" dxfId="1" priority="50" operator="equal">
      <formula>"Check"</formula>
    </cfRule>
    <cfRule type="cellIs" dxfId="1" priority="51" operator="equal">
      <formula>"Due soon"</formula>
    </cfRule>
    <cfRule type="cellIs" dxfId="1" priority="52" operator="equal">
      <formula>"Near capacity"</formula>
    </cfRule>
    <cfRule type="cellIs" dxfId="1" priority="53" operator="equal">
      <formula>"In progress"</formula>
    </cfRule>
    <cfRule type="cellIs" dxfId="1" priority="54" operator="equal">
      <formula>"Partial"</formula>
    </cfRule>
    <cfRule type="cellIs" dxfId="2" priority="55" operator="equal">
      <formula>"Below target"</formula>
    </cfRule>
    <cfRule type="cellIs" dxfId="2" priority="56" operator="equal">
      <formula>"Above target"</formula>
    </cfRule>
    <cfRule type="cellIs" dxfId="2" priority="57" operator="equal">
      <formula>"FAIL"</formula>
    </cfRule>
    <cfRule type="cellIs" dxfId="2" priority="58" operator="equal">
      <formula>"Over capacity"</formula>
    </cfRule>
    <cfRule type="cellIs" dxfId="2" priority="59" operator="equal">
      <formula>"Overdue"</formula>
    </cfRule>
    <cfRule type="cellIs" dxfId="2" priority="60" operator="equal">
      <formula>"Out of limits"</formula>
    </cfRule>
    <cfRule type="cellIs" dxfId="2" priority="61"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Takt Time Planner&amp;R&amp;8&amp;A</oddHeader>
    <oddFooter>&amp;L&amp;8mfgcalcs.com - free manufacturing templates&amp;R&amp;8Page &amp;P of &amp;N</oddFooter>
  </headerFooter>
  <rowBreaks count="1" manualBreakCount="1">
    <brk id="28"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F37:F48</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140</v>
      </c>
      <c r="C4" s="8"/>
      <c r="D4" s="8"/>
    </row>
    <row r="5" spans="1:4" ht="5" customHeight="1"/>
    <row r="6" spans="1:4" ht="55.8" customHeight="1">
      <c r="B6" s="10" t="s">
        <v>141</v>
      </c>
      <c r="C6" s="10"/>
      <c r="D6" s="10"/>
    </row>
    <row r="8" spans="1:4" ht="21" customHeight="1">
      <c r="B8" s="8" t="s">
        <v>142</v>
      </c>
      <c r="C8" s="8"/>
      <c r="D8" s="8"/>
    </row>
    <row r="9" spans="1:4" ht="5" customHeight="1"/>
    <row r="10" spans="1:4" ht="20" customHeight="1">
      <c r="B10" s="52" t="s">
        <v>143</v>
      </c>
      <c r="C10" s="52" t="s">
        <v>144</v>
      </c>
      <c r="D10" s="35" t="s">
        <v>145</v>
      </c>
    </row>
    <row r="11" spans="1:4" ht="17.2" customHeight="1">
      <c r="B11" s="57" t="s">
        <v>89</v>
      </c>
      <c r="C11" s="58" t="s">
        <v>146</v>
      </c>
      <c r="D11" s="59" t="s">
        <v>147</v>
      </c>
    </row>
    <row r="12" spans="1:4" ht="17.2" customHeight="1">
      <c r="B12" s="57" t="s">
        <v>148</v>
      </c>
      <c r="C12" s="58" t="s">
        <v>149</v>
      </c>
      <c r="D12" s="59" t="s">
        <v>150</v>
      </c>
    </row>
    <row r="13" spans="1:4" ht="17.2" customHeight="1">
      <c r="B13" s="57" t="s">
        <v>151</v>
      </c>
      <c r="C13" s="58" t="s">
        <v>152</v>
      </c>
      <c r="D13" s="59" t="s">
        <v>68</v>
      </c>
    </row>
    <row r="14" spans="1:4" ht="17.2" customHeight="1">
      <c r="B14" s="57" t="s">
        <v>153</v>
      </c>
      <c r="C14" s="58" t="s">
        <v>154</v>
      </c>
      <c r="D14" s="59" t="s">
        <v>155</v>
      </c>
    </row>
    <row r="15" spans="1:4" ht="17.2" customHeight="1">
      <c r="B15" s="57" t="s">
        <v>135</v>
      </c>
      <c r="C15" s="58" t="s">
        <v>156</v>
      </c>
      <c r="D15" s="59" t="s">
        <v>157</v>
      </c>
    </row>
    <row r="16" spans="1:4" ht="30.4" customHeight="1">
      <c r="B16" s="57" t="s">
        <v>158</v>
      </c>
      <c r="C16" s="58" t="s">
        <v>159</v>
      </c>
      <c r="D16" s="59" t="s">
        <v>160</v>
      </c>
    </row>
    <row r="17" spans="2:4" ht="17.2" customHeight="1">
      <c r="B17" s="57" t="s">
        <v>161</v>
      </c>
      <c r="C17" s="58" t="s">
        <v>162</v>
      </c>
      <c r="D17" s="59" t="s">
        <v>160</v>
      </c>
    </row>
    <row r="18" spans="2:4" ht="17.2" customHeight="1">
      <c r="B18" s="57" t="s">
        <v>163</v>
      </c>
      <c r="C18" s="58" t="s">
        <v>164</v>
      </c>
      <c r="D18" s="59" t="s">
        <v>165</v>
      </c>
    </row>
    <row r="19" spans="2:4" ht="30.4" customHeight="1">
      <c r="B19" s="57" t="s">
        <v>97</v>
      </c>
      <c r="C19" s="58" t="s">
        <v>166</v>
      </c>
      <c r="D19" s="59" t="s">
        <v>167</v>
      </c>
    </row>
    <row r="20" spans="2:4" ht="30.4" customHeight="1">
      <c r="B20" s="57" t="s">
        <v>98</v>
      </c>
      <c r="C20" s="58" t="s">
        <v>168</v>
      </c>
      <c r="D20" s="59" t="s">
        <v>71</v>
      </c>
    </row>
    <row r="21" spans="2:4" ht="30.4" customHeight="1">
      <c r="B21" s="57" t="s">
        <v>99</v>
      </c>
      <c r="C21" s="58" t="s">
        <v>169</v>
      </c>
      <c r="D21" s="59" t="s">
        <v>170</v>
      </c>
    </row>
    <row r="22" spans="2:4" ht="30.4" customHeight="1">
      <c r="B22" s="57" t="s">
        <v>171</v>
      </c>
      <c r="C22" s="58" t="s">
        <v>172</v>
      </c>
      <c r="D22" s="59" t="s">
        <v>170</v>
      </c>
    </row>
    <row r="24" spans="2:4" ht="21" customHeight="1">
      <c r="B24" s="8" t="s">
        <v>173</v>
      </c>
      <c r="C24" s="8"/>
      <c r="D24" s="8"/>
    </row>
    <row r="25" spans="2:4" ht="5" customHeight="1"/>
    <row r="26" spans="2:4" ht="16.2" customHeight="1">
      <c r="B26" s="26" t="s">
        <v>53</v>
      </c>
      <c r="C26" s="10" t="s">
        <v>174</v>
      </c>
      <c r="D26" s="10"/>
    </row>
    <row r="27" spans="2:4" ht="29.4" customHeight="1">
      <c r="B27" s="26" t="s">
        <v>53</v>
      </c>
      <c r="C27" s="10" t="s">
        <v>175</v>
      </c>
      <c r="D27" s="10"/>
    </row>
    <row r="28" spans="2:4" ht="29.4" customHeight="1">
      <c r="B28" s="26" t="s">
        <v>53</v>
      </c>
      <c r="C28" s="10" t="s">
        <v>176</v>
      </c>
      <c r="D28" s="10"/>
    </row>
    <row r="29" spans="2:4" ht="16.2" customHeight="1">
      <c r="B29" s="26" t="s">
        <v>53</v>
      </c>
      <c r="C29" s="10" t="s">
        <v>177</v>
      </c>
      <c r="D29" s="10"/>
    </row>
    <row r="30" spans="2:4" ht="16.2" customHeight="1">
      <c r="B30" s="26" t="s">
        <v>53</v>
      </c>
      <c r="C30" s="10" t="s">
        <v>178</v>
      </c>
      <c r="D30" s="10"/>
    </row>
    <row r="32" spans="2:4" ht="21" customHeight="1">
      <c r="B32" s="8" t="s">
        <v>179</v>
      </c>
      <c r="C32" s="8"/>
      <c r="D32" s="8"/>
    </row>
    <row r="33" spans="2:4" ht="5" customHeight="1"/>
    <row r="34" spans="2:4" ht="42.6" customHeight="1">
      <c r="B34" s="26" t="s">
        <v>53</v>
      </c>
      <c r="C34" s="10" t="s">
        <v>180</v>
      </c>
      <c r="D34" s="10"/>
    </row>
    <row r="35" spans="2:4" ht="29.4" customHeight="1">
      <c r="B35" s="26" t="s">
        <v>53</v>
      </c>
      <c r="C35" s="10" t="s">
        <v>181</v>
      </c>
      <c r="D35" s="10"/>
    </row>
    <row r="36" spans="2:4" ht="29.4" customHeight="1">
      <c r="B36" s="26" t="s">
        <v>53</v>
      </c>
      <c r="C36" s="10" t="s">
        <v>182</v>
      </c>
      <c r="D36" s="10"/>
    </row>
    <row r="37" spans="2:4" ht="29.4" customHeight="1">
      <c r="B37" s="26" t="s">
        <v>53</v>
      </c>
      <c r="C37" s="10" t="s">
        <v>183</v>
      </c>
      <c r="D37" s="10"/>
    </row>
    <row r="39" spans="2:4" ht="21" customHeight="1">
      <c r="B39" s="8" t="s">
        <v>184</v>
      </c>
      <c r="C39" s="8"/>
      <c r="D39" s="8"/>
    </row>
    <row r="40" spans="2:4" ht="5" customHeight="1"/>
    <row r="41" spans="2:4" ht="82.2" customHeight="1">
      <c r="B41" s="10" t="s">
        <v>185</v>
      </c>
      <c r="C41" s="10"/>
      <c r="D41" s="10"/>
    </row>
    <row r="42" spans="2:4">
      <c r="B42" s="24" t="s">
        <v>186</v>
      </c>
      <c r="C42" s="24"/>
      <c r="D42" s="24"/>
    </row>
    <row r="44" spans="2:4" ht="21" customHeight="1">
      <c r="B44" s="8" t="s">
        <v>40</v>
      </c>
      <c r="C44" s="8"/>
      <c r="D44" s="8"/>
    </row>
    <row r="45" spans="2:4" ht="5" customHeight="1"/>
    <row r="46" spans="2:4" ht="42.6" customHeight="1">
      <c r="B46" s="10" t="s">
        <v>187</v>
      </c>
      <c r="C46" s="10"/>
      <c r="D46" s="10"/>
    </row>
    <row r="48" spans="2:4" ht="21" customHeight="1">
      <c r="B48" s="8" t="s">
        <v>188</v>
      </c>
      <c r="C48" s="8"/>
      <c r="D48" s="8"/>
    </row>
    <row r="49" spans="2:4" ht="5" customHeight="1"/>
    <row r="50" spans="2:4" ht="29.4" customHeight="1">
      <c r="B50" s="26" t="s">
        <v>53</v>
      </c>
      <c r="C50" s="10" t="s">
        <v>189</v>
      </c>
      <c r="D50" s="10"/>
    </row>
    <row r="51" spans="2:4" ht="16.2" customHeight="1">
      <c r="B51" s="26" t="s">
        <v>53</v>
      </c>
      <c r="C51" s="10" t="s">
        <v>190</v>
      </c>
      <c r="D51" s="10"/>
    </row>
    <row r="52" spans="2:4" ht="29.4" customHeight="1">
      <c r="B52" s="26" t="s">
        <v>53</v>
      </c>
      <c r="C52" s="10" t="s">
        <v>191</v>
      </c>
      <c r="D52" s="10"/>
    </row>
    <row r="53" spans="2:4">
      <c r="B53" s="21" t="s">
        <v>192</v>
      </c>
      <c r="C53" s="21"/>
      <c r="D53" s="21"/>
    </row>
    <row r="55" spans="2:4" ht="21" customHeight="1">
      <c r="B55" s="8" t="s">
        <v>193</v>
      </c>
      <c r="C55" s="8"/>
      <c r="D55" s="8"/>
    </row>
    <row r="56" spans="2:4" ht="5" customHeight="1"/>
    <row r="57" spans="2:4">
      <c r="B57" s="52" t="s">
        <v>48</v>
      </c>
      <c r="C57" s="52" t="s">
        <v>194</v>
      </c>
      <c r="D57" s="35" t="s">
        <v>195</v>
      </c>
    </row>
    <row r="58" spans="2:4" ht="16.2" customHeight="1">
      <c r="B58" s="60" t="s">
        <v>196</v>
      </c>
      <c r="C58" s="61" t="s">
        <v>197</v>
      </c>
      <c r="D58" s="62" t="s">
        <v>198</v>
      </c>
    </row>
    <row r="60" spans="2:4">
      <c r="B60" s="21" t="s">
        <v>59</v>
      </c>
      <c r="C60" s="21"/>
      <c r="D60" s="21"/>
    </row>
  </sheetData>
  <sheetProtection sheet="1" formatColumns="0" formatRows="0"/>
  <mergeCells count="28">
    <mergeCell ref="A1:D1"/>
    <mergeCell ref="B2:C2"/>
    <mergeCell ref="B4:D4"/>
    <mergeCell ref="B6:D6"/>
    <mergeCell ref="B8:D8"/>
    <mergeCell ref="B24:D24"/>
    <mergeCell ref="C26:D26"/>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Takt Time Planner&amp;R&amp;8&amp;A</oddHeader>
    <oddFooter>&amp;L&amp;8mfgcalcs.com - free manufacturing templates&amp;R&amp;8Page &amp;P of &amp;N</oddFooter>
  </headerFooter>
  <rowBreaks count="1" manualBreakCount="1">
    <brk id="31"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T62"/>
  <sheetViews>
    <sheetView showGridLines="0" workbookViewId="0"/>
  </sheetViews>
  <sheetFormatPr defaultRowHeight="15"/>
  <cols>
    <col min="1" max="1" width="2.7109375" customWidth="1"/>
    <col min="2" max="19" width="12.7109375" customWidth="1"/>
    <col min="20" max="20" width="26.7109375" customWidth="1"/>
  </cols>
  <sheetData>
    <row r="1" spans="1:20" ht="30" customHeight="1">
      <c r="A1" s="1" t="s">
        <v>0</v>
      </c>
      <c r="B1" s="1"/>
      <c r="C1" s="1"/>
      <c r="D1" s="1"/>
      <c r="E1" s="1"/>
      <c r="F1" s="1"/>
      <c r="G1" s="1"/>
      <c r="H1" s="1"/>
      <c r="I1" s="1"/>
      <c r="J1" s="1"/>
      <c r="K1" s="1"/>
      <c r="L1" s="1"/>
      <c r="M1" s="1"/>
      <c r="N1" s="1"/>
      <c r="O1" s="1"/>
      <c r="P1" s="1"/>
      <c r="Q1" s="1"/>
      <c r="R1" s="1"/>
      <c r="S1" s="1"/>
      <c r="T1" s="1"/>
    </row>
    <row r="2" spans="1:20" ht="21" customHeight="1">
      <c r="B2" s="2" t="s">
        <v>26</v>
      </c>
      <c r="C2" s="2"/>
      <c r="D2" s="2"/>
      <c r="E2" s="2"/>
      <c r="F2" s="2"/>
      <c r="G2" s="2"/>
      <c r="H2" s="2"/>
      <c r="I2" s="2"/>
      <c r="J2" s="2"/>
      <c r="K2" s="2"/>
      <c r="L2" s="2"/>
      <c r="M2" s="2"/>
      <c r="N2" s="2"/>
      <c r="O2" s="2"/>
      <c r="P2" s="2"/>
      <c r="Q2" s="2"/>
      <c r="R2" s="2"/>
      <c r="S2" s="2"/>
      <c r="T2" s="3" t="s">
        <v>2</v>
      </c>
    </row>
    <row r="3" spans="1:20" ht="6" customHeight="1"/>
    <row r="4" spans="1:20" ht="30" customHeight="1">
      <c r="B4" s="63" t="s">
        <v>199</v>
      </c>
      <c r="C4" s="63"/>
      <c r="D4" s="22" t="str">
        <f>IF(COUNTIF($K$11:$K$42,"PASS")=32,"PASS","FAIL")</f>
        <v>PASS</v>
      </c>
      <c r="E4" s="22"/>
      <c r="F4" s="23" t="str">
        <f>COUNTIF($K$11:$K$42,"PASS")&amp;" of 32 checks pass"</f>
        <v>32 of 32 checks pass</v>
      </c>
      <c r="G4" s="23"/>
      <c r="H4" s="23"/>
      <c r="I4" s="23"/>
      <c r="J4" s="23"/>
    </row>
    <row r="6" spans="1:20" ht="29.4" customHeight="1">
      <c r="B6" s="10" t="s">
        <v>200</v>
      </c>
      <c r="C6" s="10"/>
      <c r="D6" s="10"/>
      <c r="E6" s="10"/>
      <c r="F6" s="10"/>
      <c r="G6" s="10"/>
      <c r="H6" s="10"/>
      <c r="I6" s="10"/>
      <c r="J6" s="10"/>
      <c r="K6" s="10"/>
      <c r="L6" s="10"/>
    </row>
    <row r="8" spans="1:20" ht="21" customHeight="1">
      <c r="B8" s="8" t="s">
        <v>201</v>
      </c>
      <c r="C8" s="8"/>
      <c r="D8" s="8"/>
      <c r="E8" s="8"/>
      <c r="F8" s="8"/>
      <c r="G8" s="8"/>
      <c r="H8" s="8"/>
      <c r="I8" s="8"/>
      <c r="J8" s="8"/>
      <c r="K8" s="8"/>
      <c r="L8" s="8"/>
    </row>
    <row r="9" spans="1:20" ht="5" customHeight="1"/>
    <row r="10" spans="1:20" ht="30" customHeight="1">
      <c r="B10" s="35" t="s">
        <v>202</v>
      </c>
      <c r="C10" s="52" t="s">
        <v>100</v>
      </c>
      <c r="D10" s="52"/>
      <c r="E10" s="52"/>
      <c r="F10" s="52"/>
      <c r="G10" s="35" t="s">
        <v>203</v>
      </c>
      <c r="H10" s="35" t="s">
        <v>204</v>
      </c>
      <c r="I10" s="35" t="s">
        <v>205</v>
      </c>
      <c r="J10" s="35" t="s">
        <v>206</v>
      </c>
      <c r="K10" s="35" t="s">
        <v>207</v>
      </c>
    </row>
    <row r="11" spans="1:20" ht="16.2" customHeight="1">
      <c r="B11" s="64">
        <v>1</v>
      </c>
      <c r="C11" s="61" t="s">
        <v>208</v>
      </c>
      <c r="D11" s="61"/>
      <c r="E11" s="61"/>
      <c r="F11" s="61"/>
      <c r="G11" s="55">
        <v>435</v>
      </c>
      <c r="H11" s="37">
        <f>$I$59</f>
        <v>435</v>
      </c>
      <c r="I11" s="65">
        <f>IF(AND(ISNUMBER($G$11),ISNUMBER($H$11)),ABS($H$11-$G$11),"")</f>
        <v>0</v>
      </c>
      <c r="J11" s="66">
        <v>1E-09</v>
      </c>
      <c r="K11" s="40" t="str">
        <f>IF(AND(ISNUMBER($G$11),ISNUMBER($H$11)),IF(ABS($H$11-$G$11)&lt;=$J$11,"PASS","FAIL"),"FAIL")</f>
        <v>PASS</v>
      </c>
    </row>
    <row r="12" spans="1:20" ht="16.2" customHeight="1">
      <c r="B12" s="64">
        <v>2</v>
      </c>
      <c r="C12" s="61" t="s">
        <v>209</v>
      </c>
      <c r="D12" s="61"/>
      <c r="E12" s="61"/>
      <c r="F12" s="61"/>
      <c r="G12" s="67">
        <v>27.47368421052632</v>
      </c>
      <c r="H12" s="68">
        <f>$J$59</f>
        <v>27.4736842105263</v>
      </c>
      <c r="I12" s="65">
        <f>IF(AND(ISNUMBER($G$12),ISNUMBER($H$12)),ABS($H$12-$G$12),"")</f>
        <v>0</v>
      </c>
      <c r="J12" s="66">
        <v>1E-09</v>
      </c>
      <c r="K12" s="40" t="str">
        <f>IF(AND(ISNUMBER($G$12),ISNUMBER($H$12)),IF(ABS($H$12-$G$12)&lt;=$J$12,"PASS","FAIL"),"FAIL")</f>
        <v>PASS</v>
      </c>
    </row>
    <row r="13" spans="1:20" ht="16.2" customHeight="1">
      <c r="B13" s="64">
        <v>3</v>
      </c>
      <c r="C13" s="61" t="s">
        <v>210</v>
      </c>
      <c r="D13" s="61"/>
      <c r="E13" s="61"/>
      <c r="F13" s="61"/>
      <c r="G13" s="69">
        <v>1.019157088122605</v>
      </c>
      <c r="H13" s="70">
        <f>$L$59</f>
        <v>1.01915708812261</v>
      </c>
      <c r="I13" s="65">
        <f>IF(AND(ISNUMBER($G$13),ISNUMBER($H$13)),ABS($H$13-$G$13),"")</f>
        <v>0</v>
      </c>
      <c r="J13" s="66">
        <v>1E-09</v>
      </c>
      <c r="K13" s="40" t="str">
        <f>IF(AND(ISNUMBER($G$13),ISNUMBER($H$13)),IF(ABS($H$13-$G$13)&lt;=$J$13,"PASS","FAIL"),"FAIL")</f>
        <v>PASS</v>
      </c>
    </row>
    <row r="14" spans="1:20" ht="16.2" customHeight="1">
      <c r="B14" s="64">
        <v>4</v>
      </c>
      <c r="C14" s="61" t="s">
        <v>211</v>
      </c>
      <c r="D14" s="61"/>
      <c r="E14" s="61"/>
      <c r="F14" s="61"/>
      <c r="G14" s="67">
        <v>0.1388888888888886</v>
      </c>
      <c r="H14" s="68">
        <f>$O$59</f>
        <v>0.138888888888889</v>
      </c>
      <c r="I14" s="65">
        <f>IF(AND(ISNUMBER($G$14),ISNUMBER($H$14)),ABS($H$14-$G$14),"")</f>
        <v>0</v>
      </c>
      <c r="J14" s="66">
        <v>1E-09</v>
      </c>
      <c r="K14" s="40" t="str">
        <f>IF(AND(ISNUMBER($G$14),ISNUMBER($H$14)),IF(ABS($H$14-$G$14)&lt;=$J$14,"PASS","FAIL"),"FAIL")</f>
        <v>PASS</v>
      </c>
    </row>
    <row r="15" spans="1:20" ht="16.2" customHeight="1">
      <c r="B15" s="64">
        <v>5</v>
      </c>
      <c r="C15" s="61" t="s">
        <v>212</v>
      </c>
      <c r="D15" s="61"/>
      <c r="E15" s="61"/>
      <c r="F15" s="61"/>
      <c r="G15" s="55">
        <v>11</v>
      </c>
      <c r="H15" s="37">
        <f>$Q$59</f>
        <v>11</v>
      </c>
      <c r="I15" s="65">
        <f>IF(AND(ISNUMBER($G$15),ISNUMBER($H$15)),ABS($H$15-$G$15),"")</f>
        <v>0</v>
      </c>
      <c r="J15" s="66">
        <v>1E-09</v>
      </c>
      <c r="K15" s="40" t="str">
        <f>IF(AND(ISNUMBER($G$15),ISNUMBER($H$15)),IF(ABS($H$15-$G$15)&lt;=$J$15,"PASS","FAIL"),"FAIL")</f>
        <v>PASS</v>
      </c>
    </row>
    <row r="16" spans="1:20" ht="16.2" customHeight="1">
      <c r="B16" s="64">
        <v>6</v>
      </c>
      <c r="C16" s="61" t="s">
        <v>213</v>
      </c>
      <c r="D16" s="61"/>
      <c r="E16" s="61"/>
      <c r="F16" s="61"/>
      <c r="G16" s="60" t="s">
        <v>214</v>
      </c>
      <c r="H16" s="71" t="str">
        <f>$R$59</f>
        <v>Over capacity</v>
      </c>
      <c r="I16" s="71"/>
      <c r="J16" s="62" t="s">
        <v>215</v>
      </c>
      <c r="K16" s="40" t="str">
        <f>IF($H$16&amp;""=$G$16&amp;"","PASS","FAIL")</f>
        <v>PASS</v>
      </c>
    </row>
    <row r="17" spans="2:11" ht="16.2" customHeight="1">
      <c r="B17" s="64">
        <v>7</v>
      </c>
      <c r="C17" s="61" t="s">
        <v>216</v>
      </c>
      <c r="D17" s="61"/>
      <c r="E17" s="61"/>
      <c r="F17" s="61"/>
      <c r="G17" s="55">
        <v>9030</v>
      </c>
      <c r="H17" s="37">
        <f>$I$60</f>
        <v>9030</v>
      </c>
      <c r="I17" s="65">
        <f>IF(AND(ISNUMBER($G$17),ISNUMBER($H$17)),ABS($H$17-$G$17),"")</f>
        <v>0</v>
      </c>
      <c r="J17" s="66">
        <v>1E-09</v>
      </c>
      <c r="K17" s="40" t="str">
        <f>IF(AND(ISNUMBER($G$17),ISNUMBER($H$17)),IF(ABS($H$17-$G$17)&lt;=$J$17,"PASS","FAIL"),"FAIL")</f>
        <v>PASS</v>
      </c>
    </row>
    <row r="18" spans="2:11" ht="16.2" customHeight="1">
      <c r="B18" s="64">
        <v>8</v>
      </c>
      <c r="C18" s="61" t="s">
        <v>217</v>
      </c>
      <c r="D18" s="61"/>
      <c r="E18" s="61"/>
      <c r="F18" s="61"/>
      <c r="G18" s="67">
        <v>43.344</v>
      </c>
      <c r="H18" s="68">
        <f>$J$60</f>
        <v>43.344</v>
      </c>
      <c r="I18" s="65">
        <f>IF(AND(ISNUMBER($G$18),ISNUMBER($H$18)),ABS($H$18-$G$18),"")</f>
        <v>0</v>
      </c>
      <c r="J18" s="66">
        <v>1E-09</v>
      </c>
      <c r="K18" s="40" t="str">
        <f>IF(AND(ISNUMBER($G$18),ISNUMBER($H$18)),IF(ABS($H$18-$G$18)&lt;=$J$18,"PASS","FAIL"),"FAIL")</f>
        <v>PASS</v>
      </c>
    </row>
    <row r="19" spans="2:11" ht="16.2" customHeight="1">
      <c r="B19" s="64">
        <v>9</v>
      </c>
      <c r="C19" s="61" t="s">
        <v>218</v>
      </c>
      <c r="D19" s="61"/>
      <c r="E19" s="61"/>
      <c r="F19" s="61"/>
      <c r="G19" s="69">
        <v>0.6459948320413437</v>
      </c>
      <c r="H19" s="70">
        <f>$L$60</f>
        <v>0.645994832041344</v>
      </c>
      <c r="I19" s="65">
        <f>IF(AND(ISNUMBER($G$19),ISNUMBER($H$19)),ABS($H$19-$G$19),"")</f>
        <v>0</v>
      </c>
      <c r="J19" s="66">
        <v>1E-09</v>
      </c>
      <c r="K19" s="40" t="str">
        <f>IF(AND(ISNUMBER($G$19),ISNUMBER($H$19)),IF(ABS($H$19-$G$19)&lt;=$J$19,"PASS","FAIL"),"FAIL")</f>
        <v>PASS</v>
      </c>
    </row>
    <row r="20" spans="2:11" ht="16.2" customHeight="1">
      <c r="B20" s="64">
        <v>10</v>
      </c>
      <c r="C20" s="61" t="s">
        <v>219</v>
      </c>
      <c r="D20" s="61"/>
      <c r="E20" s="61"/>
      <c r="F20" s="61"/>
      <c r="G20" s="67">
        <v>0</v>
      </c>
      <c r="H20" s="68">
        <f>$O$60</f>
        <v>0</v>
      </c>
      <c r="I20" s="65">
        <f>IF(AND(ISNUMBER($G$20),ISNUMBER($H$20)),ABS($H$20-$G$20),"")</f>
        <v>0</v>
      </c>
      <c r="J20" s="66">
        <v>1E-09</v>
      </c>
      <c r="K20" s="40" t="str">
        <f>IF(AND(ISNUMBER($G$20),ISNUMBER($H$20)),IF(ABS($H$20-$G$20)&lt;=$J$20,"PASS","FAIL"),"FAIL")</f>
        <v>PASS</v>
      </c>
    </row>
    <row r="21" spans="2:11" ht="16.2" customHeight="1">
      <c r="B21" s="64">
        <v>11</v>
      </c>
      <c r="C21" s="61" t="s">
        <v>220</v>
      </c>
      <c r="D21" s="61"/>
      <c r="E21" s="61"/>
      <c r="F21" s="61"/>
      <c r="G21" s="55">
        <v>7</v>
      </c>
      <c r="H21" s="37">
        <f>$Q$60</f>
        <v>7</v>
      </c>
      <c r="I21" s="65">
        <f>IF(AND(ISNUMBER($G$21),ISNUMBER($H$21)),ABS($H$21-$G$21),"")</f>
        <v>0</v>
      </c>
      <c r="J21" s="66">
        <v>1E-09</v>
      </c>
      <c r="K21" s="40" t="str">
        <f>IF(AND(ISNUMBER($G$21),ISNUMBER($H$21)),IF(ABS($H$21-$G$21)&lt;=$J$21,"PASS","FAIL"),"FAIL")</f>
        <v>PASS</v>
      </c>
    </row>
    <row r="22" spans="2:11" ht="16.2" customHeight="1">
      <c r="B22" s="64">
        <v>12</v>
      </c>
      <c r="C22" s="61" t="s">
        <v>221</v>
      </c>
      <c r="D22" s="61"/>
      <c r="E22" s="61"/>
      <c r="F22" s="61"/>
      <c r="G22" s="60" t="s">
        <v>222</v>
      </c>
      <c r="H22" s="71" t="str">
        <f>$R$60</f>
        <v>Under capacity</v>
      </c>
      <c r="I22" s="71"/>
      <c r="J22" s="62" t="s">
        <v>215</v>
      </c>
      <c r="K22" s="40" t="str">
        <f>IF($H$22&amp;""=$G$22&amp;"","PASS","FAIL")</f>
        <v>PASS</v>
      </c>
    </row>
    <row r="23" spans="2:11" ht="16.2" customHeight="1">
      <c r="B23" s="64">
        <v>13</v>
      </c>
      <c r="C23" s="61" t="s">
        <v>223</v>
      </c>
      <c r="D23" s="61"/>
      <c r="E23" s="61"/>
      <c r="F23" s="61"/>
      <c r="G23" s="55">
        <v>18920</v>
      </c>
      <c r="H23" s="37">
        <f>$I$61</f>
        <v>18920</v>
      </c>
      <c r="I23" s="65">
        <f>IF(AND(ISNUMBER($G$23),ISNUMBER($H$23)),ABS($H$23-$G$23),"")</f>
        <v>0</v>
      </c>
      <c r="J23" s="66">
        <v>1E-09</v>
      </c>
      <c r="K23" s="40" t="str">
        <f>IF(AND(ISNUMBER($G$23),ISNUMBER($H$23)),IF(ABS($H$23-$G$23)&lt;=$J$23,"PASS","FAIL"),"FAIL")</f>
        <v>PASS</v>
      </c>
    </row>
    <row r="24" spans="2:11" ht="16.2" customHeight="1">
      <c r="B24" s="64">
        <v>14</v>
      </c>
      <c r="C24" s="61" t="s">
        <v>224</v>
      </c>
      <c r="D24" s="61"/>
      <c r="E24" s="61"/>
      <c r="F24" s="61"/>
      <c r="G24" s="67">
        <v>30.68108108108108</v>
      </c>
      <c r="H24" s="68">
        <f>$J$61</f>
        <v>30.6810810810811</v>
      </c>
      <c r="I24" s="65">
        <f>IF(AND(ISNUMBER($G$24),ISNUMBER($H$24)),ABS($H$24-$G$24),"")</f>
        <v>0</v>
      </c>
      <c r="J24" s="66">
        <v>1E-09</v>
      </c>
      <c r="K24" s="40" t="str">
        <f>IF(AND(ISNUMBER($G$24),ISNUMBER($H$24)),IF(ABS($H$24-$G$24)&lt;=$J$24,"PASS","FAIL"),"FAIL")</f>
        <v>PASS</v>
      </c>
    </row>
    <row r="25" spans="2:11" ht="16.2" customHeight="1">
      <c r="B25" s="64">
        <v>15</v>
      </c>
      <c r="C25" s="61" t="s">
        <v>225</v>
      </c>
      <c r="D25" s="61"/>
      <c r="E25" s="61"/>
      <c r="F25" s="61"/>
      <c r="G25" s="69">
        <v>0.91261451726568</v>
      </c>
      <c r="H25" s="70">
        <f>$L$61</f>
        <v>0.91261451726568</v>
      </c>
      <c r="I25" s="65">
        <f>IF(AND(ISNUMBER($G$25),ISNUMBER($H$25)),ABS($H$25-$G$25),"")</f>
        <v>0</v>
      </c>
      <c r="J25" s="66">
        <v>1E-09</v>
      </c>
      <c r="K25" s="40" t="str">
        <f>IF(AND(ISNUMBER($G$25),ISNUMBER($H$25)),IF(ABS($H$25-$G$25)&lt;=$J$25,"PASS","FAIL"),"FAIL")</f>
        <v>PASS</v>
      </c>
    </row>
    <row r="26" spans="2:11" ht="16.2" customHeight="1">
      <c r="B26" s="64">
        <v>16</v>
      </c>
      <c r="C26" s="61" t="s">
        <v>226</v>
      </c>
      <c r="D26" s="61"/>
      <c r="E26" s="61"/>
      <c r="F26" s="61"/>
      <c r="G26" s="67">
        <v>0</v>
      </c>
      <c r="H26" s="68">
        <f>$O$61</f>
        <v>0</v>
      </c>
      <c r="I26" s="65">
        <f>IF(AND(ISNUMBER($G$26),ISNUMBER($H$26)),ABS($H$26-$G$26),"")</f>
        <v>0</v>
      </c>
      <c r="J26" s="66">
        <v>1E-09</v>
      </c>
      <c r="K26" s="40" t="str">
        <f>IF(AND(ISNUMBER($G$26),ISNUMBER($H$26)),IF(ABS($H$26-$G$26)&lt;=$J$26,"PASS","FAIL"),"FAIL")</f>
        <v>PASS</v>
      </c>
    </row>
    <row r="27" spans="2:11" ht="16.2" customHeight="1">
      <c r="B27" s="64">
        <v>17</v>
      </c>
      <c r="C27" s="61" t="s">
        <v>227</v>
      </c>
      <c r="D27" s="61"/>
      <c r="E27" s="61"/>
      <c r="F27" s="61"/>
      <c r="G27" s="55">
        <v>10</v>
      </c>
      <c r="H27" s="37">
        <f>$Q$61</f>
        <v>10</v>
      </c>
      <c r="I27" s="65">
        <f>IF(AND(ISNUMBER($G$27),ISNUMBER($H$27)),ABS($H$27-$G$27),"")</f>
        <v>0</v>
      </c>
      <c r="J27" s="66">
        <v>1E-09</v>
      </c>
      <c r="K27" s="40" t="str">
        <f>IF(AND(ISNUMBER($G$27),ISNUMBER($H$27)),IF(ABS($H$27-$G$27)&lt;=$J$27,"PASS","FAIL"),"FAIL")</f>
        <v>PASS</v>
      </c>
    </row>
    <row r="28" spans="2:11" ht="16.2" customHeight="1">
      <c r="B28" s="64">
        <v>18</v>
      </c>
      <c r="C28" s="61" t="s">
        <v>228</v>
      </c>
      <c r="D28" s="61"/>
      <c r="E28" s="61"/>
      <c r="F28" s="61"/>
      <c r="G28" s="60" t="s">
        <v>229</v>
      </c>
      <c r="H28" s="71" t="str">
        <f>$R$61</f>
        <v>Near capacity</v>
      </c>
      <c r="I28" s="71"/>
      <c r="J28" s="62" t="s">
        <v>215</v>
      </c>
      <c r="K28" s="40" t="str">
        <f>IF($H$28&amp;""=$G$28&amp;"","PASS","FAIL")</f>
        <v>PASS</v>
      </c>
    </row>
    <row r="29" spans="2:11" ht="16.2" customHeight="1">
      <c r="B29" s="64">
        <v>19</v>
      </c>
      <c r="C29" s="61" t="s">
        <v>230</v>
      </c>
      <c r="D29" s="61"/>
      <c r="E29" s="61"/>
      <c r="F29" s="61"/>
      <c r="G29" s="67">
        <v>131.0344827586207</v>
      </c>
      <c r="H29" s="68">
        <f>$K$59</f>
        <v>131.034482758621</v>
      </c>
      <c r="I29" s="65">
        <f>IF(AND(ISNUMBER($G$29),ISNUMBER($H$29)),ABS($H$29-$G$29),"")</f>
        <v>0</v>
      </c>
      <c r="J29" s="66">
        <v>1E-09</v>
      </c>
      <c r="K29" s="40" t="str">
        <f>IF(AND(ISNUMBER($G$29),ISNUMBER($H$29)),IF(ABS($H$29-$G$29)&lt;=$J$29,"PASS","FAIL"),"FAIL")</f>
        <v>PASS</v>
      </c>
    </row>
    <row r="30" spans="2:11" ht="16.2" customHeight="1">
      <c r="B30" s="64">
        <v>20</v>
      </c>
      <c r="C30" s="61" t="s">
        <v>231</v>
      </c>
      <c r="D30" s="61"/>
      <c r="E30" s="61"/>
      <c r="F30" s="61"/>
      <c r="G30" s="67">
        <v>932.1428571428571</v>
      </c>
      <c r="H30" s="68">
        <f>$M$59</f>
        <v>932.142857142857</v>
      </c>
      <c r="I30" s="65">
        <f>IF(AND(ISNUMBER($G$30),ISNUMBER($H$30)),ABS($H$30-$G$30),"")</f>
        <v>0</v>
      </c>
      <c r="J30" s="66">
        <v>1E-09</v>
      </c>
      <c r="K30" s="40" t="str">
        <f>IF(AND(ISNUMBER($G$30),ISNUMBER($H$30)),IF(ABS($H$30-$G$30)&lt;=$J$30,"PASS","FAIL"),"FAIL")</f>
        <v>PASS</v>
      </c>
    </row>
    <row r="31" spans="2:11" ht="16.2" customHeight="1">
      <c r="B31" s="64">
        <v>21</v>
      </c>
      <c r="C31" s="61" t="s">
        <v>232</v>
      </c>
      <c r="D31" s="61"/>
      <c r="E31" s="61"/>
      <c r="F31" s="61"/>
      <c r="G31" s="67">
        <v>-17.85714285714289</v>
      </c>
      <c r="H31" s="68">
        <f>$N$59</f>
        <v>-17.8571428571429</v>
      </c>
      <c r="I31" s="65">
        <f>IF(AND(ISNUMBER($G$31),ISNUMBER($H$31)),ABS($H$31-$G$31),"")</f>
        <v>0</v>
      </c>
      <c r="J31" s="66">
        <v>1E-09</v>
      </c>
      <c r="K31" s="40" t="str">
        <f>IF(AND(ISNUMBER($G$31),ISNUMBER($H$31)),IF(ABS($H$31-$G$31)&lt;=$J$31,"PASS","FAIL"),"FAIL")</f>
        <v>PASS</v>
      </c>
    </row>
    <row r="32" spans="2:11" ht="16.2" customHeight="1">
      <c r="B32" s="64">
        <v>22</v>
      </c>
      <c r="C32" s="61" t="s">
        <v>233</v>
      </c>
      <c r="D32" s="61"/>
      <c r="E32" s="61"/>
      <c r="F32" s="61"/>
      <c r="G32" s="72">
        <v>37.49999999999991</v>
      </c>
      <c r="H32" s="73">
        <f>$P$59</f>
        <v>37.4999999999999</v>
      </c>
      <c r="I32" s="65">
        <f>IF(AND(ISNUMBER($G$32),ISNUMBER($H$32)),ABS($H$32-$G$32),"")</f>
        <v>0</v>
      </c>
      <c r="J32" s="66">
        <v>1E-06</v>
      </c>
      <c r="K32" s="40" t="str">
        <f>IF(AND(ISNUMBER($G$32),ISNUMBER($H$32)),IF(ABS($H$32-$G$32)&lt;=$J$32,"PASS","FAIL"),"FAIL")</f>
        <v>PASS</v>
      </c>
    </row>
    <row r="33" spans="2:12" ht="16.2" customHeight="1">
      <c r="B33" s="64">
        <v>23</v>
      </c>
      <c r="C33" s="61" t="s">
        <v>234</v>
      </c>
      <c r="D33" s="61"/>
      <c r="E33" s="61"/>
      <c r="F33" s="61"/>
      <c r="G33" s="54">
        <v>44</v>
      </c>
      <c r="H33" s="36">
        <f>$H$61</f>
        <v>44</v>
      </c>
      <c r="I33" s="65">
        <f>IF(AND(ISNUMBER($G$33),ISNUMBER($H$33)),ABS($H$33-$G$33),"")</f>
        <v>0</v>
      </c>
      <c r="J33" s="66">
        <v>1E-09</v>
      </c>
      <c r="K33" s="40" t="str">
        <f>IF(AND(ISNUMBER($G$33),ISNUMBER($H$33)),IF(ABS($H$33-$G$33)&lt;=$J$33,"PASS","FAIL"),"FAIL")</f>
        <v>PASS</v>
      </c>
    </row>
    <row r="34" spans="2:12" ht="16.2" customHeight="1">
      <c r="B34" s="64">
        <v>24</v>
      </c>
      <c r="C34" s="61" t="s">
        <v>235</v>
      </c>
      <c r="D34" s="61"/>
      <c r="E34" s="61"/>
      <c r="F34" s="61"/>
      <c r="G34" s="60" t="s">
        <v>236</v>
      </c>
      <c r="H34" s="71" t="str">
        <f>$S$62</f>
        <v>Breaks &gt;= shift length</v>
      </c>
      <c r="I34" s="71"/>
      <c r="J34" s="62" t="s">
        <v>215</v>
      </c>
      <c r="K34" s="40" t="str">
        <f>IF($H$34&amp;""=$G$34&amp;"","PASS","FAIL")</f>
        <v>PASS</v>
      </c>
    </row>
    <row r="35" spans="2:12" ht="16.2" customHeight="1">
      <c r="B35" s="64">
        <v>25</v>
      </c>
      <c r="C35" s="61" t="s">
        <v>237</v>
      </c>
      <c r="D35" s="61"/>
      <c r="E35" s="61"/>
      <c r="F35" s="61"/>
      <c r="G35" s="60" t="s">
        <v>104</v>
      </c>
      <c r="H35" s="71">
        <f>$J$62</f>
        <v/>
      </c>
      <c r="I35" s="71"/>
      <c r="J35" s="62" t="s">
        <v>215</v>
      </c>
      <c r="K35" s="40" t="str">
        <f>IF($H$35&amp;""=$G$35&amp;"","PASS","FAIL")</f>
        <v>PASS</v>
      </c>
    </row>
    <row r="36" spans="2:12" ht="16.2" customHeight="1">
      <c r="B36" s="64">
        <v>26</v>
      </c>
      <c r="C36" s="61" t="s">
        <v>238</v>
      </c>
      <c r="D36" s="61"/>
      <c r="E36" s="61"/>
      <c r="F36" s="61"/>
      <c r="G36" s="67">
        <v>27.47368421052632</v>
      </c>
      <c r="H36" s="68">
        <f>IF(COUNT(tblVerifyPlan[Takt time (s/unit)])=0,"",MIN(tblVerifyPlan[Takt time (s/unit)]))</f>
        <v>27.4736842105263</v>
      </c>
      <c r="I36" s="65">
        <f>IF(AND(ISNUMBER($G$36),ISNUMBER($H$36)),ABS($H$36-$G$36),"")</f>
        <v>0</v>
      </c>
      <c r="J36" s="66">
        <v>1E-09</v>
      </c>
      <c r="K36" s="40" t="str">
        <f>IF(AND(ISNUMBER($G$36),ISNUMBER($H$36)),IF(ABS($H$36-$G$36)&lt;=$J$36,"PASS","FAIL"),"FAIL")</f>
        <v>PASS</v>
      </c>
    </row>
    <row r="37" spans="2:12" ht="16.2" customHeight="1">
      <c r="B37" s="64">
        <v>27</v>
      </c>
      <c r="C37" s="61" t="s">
        <v>239</v>
      </c>
      <c r="D37" s="61"/>
      <c r="E37" s="61"/>
      <c r="F37" s="61"/>
      <c r="G37" s="69">
        <v>1.019157088122605</v>
      </c>
      <c r="H37" s="70">
        <f>IF(COUNT(tblVerifyPlan[Bottleneck load (% of takt)])=0,"",MAX(tblVerifyPlan[Bottleneck load (% of takt)]))</f>
        <v>1.01915708812261</v>
      </c>
      <c r="I37" s="65">
        <f>IF(AND(ISNUMBER($G$37),ISNUMBER($H$37)),ABS($H$37-$G$37),"")</f>
        <v>0</v>
      </c>
      <c r="J37" s="66">
        <v>1E-09</v>
      </c>
      <c r="K37" s="40" t="str">
        <f>IF(AND(ISNUMBER($G$37),ISNUMBER($H$37)),IF(ABS($H$37-$G$37)&lt;=$J$37,"PASS","FAIL"),"FAIL")</f>
        <v>PASS</v>
      </c>
    </row>
    <row r="38" spans="2:12" ht="16.2" customHeight="1">
      <c r="B38" s="64">
        <v>28</v>
      </c>
      <c r="C38" s="61" t="s">
        <v>240</v>
      </c>
      <c r="D38" s="61"/>
      <c r="E38" s="61"/>
      <c r="F38" s="61"/>
      <c r="G38" s="67">
        <v>0.1388888888888886</v>
      </c>
      <c r="H38" s="68">
        <f>SUM(tblVerifyPlan[Overtime needed (h)])</f>
        <v>0.138888888888889</v>
      </c>
      <c r="I38" s="65">
        <f>IF(AND(ISNUMBER($G$38),ISNUMBER($H$38)),ABS($H$38-$G$38),"")</f>
        <v>0</v>
      </c>
      <c r="J38" s="66">
        <v>1E-09</v>
      </c>
      <c r="K38" s="40" t="str">
        <f>IF(AND(ISNUMBER($G$38),ISNUMBER($H$38)),IF(ABS($H$38-$G$38)&lt;=$J$38,"PASS","FAIL"),"FAIL")</f>
        <v>PASS</v>
      </c>
    </row>
    <row r="39" spans="2:12" ht="16.2" customHeight="1">
      <c r="B39" s="64">
        <v>29</v>
      </c>
      <c r="C39" s="61" t="s">
        <v>241</v>
      </c>
      <c r="D39" s="61"/>
      <c r="E39" s="61"/>
      <c r="F39" s="61"/>
      <c r="G39" s="72">
        <v>37.49999999999991</v>
      </c>
      <c r="H39" s="73">
        <f>SUM(tblVerifyPlan[Overtime cost (est.)])</f>
        <v>37.4999999999999</v>
      </c>
      <c r="I39" s="65">
        <f>IF(AND(ISNUMBER($G$39),ISNUMBER($H$39)),ABS($H$39-$G$39),"")</f>
        <v>0</v>
      </c>
      <c r="J39" s="66">
        <v>1E-06</v>
      </c>
      <c r="K39" s="40" t="str">
        <f>IF(AND(ISNUMBER($G$39),ISNUMBER($H$39)),IF(ABS($H$39-$G$39)&lt;=$J$39,"PASS","FAIL"),"FAIL")</f>
        <v>PASS</v>
      </c>
    </row>
    <row r="40" spans="2:12" ht="16.2" customHeight="1">
      <c r="B40" s="64">
        <v>30</v>
      </c>
      <c r="C40" s="61" t="s">
        <v>242</v>
      </c>
      <c r="D40" s="61"/>
      <c r="E40" s="61"/>
      <c r="F40" s="61"/>
      <c r="G40" s="55">
        <v>11</v>
      </c>
      <c r="H40" s="37">
        <f>IF(COUNT(tblVerifyPlan[Operators needed per shift])=0,"",MAX(tblVerifyPlan[Operators needed per shift]))</f>
        <v>11</v>
      </c>
      <c r="I40" s="65">
        <f>IF(AND(ISNUMBER($G$40),ISNUMBER($H$40)),ABS($H$40-$G$40),"")</f>
        <v>0</v>
      </c>
      <c r="J40" s="66">
        <v>1E-09</v>
      </c>
      <c r="K40" s="40" t="str">
        <f>IF(AND(ISNUMBER($G$40),ISNUMBER($H$40)),IF(ABS($H$40-$G$40)&lt;=$J$40,"PASS","FAIL"),"FAIL")</f>
        <v>PASS</v>
      </c>
    </row>
    <row r="41" spans="2:12" ht="16.2" customHeight="1">
      <c r="B41" s="64">
        <v>31</v>
      </c>
      <c r="C41" s="61" t="s">
        <v>243</v>
      </c>
      <c r="D41" s="61"/>
      <c r="E41" s="61"/>
      <c r="F41" s="61"/>
      <c r="G41" s="67">
        <v>33.60237388724035</v>
      </c>
      <c r="H41" s="68">
        <f>IF((SUM(tblVerifyPlan[Demand (units)]))=0,"",(SUM(tblVerifyPlan[Available time (min)])*60)/(SUM(tblVerifyPlan[Demand (units)])))</f>
        <v>33.6023738872404</v>
      </c>
      <c r="I41" s="65">
        <f>IF(AND(ISNUMBER($G$41),ISNUMBER($H$41)),ABS($H$41-$G$41),"")</f>
        <v>0</v>
      </c>
      <c r="J41" s="66">
        <v>1E-09</v>
      </c>
      <c r="K41" s="40" t="str">
        <f>IF(AND(ISNUMBER($G$41),ISNUMBER($H$41)),IF(ABS($H$41-$G$41)&lt;=$J$41,"PASS","FAIL"),"FAIL")</f>
        <v>PASS</v>
      </c>
    </row>
    <row r="42" spans="2:12" ht="16.2" customHeight="1">
      <c r="B42" s="64">
        <v>32</v>
      </c>
      <c r="C42" s="61" t="s">
        <v>244</v>
      </c>
      <c r="D42" s="61"/>
      <c r="E42" s="61"/>
      <c r="F42" s="61"/>
      <c r="G42" s="55">
        <v>1</v>
      </c>
      <c r="H42" s="37">
        <f>COUNTIF(tblVerifyPlan[Status],"Over capacity")</f>
        <v>1</v>
      </c>
      <c r="I42" s="65">
        <f>IF(AND(ISNUMBER($G$42),ISNUMBER($H$42)),ABS($H$42-$G$42),"")</f>
        <v>0</v>
      </c>
      <c r="J42" s="66">
        <v>1E-09</v>
      </c>
      <c r="K42" s="40" t="str">
        <f>IF(AND(ISNUMBER($G$42),ISNUMBER($H$42)),IF(ABS($H$42-$G$42)&lt;=$J$42,"PASS","FAIL"),"FAIL")</f>
        <v>PASS</v>
      </c>
    </row>
    <row r="44" spans="2:12" ht="21" customHeight="1">
      <c r="B44" s="8" t="s">
        <v>245</v>
      </c>
      <c r="C44" s="8"/>
      <c r="D44" s="8"/>
      <c r="E44" s="8"/>
      <c r="F44" s="8"/>
      <c r="G44" s="8"/>
      <c r="H44" s="8"/>
      <c r="I44" s="8"/>
      <c r="J44" s="8"/>
      <c r="K44" s="8"/>
      <c r="L44" s="8"/>
    </row>
    <row r="45" spans="2:12" ht="5" customHeight="1"/>
    <row r="46" spans="2:12">
      <c r="B46" s="21" t="s">
        <v>246</v>
      </c>
      <c r="C46" s="21"/>
      <c r="D46" s="21"/>
      <c r="E46" s="21"/>
      <c r="F46" s="21"/>
      <c r="G46" s="21"/>
      <c r="H46" s="21"/>
      <c r="I46" s="21"/>
      <c r="J46" s="21"/>
      <c r="K46" s="21"/>
      <c r="L46" s="21"/>
    </row>
    <row r="47" spans="2:12">
      <c r="B47" s="51" t="s">
        <v>247</v>
      </c>
      <c r="C47" s="51"/>
      <c r="D47" s="51"/>
      <c r="E47" s="51"/>
      <c r="F47" s="51"/>
    </row>
    <row r="48" spans="2:12">
      <c r="B48" s="27" t="s">
        <v>248</v>
      </c>
      <c r="C48" s="27"/>
      <c r="D48" s="27"/>
      <c r="E48" s="54">
        <v>28</v>
      </c>
      <c r="F48" s="7"/>
    </row>
    <row r="49" spans="2:20">
      <c r="B49" s="27" t="s">
        <v>249</v>
      </c>
      <c r="C49" s="27"/>
      <c r="D49" s="27"/>
      <c r="E49" s="54">
        <v>300</v>
      </c>
      <c r="F49" s="7"/>
    </row>
    <row r="50" spans="2:20">
      <c r="B50" s="27" t="s">
        <v>70</v>
      </c>
      <c r="C50" s="27"/>
      <c r="D50" s="27"/>
      <c r="E50" s="55">
        <v>6</v>
      </c>
      <c r="F50" s="7"/>
    </row>
    <row r="51" spans="2:20">
      <c r="B51" s="27" t="s">
        <v>79</v>
      </c>
      <c r="C51" s="27"/>
      <c r="D51" s="27"/>
      <c r="E51" s="72">
        <v>30</v>
      </c>
      <c r="F51" s="7"/>
    </row>
    <row r="52" spans="2:20">
      <c r="B52" s="27" t="s">
        <v>250</v>
      </c>
      <c r="C52" s="27"/>
      <c r="D52" s="27"/>
      <c r="E52" s="72">
        <v>1.5</v>
      </c>
      <c r="F52" s="7"/>
    </row>
    <row r="53" spans="2:20">
      <c r="B53" s="27" t="s">
        <v>73</v>
      </c>
      <c r="C53" s="27"/>
      <c r="D53" s="27"/>
      <c r="E53" s="74">
        <v>0.9</v>
      </c>
      <c r="F53" s="7"/>
    </row>
    <row r="54" spans="2:20">
      <c r="B54" s="27" t="s">
        <v>75</v>
      </c>
      <c r="C54" s="27"/>
      <c r="D54" s="27"/>
      <c r="E54" s="74">
        <v>1</v>
      </c>
      <c r="F54" s="7"/>
    </row>
    <row r="56" spans="2:20">
      <c r="B56" s="51" t="s">
        <v>251</v>
      </c>
      <c r="C56" s="51"/>
      <c r="D56" s="51"/>
      <c r="E56" s="51"/>
      <c r="F56" s="51"/>
      <c r="G56" s="51"/>
      <c r="H56" s="51"/>
      <c r="I56" s="51"/>
      <c r="J56" s="51"/>
      <c r="K56" s="51"/>
      <c r="L56" s="51"/>
    </row>
    <row r="57" spans="2:20" ht="14" customHeight="1">
      <c r="B57" s="34"/>
      <c r="C57" s="34"/>
      <c r="D57" s="34"/>
      <c r="E57" s="34"/>
      <c r="F57" s="34"/>
      <c r="G57" s="34"/>
      <c r="H57" s="34"/>
      <c r="I57" s="34"/>
      <c r="J57" s="34"/>
      <c r="K57" s="34"/>
      <c r="L57" s="34"/>
      <c r="M57" s="34"/>
      <c r="N57" s="34"/>
      <c r="O57" s="34"/>
      <c r="P57" s="34" t="str">
        <f>Currency</f>
        <v>USD</v>
      </c>
      <c r="Q57" s="34"/>
      <c r="R57" s="34"/>
      <c r="S57" s="34"/>
      <c r="T57" s="34"/>
    </row>
    <row r="58" spans="2:20" ht="45.5" customHeight="1">
      <c r="B58" s="35" t="s">
        <v>83</v>
      </c>
      <c r="C58" s="35" t="s">
        <v>84</v>
      </c>
      <c r="D58" s="35" t="s">
        <v>85</v>
      </c>
      <c r="E58" s="35" t="s">
        <v>86</v>
      </c>
      <c r="F58" s="35" t="s">
        <v>87</v>
      </c>
      <c r="G58" s="35" t="s">
        <v>88</v>
      </c>
      <c r="H58" s="35" t="s">
        <v>89</v>
      </c>
      <c r="I58" s="35" t="s">
        <v>90</v>
      </c>
      <c r="J58" s="35" t="s">
        <v>91</v>
      </c>
      <c r="K58" s="35" t="s">
        <v>92</v>
      </c>
      <c r="L58" s="35" t="s">
        <v>93</v>
      </c>
      <c r="M58" s="35" t="s">
        <v>94</v>
      </c>
      <c r="N58" s="35" t="s">
        <v>95</v>
      </c>
      <c r="O58" s="35" t="s">
        <v>96</v>
      </c>
      <c r="P58" s="35" t="s">
        <v>97</v>
      </c>
      <c r="Q58" s="35" t="s">
        <v>98</v>
      </c>
      <c r="R58" s="35" t="s">
        <v>99</v>
      </c>
      <c r="S58" s="35" t="s">
        <v>100</v>
      </c>
      <c r="T58" s="35" t="s">
        <v>101</v>
      </c>
    </row>
    <row r="59" spans="2:20">
      <c r="B59" s="60" t="s">
        <v>252</v>
      </c>
      <c r="C59" s="54">
        <v>1</v>
      </c>
      <c r="D59" s="54">
        <v>1</v>
      </c>
      <c r="E59" s="55">
        <v>480</v>
      </c>
      <c r="F59" s="55">
        <v>45</v>
      </c>
      <c r="G59" s="55">
        <v>950</v>
      </c>
      <c r="H59" s="36">
        <f>IF(tblVerifyPlan[[#This Row],[Period]]="","",tblVerifyPlan[[#This Row],[Working days]]*tblVerifyPlan[[#This Row],[Shifts per day]])</f>
        <v>1</v>
      </c>
      <c r="I59" s="37">
        <f>IF(tblVerifyPlan[[#This Row],[Period]]="","",(tblVerifyPlan[[#This Row],[Shift length (min)]]-tblVerifyPlan[[#This Row],[Breaks and planned stops (min)]])*tblVerifyPlan[[#This Row],[Shifts]])</f>
        <v>435</v>
      </c>
      <c r="J59" s="36">
        <f>IF(tblVerifyPlan[[#This Row],[Period]]="","",IF(AND(tblVerifyPlan[[#This Row],[Available time (min)]]&gt;0,tblVerifyPlan[[#This Row],[Demand (units)]]&gt;0),tblVerifyPlan[[#This Row],[Available time (min)]]*60/tblVerifyPlan[[#This Row],[Demand (units)]],""))</f>
        <v>27.4736842105263</v>
      </c>
      <c r="K59" s="36">
        <f>IF(tblVerifyPlan[[#This Row],[Period]]="","",IF(AND(tblVerifyPlan[[#This Row],[Available time (min)]]&gt;0,tblVerifyPlan[[#This Row],[Demand (units)]]&gt;0),tblVerifyPlan[[#This Row],[Demand (units)]]/(tblVerifyPlan[[#This Row],[Available time (min)]]/60),""))</f>
        <v>131.034482758621</v>
      </c>
      <c r="L59" s="38">
        <f>IF(tblVerifyPlan[[#This Row],[Period]]="","",IF(ISNUMBER(tblVerifyPlan[[#This Row],[Takt time (s/unit)]]),$E$48/tblVerifyPlan[[#This Row],[Takt time (s/unit)]],""))</f>
        <v>1.01915708812261</v>
      </c>
      <c r="M59" s="37">
        <f>IF(tblVerifyPlan[[#This Row],[Period]]="","",IF(tblVerifyPlan[[#This Row],[Available time (min)]]&gt;0,tblVerifyPlan[[#This Row],[Available time (min)]]*60/$E$48,""))</f>
        <v>932.142857142857</v>
      </c>
      <c r="N59" s="39">
        <f>IF(tblVerifyPlan[[#This Row],[Period]]="","",IF(ISNUMBER(tblVerifyPlan[[#This Row],[Output at bottleneck pace (units)]]),tblVerifyPlan[[#This Row],[Output at bottleneck pace (units)]]-tblVerifyPlan[[#This Row],[Demand (units)]],""))</f>
        <v>-17.8571428571429</v>
      </c>
      <c r="O59" s="36">
        <f>IF(tblVerifyPlan[[#This Row],[Period]]="","",IF(ISNUMBER(tblVerifyPlan[[#This Row],[Takt time (s/unit)]]),MAX(0,tblVerifyPlan[[#This Row],[Demand (units)]]*$E$48/60-tblVerifyPlan[[#This Row],[Available time (min)]])/60,""))</f>
        <v>0.138888888888889</v>
      </c>
      <c r="P59" s="37">
        <f>IF(tblVerifyPlan[[#This Row],[Period]]="","",IF(ISNUMBER(tblVerifyPlan[[#This Row],[Overtime needed (h)]]),tblVerifyPlan[[#This Row],[Overtime needed (h)]]*$E$50*$E$51*$E$52,""))</f>
        <v>37.4999999999999</v>
      </c>
      <c r="Q59" s="37">
        <f>IF(tblVerifyPlan[[#This Row],[Period]]="","",IF(ISNUMBER(tblVerifyPlan[[#This Row],[Takt time (s/unit)]]),CEILING($E$49/tblVerifyPlan[[#This Row],[Takt time (s/unit)]],1),""))</f>
        <v>11</v>
      </c>
      <c r="R59" s="40" t="str">
        <f>IF(tblVerifyPlan[[#This Row],[Period]]="","",IF(NOT(ISNUMBER(tblVerifyPlan[[#This Row],[Bottleneck load (% of takt)]])),"",IF(tblVerifyPlan[[#This Row],[Bottleneck load (% of takt)]]&gt;$E$54,"Over capacity",IF(tblVerifyPlan[[#This Row],[Bottleneck load (% of takt)]]&gt;=$E$53,"Near capacity","Under capacity"))))</f>
        <v>Over capacity</v>
      </c>
      <c r="S59" s="41" t="str">
        <f>IF(tblVerifyPlan[[#This Row],[Period]]="","",IF(tblVerifyPlan[[#This Row],[Working days]]="","Missing working days",IF(tblVerifyPlan[[#This Row],[Shifts per day]]="","Missing shifts per day",IF(tblVerifyPlan[[#This Row],[Shift length (min)]]="","Missing shift length",IF(tblVerifyPlan[[#This Row],[Breaks and planned stops (min)]]="","Missing breaks and planned stops",IF(tblVerifyPlan[[#This Row],[Demand (units)]]="","Missing demand",IF(tblVerifyPlan[[#This Row],[Breaks and planned stops (min)]]&gt;=tblVerifyPlan[[#This Row],[Shift length (min)]],"Breaks &gt;= shift length",IF(tblVerifyPlan[[#This Row],[Working days]]*tblVerifyPlan[[#This Row],[Shifts per day]]=0,"No shifts in the period",IF(COUNTIF(tblVerifyPlan[Period],tblVerifyPlan[[#This Row],[Period]])&gt;1,"Duplicate period","OK")))))))))</f>
        <v>OK</v>
      </c>
      <c r="T59" s="60" t="s">
        <v>104</v>
      </c>
    </row>
    <row r="60" spans="2:20">
      <c r="B60" s="60" t="s">
        <v>253</v>
      </c>
      <c r="C60" s="54">
        <v>21</v>
      </c>
      <c r="D60" s="54">
        <v>1</v>
      </c>
      <c r="E60" s="55">
        <v>480</v>
      </c>
      <c r="F60" s="55">
        <v>50</v>
      </c>
      <c r="G60" s="55">
        <v>12500</v>
      </c>
      <c r="H60" s="36">
        <f>IF(tblVerifyPlan[[#This Row],[Period]]="","",tblVerifyPlan[[#This Row],[Working days]]*tblVerifyPlan[[#This Row],[Shifts per day]])</f>
        <v>21</v>
      </c>
      <c r="I60" s="37">
        <f>IF(tblVerifyPlan[[#This Row],[Period]]="","",(tblVerifyPlan[[#This Row],[Shift length (min)]]-tblVerifyPlan[[#This Row],[Breaks and planned stops (min)]])*tblVerifyPlan[[#This Row],[Shifts]])</f>
        <v>9030</v>
      </c>
      <c r="J60" s="36">
        <f>IF(tblVerifyPlan[[#This Row],[Period]]="","",IF(AND(tblVerifyPlan[[#This Row],[Available time (min)]]&gt;0,tblVerifyPlan[[#This Row],[Demand (units)]]&gt;0),tblVerifyPlan[[#This Row],[Available time (min)]]*60/tblVerifyPlan[[#This Row],[Demand (units)]],""))</f>
        <v>43.344</v>
      </c>
      <c r="K60" s="36">
        <f>IF(tblVerifyPlan[[#This Row],[Period]]="","",IF(AND(tblVerifyPlan[[#This Row],[Available time (min)]]&gt;0,tblVerifyPlan[[#This Row],[Demand (units)]]&gt;0),tblVerifyPlan[[#This Row],[Demand (units)]]/(tblVerifyPlan[[#This Row],[Available time (min)]]/60),""))</f>
        <v>83.0564784053156</v>
      </c>
      <c r="L60" s="38">
        <f>IF(tblVerifyPlan[[#This Row],[Period]]="","",IF(ISNUMBER(tblVerifyPlan[[#This Row],[Takt time (s/unit)]]),$E$48/tblVerifyPlan[[#This Row],[Takt time (s/unit)]],""))</f>
        <v>0.645994832041344</v>
      </c>
      <c r="M60" s="37">
        <f>IF(tblVerifyPlan[[#This Row],[Period]]="","",IF(tblVerifyPlan[[#This Row],[Available time (min)]]&gt;0,tblVerifyPlan[[#This Row],[Available time (min)]]*60/$E$48,""))</f>
        <v>19350</v>
      </c>
      <c r="N60" s="39">
        <f>IF(tblVerifyPlan[[#This Row],[Period]]="","",IF(ISNUMBER(tblVerifyPlan[[#This Row],[Output at bottleneck pace (units)]]),tblVerifyPlan[[#This Row],[Output at bottleneck pace (units)]]-tblVerifyPlan[[#This Row],[Demand (units)]],""))</f>
        <v>6850</v>
      </c>
      <c r="O60" s="36">
        <f>IF(tblVerifyPlan[[#This Row],[Period]]="","",IF(ISNUMBER(tblVerifyPlan[[#This Row],[Takt time (s/unit)]]),MAX(0,tblVerifyPlan[[#This Row],[Demand (units)]]*$E$48/60-tblVerifyPlan[[#This Row],[Available time (min)]])/60,""))</f>
        <v>0</v>
      </c>
      <c r="P60" s="37">
        <f>IF(tblVerifyPlan[[#This Row],[Period]]="","",IF(ISNUMBER(tblVerifyPlan[[#This Row],[Overtime needed (h)]]),tblVerifyPlan[[#This Row],[Overtime needed (h)]]*$E$50*$E$51*$E$52,""))</f>
        <v>0</v>
      </c>
      <c r="Q60" s="37">
        <f>IF(tblVerifyPlan[[#This Row],[Period]]="","",IF(ISNUMBER(tblVerifyPlan[[#This Row],[Takt time (s/unit)]]),CEILING($E$49/tblVerifyPlan[[#This Row],[Takt time (s/unit)]],1),""))</f>
        <v>7</v>
      </c>
      <c r="R60" s="40" t="str">
        <f>IF(tblVerifyPlan[[#This Row],[Period]]="","",IF(NOT(ISNUMBER(tblVerifyPlan[[#This Row],[Bottleneck load (% of takt)]])),"",IF(tblVerifyPlan[[#This Row],[Bottleneck load (% of takt)]]&gt;$E$54,"Over capacity",IF(tblVerifyPlan[[#This Row],[Bottleneck load (% of takt)]]&gt;=$E$53,"Near capacity","Under capacity"))))</f>
        <v>Under capacity</v>
      </c>
      <c r="S60" s="41" t="str">
        <f>IF(tblVerifyPlan[[#This Row],[Period]]="","",IF(tblVerifyPlan[[#This Row],[Working days]]="","Missing working days",IF(tblVerifyPlan[[#This Row],[Shifts per day]]="","Missing shifts per day",IF(tblVerifyPlan[[#This Row],[Shift length (min)]]="","Missing shift length",IF(tblVerifyPlan[[#This Row],[Breaks and planned stops (min)]]="","Missing breaks and planned stops",IF(tblVerifyPlan[[#This Row],[Demand (units)]]="","Missing demand",IF(tblVerifyPlan[[#This Row],[Breaks and planned stops (min)]]&gt;=tblVerifyPlan[[#This Row],[Shift length (min)]],"Breaks &gt;= shift length",IF(tblVerifyPlan[[#This Row],[Working days]]*tblVerifyPlan[[#This Row],[Shifts per day]]=0,"No shifts in the period",IF(COUNTIF(tblVerifyPlan[Period],tblVerifyPlan[[#This Row],[Period]])&gt;1,"Duplicate period","OK")))))))))</f>
        <v>OK</v>
      </c>
      <c r="T60" s="60" t="s">
        <v>104</v>
      </c>
    </row>
    <row r="61" spans="2:20">
      <c r="B61" s="60" t="s">
        <v>254</v>
      </c>
      <c r="C61" s="54">
        <v>22</v>
      </c>
      <c r="D61" s="54">
        <v>2</v>
      </c>
      <c r="E61" s="55">
        <v>480</v>
      </c>
      <c r="F61" s="55">
        <v>50</v>
      </c>
      <c r="G61" s="55">
        <v>37000</v>
      </c>
      <c r="H61" s="36">
        <f>IF(tblVerifyPlan[[#This Row],[Period]]="","",tblVerifyPlan[[#This Row],[Working days]]*tblVerifyPlan[[#This Row],[Shifts per day]])</f>
        <v>44</v>
      </c>
      <c r="I61" s="37">
        <f>IF(tblVerifyPlan[[#This Row],[Period]]="","",(tblVerifyPlan[[#This Row],[Shift length (min)]]-tblVerifyPlan[[#This Row],[Breaks and planned stops (min)]])*tblVerifyPlan[[#This Row],[Shifts]])</f>
        <v>18920</v>
      </c>
      <c r="J61" s="36">
        <f>IF(tblVerifyPlan[[#This Row],[Period]]="","",IF(AND(tblVerifyPlan[[#This Row],[Available time (min)]]&gt;0,tblVerifyPlan[[#This Row],[Demand (units)]]&gt;0),tblVerifyPlan[[#This Row],[Available time (min)]]*60/tblVerifyPlan[[#This Row],[Demand (units)]],""))</f>
        <v>30.6810810810811</v>
      </c>
      <c r="K61" s="36">
        <f>IF(tblVerifyPlan[[#This Row],[Period]]="","",IF(AND(tblVerifyPlan[[#This Row],[Available time (min)]]&gt;0,tblVerifyPlan[[#This Row],[Demand (units)]]&gt;0),tblVerifyPlan[[#This Row],[Demand (units)]]/(tblVerifyPlan[[#This Row],[Available time (min)]]/60),""))</f>
        <v>117.336152219873</v>
      </c>
      <c r="L61" s="38">
        <f>IF(tblVerifyPlan[[#This Row],[Period]]="","",IF(ISNUMBER(tblVerifyPlan[[#This Row],[Takt time (s/unit)]]),$E$48/tblVerifyPlan[[#This Row],[Takt time (s/unit)]],""))</f>
        <v>0.91261451726568</v>
      </c>
      <c r="M61" s="37">
        <f>IF(tblVerifyPlan[[#This Row],[Period]]="","",IF(tblVerifyPlan[[#This Row],[Available time (min)]]&gt;0,tblVerifyPlan[[#This Row],[Available time (min)]]*60/$E$48,""))</f>
        <v>40542.8571428571</v>
      </c>
      <c r="N61" s="39">
        <f>IF(tblVerifyPlan[[#This Row],[Period]]="","",IF(ISNUMBER(tblVerifyPlan[[#This Row],[Output at bottleneck pace (units)]]),tblVerifyPlan[[#This Row],[Output at bottleneck pace (units)]]-tblVerifyPlan[[#This Row],[Demand (units)]],""))</f>
        <v>3542.85714285715</v>
      </c>
      <c r="O61" s="36">
        <f>IF(tblVerifyPlan[[#This Row],[Period]]="","",IF(ISNUMBER(tblVerifyPlan[[#This Row],[Takt time (s/unit)]]),MAX(0,tblVerifyPlan[[#This Row],[Demand (units)]]*$E$48/60-tblVerifyPlan[[#This Row],[Available time (min)]])/60,""))</f>
        <v>0</v>
      </c>
      <c r="P61" s="37">
        <f>IF(tblVerifyPlan[[#This Row],[Period]]="","",IF(ISNUMBER(tblVerifyPlan[[#This Row],[Overtime needed (h)]]),tblVerifyPlan[[#This Row],[Overtime needed (h)]]*$E$50*$E$51*$E$52,""))</f>
        <v>0</v>
      </c>
      <c r="Q61" s="37">
        <f>IF(tblVerifyPlan[[#This Row],[Period]]="","",IF(ISNUMBER(tblVerifyPlan[[#This Row],[Takt time (s/unit)]]),CEILING($E$49/tblVerifyPlan[[#This Row],[Takt time (s/unit)]],1),""))</f>
        <v>10</v>
      </c>
      <c r="R61" s="40" t="str">
        <f>IF(tblVerifyPlan[[#This Row],[Period]]="","",IF(NOT(ISNUMBER(tblVerifyPlan[[#This Row],[Bottleneck load (% of takt)]])),"",IF(tblVerifyPlan[[#This Row],[Bottleneck load (% of takt)]]&gt;$E$54,"Over capacity",IF(tblVerifyPlan[[#This Row],[Bottleneck load (% of takt)]]&gt;=$E$53,"Near capacity","Under capacity"))))</f>
        <v>Near capacity</v>
      </c>
      <c r="S61" s="41" t="str">
        <f>IF(tblVerifyPlan[[#This Row],[Period]]="","",IF(tblVerifyPlan[[#This Row],[Working days]]="","Missing working days",IF(tblVerifyPlan[[#This Row],[Shifts per day]]="","Missing shifts per day",IF(tblVerifyPlan[[#This Row],[Shift length (min)]]="","Missing shift length",IF(tblVerifyPlan[[#This Row],[Breaks and planned stops (min)]]="","Missing breaks and planned stops",IF(tblVerifyPlan[[#This Row],[Demand (units)]]="","Missing demand",IF(tblVerifyPlan[[#This Row],[Breaks and planned stops (min)]]&gt;=tblVerifyPlan[[#This Row],[Shift length (min)]],"Breaks &gt;= shift length",IF(tblVerifyPlan[[#This Row],[Working days]]*tblVerifyPlan[[#This Row],[Shifts per day]]=0,"No shifts in the period",IF(COUNTIF(tblVerifyPlan[Period],tblVerifyPlan[[#This Row],[Period]])&gt;1,"Duplicate period","OK")))))))))</f>
        <v>OK</v>
      </c>
      <c r="T61" s="60" t="s">
        <v>104</v>
      </c>
    </row>
    <row r="62" spans="2:20">
      <c r="B62" s="60" t="s">
        <v>255</v>
      </c>
      <c r="C62" s="54">
        <v>5</v>
      </c>
      <c r="D62" s="54">
        <v>1</v>
      </c>
      <c r="E62" s="55">
        <v>30</v>
      </c>
      <c r="F62" s="55">
        <v>45</v>
      </c>
      <c r="G62" s="55">
        <v>100</v>
      </c>
      <c r="H62" s="36">
        <f>IF(tblVerifyPlan[[#This Row],[Period]]="","",tblVerifyPlan[[#This Row],[Working days]]*tblVerifyPlan[[#This Row],[Shifts per day]])</f>
        <v>5</v>
      </c>
      <c r="I62" s="37">
        <f>IF(tblVerifyPlan[[#This Row],[Period]]="","",(tblVerifyPlan[[#This Row],[Shift length (min)]]-tblVerifyPlan[[#This Row],[Breaks and planned stops (min)]])*tblVerifyPlan[[#This Row],[Shifts]])</f>
        <v>-75</v>
      </c>
      <c r="J62" s="36">
        <f>IF(tblVerifyPlan[[#This Row],[Period]]="","",IF(AND(tblVerifyPlan[[#This Row],[Available time (min)]]&gt;0,tblVerifyPlan[[#This Row],[Demand (units)]]&gt;0),tblVerifyPlan[[#This Row],[Available time (min)]]*60/tblVerifyPlan[[#This Row],[Demand (units)]],""))</f>
        <v/>
      </c>
      <c r="K62" s="36">
        <f>IF(tblVerifyPlan[[#This Row],[Period]]="","",IF(AND(tblVerifyPlan[[#This Row],[Available time (min)]]&gt;0,tblVerifyPlan[[#This Row],[Demand (units)]]&gt;0),tblVerifyPlan[[#This Row],[Demand (units)]]/(tblVerifyPlan[[#This Row],[Available time (min)]]/60),""))</f>
        <v/>
      </c>
      <c r="L62" s="38">
        <f>IF(tblVerifyPlan[[#This Row],[Period]]="","",IF(ISNUMBER(tblVerifyPlan[[#This Row],[Takt time (s/unit)]]),$E$48/tblVerifyPlan[[#This Row],[Takt time (s/unit)]],""))</f>
        <v/>
      </c>
      <c r="M62" s="37">
        <f>IF(tblVerifyPlan[[#This Row],[Period]]="","",IF(tblVerifyPlan[[#This Row],[Available time (min)]]&gt;0,tblVerifyPlan[[#This Row],[Available time (min)]]*60/$E$48,""))</f>
        <v/>
      </c>
      <c r="N62" s="39">
        <f>IF(tblVerifyPlan[[#This Row],[Period]]="","",IF(ISNUMBER(tblVerifyPlan[[#This Row],[Output at bottleneck pace (units)]]),tblVerifyPlan[[#This Row],[Output at bottleneck pace (units)]]-tblVerifyPlan[[#This Row],[Demand (units)]],""))</f>
        <v/>
      </c>
      <c r="O62" s="36">
        <f>IF(tblVerifyPlan[[#This Row],[Period]]="","",IF(ISNUMBER(tblVerifyPlan[[#This Row],[Takt time (s/unit)]]),MAX(0,tblVerifyPlan[[#This Row],[Demand (units)]]*$E$48/60-tblVerifyPlan[[#This Row],[Available time (min)]])/60,""))</f>
        <v/>
      </c>
      <c r="P62" s="37">
        <f>IF(tblVerifyPlan[[#This Row],[Period]]="","",IF(ISNUMBER(tblVerifyPlan[[#This Row],[Overtime needed (h)]]),tblVerifyPlan[[#This Row],[Overtime needed (h)]]*$E$50*$E$51*$E$52,""))</f>
        <v/>
      </c>
      <c r="Q62" s="37">
        <f>IF(tblVerifyPlan[[#This Row],[Period]]="","",IF(ISNUMBER(tblVerifyPlan[[#This Row],[Takt time (s/unit)]]),CEILING($E$49/tblVerifyPlan[[#This Row],[Takt time (s/unit)]],1),""))</f>
        <v/>
      </c>
      <c r="R62" s="40">
        <f>IF(tblVerifyPlan[[#This Row],[Period]]="","",IF(NOT(ISNUMBER(tblVerifyPlan[[#This Row],[Bottleneck load (% of takt)]])),"",IF(tblVerifyPlan[[#This Row],[Bottleneck load (% of takt)]]&gt;$E$54,"Over capacity",IF(tblVerifyPlan[[#This Row],[Bottleneck load (% of takt)]]&gt;=$E$53,"Near capacity","Under capacity"))))</f>
        <v/>
      </c>
      <c r="S62" s="41" t="str">
        <f>IF(tblVerifyPlan[[#This Row],[Period]]="","",IF(tblVerifyPlan[[#This Row],[Working days]]="","Missing working days",IF(tblVerifyPlan[[#This Row],[Shifts per day]]="","Missing shifts per day",IF(tblVerifyPlan[[#This Row],[Shift length (min)]]="","Missing shift length",IF(tblVerifyPlan[[#This Row],[Breaks and planned stops (min)]]="","Missing breaks and planned stops",IF(tblVerifyPlan[[#This Row],[Demand (units)]]="","Missing demand",IF(tblVerifyPlan[[#This Row],[Breaks and planned stops (min)]]&gt;=tblVerifyPlan[[#This Row],[Shift length (min)]],"Breaks &gt;= shift length",IF(tblVerifyPlan[[#This Row],[Working days]]*tblVerifyPlan[[#This Row],[Shifts per day]]=0,"No shifts in the period",IF(COUNTIF(tblVerifyPlan[Period],tblVerifyPlan[[#This Row],[Period]])&gt;1,"Duplicate period","OK")))))))))</f>
        <v>Breaks &gt;= shift length</v>
      </c>
      <c r="T62" s="60" t="s">
        <v>104</v>
      </c>
    </row>
  </sheetData>
  <sheetProtection sheet="1" formatColumns="0" formatRows="0"/>
  <mergeCells count="51">
    <mergeCell ref="A1:T1"/>
    <mergeCell ref="B2:S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B44:L44"/>
    <mergeCell ref="B46:L46"/>
    <mergeCell ref="B47:F47"/>
    <mergeCell ref="B48:D48"/>
    <mergeCell ref="B49:D49"/>
    <mergeCell ref="B50:D50"/>
    <mergeCell ref="B51:D51"/>
    <mergeCell ref="B52:D52"/>
    <mergeCell ref="B53:D53"/>
    <mergeCell ref="B54:D54"/>
    <mergeCell ref="B56:L56"/>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4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S59:S62">
    <cfRule type="expression" dxfId="3" priority="41">
      <formula>$S59="OK"</formula>
    </cfRule>
    <cfRule type="expression" dxfId="1" priority="42">
      <formula>AND($S59&lt;&gt;"",$S59&lt;&gt;"OK")</formula>
    </cfRule>
  </conditionalFormatting>
  <hyperlinks>
    <hyperlink ref="T2" r:id="rId1" tooltip="Free manufacturing calculators and templates"/>
  </hyperlinks>
  <printOptions horizontalCentered="1"/>
  <pageMargins left="0.4" right="0.4" top="0.7" bottom="0.65" header="0.3" footer="0.3"/>
  <pageSetup fitToHeight="0" orientation="landscape"/>
  <headerFooter>
    <oddHeader>&amp;L&amp;8MFG Calcs - Takt Time Planner&amp;R&amp;8&amp;A</oddHeader>
    <oddFooter>&amp;L&amp;8mfgcalcs.com - free manufacturing templates&amp;R&amp;8Page &amp;P of &amp;N</oddFooter>
  </headerFooter>
  <rowBreaks count="1" manualBreakCount="1">
    <brk id="46"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29</vt:i4>
      </vt:variant>
    </vt:vector>
  </HeadingPairs>
  <TitlesOfParts>
    <vt:vector size="35" baseType="lpstr">
      <vt:lpstr>Start Here</vt:lpstr>
      <vt:lpstr>Setup</vt:lpstr>
      <vt:lpstr>Takt Plan</vt:lpstr>
      <vt:lpstr>Dashboard</vt:lpstr>
      <vt:lpstr>Method</vt:lpstr>
      <vt:lpstr>Verify</vt:lpstr>
      <vt:lpstr>BnCycle</vt:lpstr>
      <vt:lpstr>BnName</vt:lpstr>
      <vt:lpstr>Crew</vt:lpstr>
      <vt:lpstr>Currency</vt:lpstr>
      <vt:lpstr>KpiAvgTakt</vt:lpstr>
      <vt:lpstr>KpiDemand</vt:lpstr>
      <vt:lpstr>KpiMinTakt</vt:lpstr>
      <vt:lpstr>KpiOtCost</vt:lpstr>
      <vt:lpstr>KpiOtH</vt:lpstr>
      <vt:lpstr>KpiOver</vt:lpstr>
      <vt:lpstr>KpiPeakLoad</vt:lpstr>
      <vt:lpstr>KpiPeakOps</vt:lpstr>
      <vt:lpstr>LabourRate</vt:lpstr>
      <vt:lpstr>LineName</vt:lpstr>
      <vt:lpstr>NearAt</vt:lpstr>
      <vt:lpstr>OTPremium</vt:lpstr>
      <vt:lpstr>OverAt</vt:lpstr>
      <vt:lpstr>PlanName</vt:lpstr>
      <vt:lpstr>Dashboard!Print_Area</vt:lpstr>
      <vt:lpstr>Method!Print_Area</vt:lpstr>
      <vt:lpstr>Setup!Print_Area</vt:lpstr>
      <vt:lpstr>'Start Here'!Print_Area</vt:lpstr>
      <vt:lpstr>'Takt Plan'!Print_Area</vt:lpstr>
      <vt:lpstr>Verify!Print_Area</vt:lpstr>
      <vt:lpstr>Method!Print_Titles</vt:lpstr>
      <vt:lpstr>'Takt Plan'!Print_Titles</vt:lpstr>
      <vt:lpstr>SelfCheck</vt:lpstr>
      <vt:lpstr>SelfCheckSummary</vt:lpstr>
      <vt:lpstr>WorkContent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Takt Time Planner - free Excel template from MFG Calcs</dc:title>
  <dc:subject>Work out takt time for every month or scenario, and see where the bottleneck falls behind, the overtime it needs and the crew the pace takes.</dc:subject>
  <dc:creator>MFG Calcs</dc:creator>
  <cp:keywords>takt time, available time, customer demand, bottleneck, line pace, staffing, overtime, capacity check</cp:keywords>
  <dc:description>https://www.mfgcalcs.com/templates/takt-time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takt-time</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planner</vt:lpwstr>
  </property>
  <property fmtid="{D5CDD505-2E9C-101B-9397-08002B2CF9AE}" pid="6" name="Template URL">
    <vt:lpwstr>https://www.mfgcalcs.com/templates/takt-time</vt:lpwstr>
  </property>
  <property fmtid="{D5CDD505-2E9C-101B-9397-08002B2CF9AE}" pid="7" name="Template sheet roles">
    <vt:lpwstr>Start Here=start;Setup=setup;Takt Plan=work;Dashboard=dashboard;Method=method;Verify=verify</vt:lpwstr>
  </property>
</Properties>
</file>