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hift Log" sheetId="3" r:id="rId3"/>
    <sheet name="Dashboard" sheetId="4" r:id="rId4"/>
    <sheet name="Method" sheetId="5" r:id="rId5"/>
    <sheet name="Verify" sheetId="6" r:id="rId6"/>
  </sheets>
  <definedNames>
    <definedName name="DashFrom">Dashboard!$G$4</definedName>
    <definedName name="DashLine">Dashboard!$C$4</definedName>
    <definedName name="DashTo">Dashboard!$K$4</definedName>
    <definedName name="FFrom">IF(DashFrom="",0,DashFrom)</definedName>
    <definedName name="FTo">IF(DashTo="",2958465,DashTo)</definedName>
    <definedName name="KpiBiggest">Dashboard!$J$8</definedName>
    <definedName name="KpiCoverage">Dashboard!$D$8</definedName>
    <definedName name="KpiGood">Dashboard!$B$30</definedName>
    <definedName name="KpiPctTheo">Dashboard!$G$8</definedName>
    <definedName name="KpiRate">Dashboard!$B$8</definedName>
    <definedName name="KpiSurplus">Dashboard!$D$30</definedName>
    <definedName name="KpiUptime">Dashboard!$G$30</definedName>
    <definedName name="KpiYield">Dashboard!$J$30</definedName>
    <definedName name="Lines">tblLines[Line]</definedName>
    <definedName name="PlantName">Setup!$C$6</definedName>
    <definedName name="_xlnm.Print_Area" localSheetId="3">Dashboard!$A$1:$L$70</definedName>
    <definedName name="_xlnm.Print_Area" localSheetId="4">Method!$A$1:$D$62</definedName>
    <definedName name="_xlnm.Print_Area" localSheetId="1">Setup!$A$1:$G$23</definedName>
    <definedName name="_xlnm.Print_Area" localSheetId="2">'Shift Log'!$A$1:$X$95</definedName>
    <definedName name="_xlnm.Print_Area" localSheetId="0">'Start Here'!$A$1:$F$55</definedName>
    <definedName name="_xlnm.Print_Area" localSheetId="5">Verify!$A$1:$X$89</definedName>
    <definedName name="_xlnm.Print_Titles" localSheetId="4">Method!$1:$2</definedName>
    <definedName name="_xlnm.Print_Titles" localSheetId="2">'Shift Log'!$1:$5</definedName>
    <definedName name="SelfCheck">Verify!$D$4</definedName>
    <definedName name="SelfCheckSummary">Verify!$F$4</definedName>
    <definedName name="ShiftList">tblShiftList[Shift]</definedName>
    <definedName name="TargetCov">Setup!$C$7</definedName>
  </definedNames>
  <calcPr calcId="124519" fullCalcOnLoad="1"/>
</workbook>
</file>

<file path=xl/sharedStrings.xml><?xml version="1.0" encoding="utf-8"?>
<sst xmlns="http://schemas.openxmlformats.org/spreadsheetml/2006/main" count="756" uniqueCount="286">
  <si>
    <t>Throughput Analysis</t>
  </si>
  <si>
    <t>Read this first: what the workbook does and how to use it.</t>
  </si>
  <si>
    <t>mfgcalcs.com</t>
  </si>
  <si>
    <t>Log every line and shift, and see good units per hour against what demand needs, and how many units were lost to downtime, slow running and scrap.</t>
  </si>
  <si>
    <t>For: Production managers, line leads, plant managers and continuous-improvement engineers.</t>
  </si>
  <si>
    <t>Version 1.0.0  ·  updated 15 October 2026</t>
  </si>
  <si>
    <t>Quick start</t>
  </si>
  <si>
    <t>1.</t>
  </si>
  <si>
    <t>On Setup, type your plant name and coverage target, then replace the example lines with yours: bottleneck cycle time, shifts per day and daily demand.</t>
  </si>
  <si>
    <t>2.</t>
  </si>
  <si>
    <t>On Shift Log, add one row per line per shift: date, shift, line, scheduled minutes, downtime minutes, total units and good units.</t>
  </si>
  <si>
    <t>3.</t>
  </si>
  <si>
    <t>Read the Check column: anything other than OK names the problem in words.</t>
  </si>
  <si>
    <t>4.</t>
  </si>
  <si>
    <t>Open the Dashboard. Use the line and date filters at the top to look at one line or one week.</t>
  </si>
  <si>
    <t>What is in this workbook</t>
  </si>
  <si>
    <t>Start Here</t>
  </si>
  <si>
    <t>Setup</t>
  </si>
  <si>
    <t>Plant name, the demand coverage target, the lines with their bottleneck cycle and demand, and the shifts.</t>
  </si>
  <si>
    <t>Shift Log</t>
  </si>
  <si>
    <t>One row per line per shift: scheduled time, downtime, and the units made. Losses are counted in units.</t>
  </si>
  <si>
    <t>Dashboard</t>
  </si>
  <si>
    <t>Good throughput against demand, and where theoretical output went, for the line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</si>
  <si>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</si>
  <si>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</si>
  <si>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</si>
  <si>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</si>
  <si>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</si>
  <si>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</si>
  <si>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</si>
  <si>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</si>
  <si>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</si>
  <si>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</si>
  <si>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</si>
  <si>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</si>
  <si>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</si>
  <si>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</si>
  <si>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</si>
  <si>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</si>
  <si>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</si>
  <si>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</si>
  <si>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</si>
  <si>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</si>
  <si>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Throughput Calculator on mfgcalcs.com</t>
  </si>
  <si>
    <t>Latest version</t>
  </si>
  <si>
    <t>mfgcalcs.com/templates/throughput-analysis</t>
  </si>
  <si>
    <t>More free templates</t>
  </si>
  <si>
    <t>mfgcalcs.com/templates</t>
  </si>
  <si>
    <t>Version</t>
  </si>
  <si>
    <t>1.0.0 (updated 15 October 2026)</t>
  </si>
  <si>
    <t>About the example data</t>
  </si>
  <si>
    <t>Every number already in this workbook is example data for Kettle Ridge Snacks, a fictional business invented for this template, so the dashboard and charts show something meaningful on day one. It covers three packing lines on two shifts over fifteen working days (14 September to 2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</si>
  <si>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</si>
  <si>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</si>
  <si>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</si>
  <si>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</si>
  <si>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</si>
  <si>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</si>
  <si>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</si>
  <si>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</si>
  <si>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Line</t>
  </si>
  <si>
    <t>Bottleneck cycle (s/unit)</t>
  </si>
  <si>
    <t>Shifts per day</t>
  </si>
  <si>
    <t>Daily demand (units)</t>
  </si>
  <si>
    <t>Demand per shift (units)</t>
  </si>
  <si>
    <t>Description</t>
  </si>
  <si>
    <t>Shift</t>
  </si>
  <si>
    <t>Hours</t>
  </si>
  <si>
    <t>Plant and target</t>
  </si>
  <si>
    <t>Plant or area name</t>
  </si>
  <si>
    <t>Kettle Ridge Snacks - packing hall (example)</t>
  </si>
  <si>
    <t>Demand coverage target</t>
  </si>
  <si>
    <t>'Near target' means within 5% of the coverage target (95% to 100% against a 100% target). Nothing in this workbook assumes an industry benchmark.</t>
  </si>
  <si>
    <t>Lines (the Dashboard shows them in this order)</t>
  </si>
  <si>
    <t>Bottleneck cycle: the seconds per unit of the slowest machine or station when it runs at its rated speed; it sets the line's theoretical output. Daily demand is shared equally over the shifts per day, so each shift row carries its share. Keep line names unique and short (they label the charts).</t>
  </si>
  <si>
    <t>Lines (example)</t>
  </si>
  <si>
    <t>L1 Bagger</t>
  </si>
  <si>
    <t>Vertical form-fill-seal bagger, 150 g crisps</t>
  </si>
  <si>
    <t>L2 Cartoner</t>
  </si>
  <si>
    <t>Multipack cartoner, 6 x 25 g</t>
  </si>
  <si>
    <t>L3 Tray sealer</t>
  </si>
  <si>
    <t>Tray sealer, 200 g snack trays</t>
  </si>
  <si>
    <t>Shifts (a 30 minute break in each is not scheduled time)</t>
  </si>
  <si>
    <t>Early</t>
  </si>
  <si>
    <t>06:00 to 14:00</t>
  </si>
  <si>
    <t>Late</t>
  </si>
  <si>
    <t>14:00 to 22:00</t>
  </si>
  <si>
    <t>Date</t>
  </si>
  <si>
    <t>Scheduled (min)</t>
  </si>
  <si>
    <t>Downtime (min)</t>
  </si>
  <si>
    <t>Total (units)</t>
  </si>
  <si>
    <t>Good (units)</t>
  </si>
  <si>
    <t>Cycle (s/unit)</t>
  </si>
  <si>
    <t>Demand (units)</t>
  </si>
  <si>
    <t>Run (min)</t>
  </si>
  <si>
    <t>Theoretical (units)</t>
  </si>
  <si>
    <t>Good rate (units/h)</t>
  </si>
  <si>
    <t>Uptime</t>
  </si>
  <si>
    <t>Yield</t>
  </si>
  <si>
    <t>Share of theoretical</t>
  </si>
  <si>
    <t>Downtime loss (units)</t>
  </si>
  <si>
    <t>Speed loss (units)</t>
  </si>
  <si>
    <t>Quality loss (units)</t>
  </si>
  <si>
    <t>Demand coverage</t>
  </si>
  <si>
    <t>Status</t>
  </si>
  <si>
    <t>View date</t>
  </si>
  <si>
    <t>Check</t>
  </si>
  <si>
    <t>Notes</t>
  </si>
  <si>
    <t>Example data for Kettle Ridge Snacks (fictional). Replace it with your own: select the example rows, right-click, Delete &gt; Table Rows. Yellow = you type; blue = calculated; Check names any problem.</t>
  </si>
  <si>
    <t/>
  </si>
  <si>
    <t>Long changeover plus glue gun jams</t>
  </si>
  <si>
    <t>New lidding film: sealing slowed to hold seal quality</t>
  </si>
  <si>
    <t>Back to the old film; full speed</t>
  </si>
  <si>
    <t>From</t>
  </si>
  <si>
    <t>To</t>
  </si>
  <si>
    <t>GOOD THROUGHPUT  (units/h)</t>
  </si>
  <si>
    <t>DEMAND COVERAGE</t>
  </si>
  <si>
    <t>SHARE OF THEORETICAL OUTPUT</t>
  </si>
  <si>
    <t>BIGGEST LOSS</t>
  </si>
  <si>
    <t>Good units / output at the bottleneck cycle</t>
  </si>
  <si>
    <t>Largest of the three losses, in units</t>
  </si>
  <si>
    <t>GOOD UNITS</t>
  </si>
  <si>
    <t>SURPLUS OVER DEMAND  (units)</t>
  </si>
  <si>
    <t>UPTIME</t>
  </si>
  <si>
    <t>YIELD</t>
  </si>
  <si>
    <t>Made and fit to ship, in view</t>
  </si>
  <si>
    <t>Good units - demand; negative = short</t>
  </si>
  <si>
    <t>Run time / scheduled time</t>
  </si>
  <si>
    <t>Good units / total units</t>
  </si>
  <si>
    <t>By line (losses in units; the cycle that meets demand at the line's uptime and yield)</t>
  </si>
  <si>
    <t>Bottleneck cycle (s)</t>
  </si>
  <si>
    <t>Cycle that meets demand (s)</t>
  </si>
  <si>
    <t>Daily summary (last 10 production days in view)</t>
  </si>
  <si>
    <t>Scheduled (h)</t>
  </si>
  <si>
    <t>Share of theoretical output, by line</t>
  </si>
  <si>
    <t>By shift</t>
  </si>
  <si>
    <t>Good</t>
  </si>
  <si>
    <t>Downtime loss</t>
  </si>
  <si>
    <t>Speed loss</t>
  </si>
  <si>
    <t>Quality loss</t>
  </si>
  <si>
    <t>Coverage</t>
  </si>
  <si>
    <t>Share of theo.</t>
  </si>
  <si>
    <t>Weekly summary (newest first)</t>
  </si>
  <si>
    <t>Week starting (Mon)</t>
  </si>
  <si>
    <t>The Dashboard shows the 3 lines and 2 shifts of the Setup lists. If you add more, extend the 'By line' and 'By shift' blocks (see Method) or they will not appear here.</t>
  </si>
  <si>
    <t>What this workbook calculates</t>
  </si>
  <si>
    <t>Throughput is the rate at which a line turns out good units. This workbook compares, for every line and shift, three numbers: what the line could have made in its scheduled time at its bottleneck cycle (theoretical output), what it had to make (its share of demand), and what it made fit to ship (good units). The gap between theoretical and good output is split into three losses counted in units: downtime, slow running and scrap. They add up exactly, so the biggest one is where to look first.</t>
  </si>
  <si>
    <t>Calculations</t>
  </si>
  <si>
    <t>Quantity</t>
  </si>
  <si>
    <t>How it is calculated</t>
  </si>
  <si>
    <t>Units</t>
  </si>
  <si>
    <t>Scheduled time</t>
  </si>
  <si>
    <t>Typed per row: shift length minus breaks. A shift that made nothing still gets a row.</t>
  </si>
  <si>
    <t>min</t>
  </si>
  <si>
    <t>Cycle and demand</t>
  </si>
  <si>
    <t>Looked up from the line on Setup: the bottleneck cycle, and daily demand / shifts per day.</t>
  </si>
  <si>
    <t>s/unit, units</t>
  </si>
  <si>
    <t>Run time</t>
  </si>
  <si>
    <t>Scheduled time - downtime.</t>
  </si>
  <si>
    <t>Theoretical output</t>
  </si>
  <si>
    <t>Scheduled time x 60 / bottleneck cycle.</t>
  </si>
  <si>
    <t>units</t>
  </si>
  <si>
    <t>Good rate</t>
  </si>
  <si>
    <t>Good units / (scheduled time / 60). Over several rows: sum of good x 60 / sum of scheduled.</t>
  </si>
  <si>
    <t>units/h</t>
  </si>
  <si>
    <t>Uptime and yield</t>
  </si>
  <si>
    <t>Run time / scheduled time; good units / total units.</t>
  </si>
  <si>
    <t>%</t>
  </si>
  <si>
    <t>Good units / theoretical output: uptime x yield x running speed, where running speed = total units / (run time x 60 / cycle).</t>
  </si>
  <si>
    <t>Downtime x 60 / bottleneck cycle.</t>
  </si>
  <si>
    <t>Run time x 60 / bottleneck cycle - total units: slow running and short stops. Below zero means the cycle on Setup is too slow, and Check says so.</t>
  </si>
  <si>
    <t>Total units - good units.</t>
  </si>
  <si>
    <t>Demand coverage and Status</t>
  </si>
  <si>
    <t>Good units / demand; On target at or above the coverage target, Near target within 5% below it, Below target under that.</t>
  </si>
  <si>
    <t>Cycle that meets demand</t>
  </si>
  <si>
    <t>Run time x 60 x yield / demand, summed over the rows in view: the slowest bottleneck cycle that would have met demand at the same uptime and yield.</t>
  </si>
  <si>
    <t>s/unit</t>
  </si>
  <si>
    <t>Dashboard roll-ups</t>
  </si>
  <si>
    <t>SUMIFS over the rows whose View date is filled in (inside the line and date filters); every ratio is formed from sums, never an average of percentages.</t>
  </si>
  <si>
    <t>-</t>
  </si>
  <si>
    <t>Share of theoretical, by line</t>
  </si>
  <si>
    <t>Good units and each loss / theoretical output for the line: the four shares add up to 100% and feed the stacked bar chart.</t>
  </si>
  <si>
    <t>Biggest loss</t>
  </si>
  <si>
    <t>The largest of the three loss totals in view (ties go to downtime, then slow running).</t>
  </si>
  <si>
    <t>Assumptions</t>
  </si>
  <si>
    <t>One product per line, or a mix with one bottleneck cycle per line. If cycles differ by product, log each product run as its own row with its own line entry on Setup.</t>
  </si>
  <si>
    <t>Daily demand is shared equally over the scheduled shifts; a shift that runs gets its share whatever it made.</t>
  </si>
  <si>
    <t>Downtime is logged inside scheduled time; breaks are taken out of scheduled time, not logged as downtime.</t>
  </si>
  <si>
    <t>Good units are first-time good: reworked units count in total but not in good.</t>
  </si>
  <si>
    <t>Limitations</t>
  </si>
  <si>
    <t>Speed loss is what is left once downtime and scrap are accounted for: minor stops shorter than you log show up as slow running.</t>
  </si>
  <si>
    <t>An unscheduled shift has no row, so demand that could only be met by adding a shift is not visible here; see the Takt Time Planner.</t>
  </si>
  <si>
    <t>The Dashboard has fixed blocks for the 3 lines and 2 shifts of the example lists (a warning appears when they are longer); the daily and weekly blocks show the last 10 days and 6 weeks in view.</t>
  </si>
  <si>
    <t>Share of theoretical equals OEE when scheduled time is your planned production time and the bottleneck cycle is the ideal cycle; the OEE Tracker adds the stop-by-stop log.</t>
  </si>
  <si>
    <t>Agreement with the live calculator</t>
  </si>
  <si>
    <t>The live Throughput calculator starts from the bottleneck cycle, uptime and yield: gross rate = 3,600 / cycle; good throughput = gross rate x uptime x yield; longest cycle that meets demand = available seconds x uptime x yield / demand. It assumes the line runs at its cycle whenever it is up. This workbook starts from what was made, so its good rate also carries the speed loss; for a shift with no speed loss the two agree exactly. The build checks the reference against the calculator's engine for its own example (36 s cycle, 88% uptime, 97% yield, two 8-hour shifts, 1,400 a day: 85.36 good units per hour, longest cycle 35.12 s) and a second row.</t>
  </si>
  <si>
    <t>Open the Throughput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</si>
  <si>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</si>
  <si>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</si>
  <si>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Goldratt and Cox, The Goal: throughput set by the bottleneck.</t>
  </si>
  <si>
    <t>ISO 22400-2:2014, Key performance indicators for manufacturing operations management: time model terms (planned, run and down time).</t>
  </si>
  <si>
    <t>MFG Calcs Throughput calculator (throughput): gross rate, good throughput, units per shift and day, demand coverage and the longest cycle that meets demand.</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</si>
  <si>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</si>
  <si>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</si>
  <si>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</si>
  <si>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</si>
  <si>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</si>
  <si>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</si>
  <si>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</si>
  <si>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</si>
  <si>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</si>
  <si>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</si>
  <si>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</si>
  <si>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</si>
  <si>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</si>
  <si>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</si>
  <si>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</si>
  <si>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theoretical output</t>
  </si>
  <si>
    <t>Row 1 (calculator example): good rate</t>
  </si>
  <si>
    <t>Row 1 (calculator example): share of theoretical</t>
  </si>
  <si>
    <t>Row 1 (calculator example): demand coverage</t>
  </si>
  <si>
    <t>Row 2 (no speed loss): theoretical output</t>
  </si>
  <si>
    <t>Row 2 (no speed loss): good rate</t>
  </si>
  <si>
    <t>Row 2 (no speed loss): share of theoretical</t>
  </si>
  <si>
    <t>Row 2 (no speed loss): demand coverage</t>
  </si>
  <si>
    <t>Row 3 (slow running): theoretical output</t>
  </si>
  <si>
    <t>Row 3 (slow running): good rate</t>
  </si>
  <si>
    <t>Row 3 (slow running): share of theoretical</t>
  </si>
  <si>
    <t>Row 3 (slow running): demand coverage</t>
  </si>
  <si>
    <t>Row 1: uptime</t>
  </si>
  <si>
    <t>Row 1: yield</t>
  </si>
  <si>
    <t>Row 1: speed loss is zero (runs at its cycle)</t>
  </si>
  <si>
    <t>Row 3: downtime loss is zero</t>
  </si>
  <si>
    <t>Row 3: speed loss (7,600 made of 9,000)</t>
  </si>
  <si>
    <t>Row 2: downtime loss (45 min at 3 s)</t>
  </si>
  <si>
    <t>Row 2: quality loss</t>
  </si>
  <si>
    <t>Row 1: theoretical - the three losses = good units</t>
  </si>
  <si>
    <t>Row 2: theoretical - the three losses = good units</t>
  </si>
  <si>
    <t>Row 3: theoretical - the three losses = good units</t>
  </si>
  <si>
    <t>Row 1: status (97.6% against a 100% target)</t>
  </si>
  <si>
    <t>Near target</t>
  </si>
  <si>
    <t>exact</t>
  </si>
  <si>
    <t>Row 2: status</t>
  </si>
  <si>
    <t>On target</t>
  </si>
  <si>
    <t>Row 3: status (94.1%)</t>
  </si>
  <si>
    <t>Below target</t>
  </si>
  <si>
    <t>Row 4: Check reports good &gt; total</t>
  </si>
  <si>
    <t>Good &gt; total</t>
  </si>
  <si>
    <t>Row 5: Check reports more units than the cycle allows</t>
  </si>
  <si>
    <t>Faster than cycle: check cycle</t>
  </si>
  <si>
    <t>Row 2: Check reads OK</t>
  </si>
  <si>
    <t>OK</t>
  </si>
  <si>
    <t>All rows: good throughput (Dashboard formula)</t>
  </si>
  <si>
    <t>All rows: demand coverage (Dashboard formula)</t>
  </si>
  <si>
    <t>All rows: share of theoretical (Dashboard formula)</t>
  </si>
  <si>
    <t>All rows: uptime (Dashboard formula)</t>
  </si>
  <si>
    <t>All rows: yield (Dashboard formula)</t>
  </si>
  <si>
    <t>All rows: surplus over demand (Dashboard formula)</t>
  </si>
  <si>
    <t>All rows: biggest loss (Dashboard formula)</t>
  </si>
  <si>
    <t>Slow running</t>
  </si>
  <si>
    <t>Line A: downtime loss</t>
  </si>
  <si>
    <t>Line A: speed loss</t>
  </si>
  <si>
    <t>Line A: demand coverage</t>
  </si>
  <si>
    <t>Line A: cycle that meets demand</t>
  </si>
  <si>
    <t>Line A: downtime loss share of theoretical</t>
  </si>
  <si>
    <t>Line B: downtime loss</t>
  </si>
  <si>
    <t>Line B: speed loss</t>
  </si>
  <si>
    <t>Line B: demand coverage</t>
  </si>
  <si>
    <t>Line B: cycle that meets demand</t>
  </si>
  <si>
    <t>Line B: downtime loss share of theoretical</t>
  </si>
  <si>
    <t>Fixed test inputs</t>
  </si>
  <si>
    <t>White cells are fixed test inputs; blue cells are the workbook's formulas evaluated on them.</t>
  </si>
  <si>
    <t>Parameters</t>
  </si>
  <si>
    <t>Filter: from (0 = no limit)</t>
  </si>
  <si>
    <t>Filter: to (2958465 = no limit)</t>
  </si>
  <si>
    <t>Filter: line (blank = all)</t>
  </si>
  <si>
    <t>Test table: Lines</t>
  </si>
  <si>
    <t>A</t>
  </si>
  <si>
    <t>Calculator example</t>
  </si>
  <si>
    <t>B</t>
  </si>
  <si>
    <t>Test line B</t>
  </si>
  <si>
    <t>Test table: Runs</t>
  </si>
  <si>
    <t>S1</t>
  </si>
  <si>
    <t>S2</t>
  </si>
  <si>
    <t>Test grid: by line</t>
  </si>
  <si>
    <t>Test grid: share of theoretical output, by line</t>
  </si>
</sst>
</file>

<file path=xl/styles.xml><?xml version="1.0" encoding="utf-8"?>
<styleSheet xmlns="http://schemas.openxmlformats.org/spreadsheetml/2006/main">
  <numFmts count="13">
    <numFmt numFmtId="164" formatCode="0%"/>
    <numFmt numFmtId="165" formatCode="#,##0.00"/>
    <numFmt numFmtId="166" formatCode="#,##0.0"/>
    <numFmt numFmtId="167" formatCode="#,##0"/>
    <numFmt numFmtId="168" formatCode="d mmm yyyy"/>
    <numFmt numFmtId="169" formatCode="0.0%"/>
    <numFmt numFmtId="170" formatCode="&quot;Needed &quot;#,##0"/>
    <numFmt numFmtId="171" formatCode="&quot;Target &quot;0.0%"/>
    <numFmt numFmtId="172" formatCode="+#,##0;-#,##0;0"/>
    <numFmt numFmtId="173" formatCode="ddd d mmm"/>
    <numFmt numFmtId="174" formatCode="0.0000"/>
    <numFmt numFmtId="175" formatCode="0.0E+00"/>
    <numFmt numFmtId="176"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0" fontId="19"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8"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70" fontId="24" fillId="9" borderId="7" xfId="0" applyNumberFormat="1" applyFont="1" applyFill="1" applyBorder="1" applyAlignment="1">
      <alignment horizontal="left" vertical="center"/>
    </xf>
    <xf numFmtId="171"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172"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73" fontId="9" fillId="0" borderId="9" xfId="0" applyNumberFormat="1" applyFont="1" applyBorder="1" applyAlignment="1">
      <alignment vertical="center"/>
    </xf>
    <xf numFmtId="166" fontId="10" fillId="4" borderId="3" xfId="0" applyNumberFormat="1" applyFont="1" applyFill="1" applyBorder="1" applyAlignment="1">
      <alignment vertical="center"/>
    </xf>
    <xf numFmtId="168"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176" fontId="10" fillId="0" borderId="9" xfId="0" applyNumberFormat="1" applyFont="1" applyBorder="1" applyAlignment="1">
      <alignment vertical="center"/>
    </xf>
    <xf numFmtId="176" fontId="10" fillId="4" borderId="3" xfId="0" applyNumberFormat="1" applyFont="1" applyFill="1" applyBorder="1" applyAlignment="1">
      <alignment vertical="center"/>
    </xf>
    <xf numFmtId="165" fontId="10" fillId="0" borderId="9" xfId="0" applyNumberFormat="1" applyFont="1" applyBorder="1" applyAlignment="1">
      <alignment vertical="center"/>
    </xf>
    <xf numFmtId="0" fontId="10" fillId="4" borderId="3" xfId="0" applyFont="1" applyFill="1" applyBorder="1" applyAlignment="1">
      <alignment vertical="center"/>
    </xf>
    <xf numFmtId="167" fontId="10" fillId="0" borderId="9" xfId="0" applyNumberFormat="1" applyFont="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Good units by day against demand</a:t>
            </a:r>
          </a:p>
        </c:rich>
      </c:tx>
      <c:layout/>
    </c:title>
    <c:plotArea>
      <c:layout/>
      <c:barChart>
        <c:barDir val="col"/>
        <c:grouping val="clustered"/>
        <c:ser>
          <c:idx val="0"/>
          <c:order val="0"/>
          <c:tx>
            <c:v>Good units</c:v>
          </c:tx>
          <c:spPr>
            <a:solidFill>
              <a:srgbClr val="3B64D8"/>
            </a:solidFill>
            <a:ln w="9525">
              <a:solidFill>
                <a:srgbClr val="FFFFFF"/>
              </a:solidFill>
            </a:ln>
          </c:spPr>
          <c:cat>
            <c:numRef>
              <c:f>Dashboard!$B$43:$B$52</c:f>
              <c:numCache>
                <c:formatCode>General</c:formatCode>
                <c:ptCount val="10"/>
                <c:pt idx="0">
                  <c:v>46286</c:v>
                </c:pt>
                <c:pt idx="1">
                  <c:v>46287</c:v>
                </c:pt>
                <c:pt idx="2">
                  <c:v>46288</c:v>
                </c:pt>
                <c:pt idx="3">
                  <c:v>46289</c:v>
                </c:pt>
                <c:pt idx="4">
                  <c:v>46290</c:v>
                </c:pt>
                <c:pt idx="5">
                  <c:v>46293</c:v>
                </c:pt>
                <c:pt idx="6">
                  <c:v>46294</c:v>
                </c:pt>
                <c:pt idx="7">
                  <c:v>46295</c:v>
                </c:pt>
                <c:pt idx="8">
                  <c:v>46296</c:v>
                </c:pt>
                <c:pt idx="9">
                  <c:v>46297</c:v>
                </c:pt>
              </c:numCache>
            </c:numRef>
          </c:cat>
          <c:val>
            <c:numRef>
              <c:f>Dashboard!$D$43:$D$52</c:f>
              <c:numCache>
                <c:formatCode>General</c:formatCode>
                <c:ptCount val="10"/>
                <c:pt idx="0">
                  <c:v>50500</c:v>
                </c:pt>
                <c:pt idx="1">
                  <c:v>51943</c:v>
                </c:pt>
                <c:pt idx="2">
                  <c:v>53730</c:v>
                </c:pt>
                <c:pt idx="3">
                  <c:v>52579</c:v>
                </c:pt>
                <c:pt idx="4">
                  <c:v>51967</c:v>
                </c:pt>
                <c:pt idx="5">
                  <c:v>54687</c:v>
                </c:pt>
                <c:pt idx="6">
                  <c:v>51965</c:v>
                </c:pt>
                <c:pt idx="7">
                  <c:v>55339</c:v>
                </c:pt>
                <c:pt idx="8">
                  <c:v>53321</c:v>
                </c:pt>
                <c:pt idx="9">
                  <c:v>54768</c:v>
                </c:pt>
              </c:numCache>
            </c:numRef>
          </c:val>
        </c:ser>
        <c:gapWidth val="60"/>
        <c:overlap val="-10"/>
        <c:axId val="50010001"/>
        <c:axId val="50010002"/>
      </c:barChart>
      <c:lineChart>
        <c:grouping val="standard"/>
        <c:ser>
          <c:idx val="1"/>
          <c:order val="1"/>
          <c:tx>
            <c:v>Demand</c:v>
          </c:tx>
          <c:spPr>
            <a:ln w="19050">
              <a:solidFill>
                <a:srgbClr val="4A5361"/>
              </a:solidFill>
              <a:prstDash val="dash"/>
            </a:ln>
          </c:spPr>
          <c:marker>
            <c:symbol val="none"/>
          </c:marker>
          <c:cat>
            <c:numRef>
              <c:f>Dashboard!$B$43:$B$52</c:f>
              <c:numCache>
                <c:formatCode>General</c:formatCode>
                <c:ptCount val="10"/>
                <c:pt idx="0">
                  <c:v>46286</c:v>
                </c:pt>
                <c:pt idx="1">
                  <c:v>46287</c:v>
                </c:pt>
                <c:pt idx="2">
                  <c:v>46288</c:v>
                </c:pt>
                <c:pt idx="3">
                  <c:v>46289</c:v>
                </c:pt>
                <c:pt idx="4">
                  <c:v>46290</c:v>
                </c:pt>
                <c:pt idx="5">
                  <c:v>46293</c:v>
                </c:pt>
                <c:pt idx="6">
                  <c:v>46294</c:v>
                </c:pt>
                <c:pt idx="7">
                  <c:v>46295</c:v>
                </c:pt>
                <c:pt idx="8">
                  <c:v>46296</c:v>
                </c:pt>
                <c:pt idx="9">
                  <c:v>46297</c:v>
                </c:pt>
              </c:numCache>
            </c:numRef>
          </c:cat>
          <c:val>
            <c:numRef>
              <c:f>Dashboard!$E$43:$E$52</c:f>
              <c:numCache>
                <c:formatCode>General</c:formatCode>
                <c:ptCount val="10"/>
                <c:pt idx="0">
                  <c:v>52400</c:v>
                </c:pt>
                <c:pt idx="1">
                  <c:v>52400</c:v>
                </c:pt>
                <c:pt idx="2">
                  <c:v>52400</c:v>
                </c:pt>
                <c:pt idx="3">
                  <c:v>52400</c:v>
                </c:pt>
                <c:pt idx="4">
                  <c:v>52400</c:v>
                </c:pt>
                <c:pt idx="5">
                  <c:v>52400</c:v>
                </c:pt>
                <c:pt idx="6">
                  <c:v>52400</c:v>
                </c:pt>
                <c:pt idx="7">
                  <c:v>52400</c:v>
                </c:pt>
                <c:pt idx="8">
                  <c:v>52400</c:v>
                </c:pt>
                <c:pt idx="9">
                  <c:v>52400</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theoretical output went, by line</a:t>
            </a:r>
          </a:p>
        </c:rich>
      </c:tx>
      <c:layout/>
    </c:title>
    <c:plotArea>
      <c:layout/>
      <c:barChart>
        <c:barDir val="bar"/>
        <c:grouping val="stacked"/>
        <c:ser>
          <c:idx val="0"/>
          <c:order val="0"/>
          <c:tx>
            <c:v>Good</c:v>
          </c:tx>
          <c:spPr>
            <a:solidFill>
              <a:srgbClr val="3B64D8"/>
            </a:solidFill>
            <a:ln w="9525">
              <a:solidFill>
                <a:srgbClr val="FFFFFF"/>
              </a:solidFill>
            </a:ln>
          </c:spPr>
          <c:cat>
            <c:strRef>
              <c:f>Dashboard!$B$56:$B$58</c:f>
              <c:strCache>
                <c:ptCount val="3"/>
                <c:pt idx="0">
                  <c:v>L1 Bagger</c:v>
                </c:pt>
                <c:pt idx="1">
                  <c:v>L2 Cartoner</c:v>
                </c:pt>
                <c:pt idx="2">
                  <c:v>L3 Tray sealer</c:v>
                </c:pt>
              </c:strCache>
            </c:strRef>
          </c:cat>
          <c:val>
            <c:numRef>
              <c:f>Dashboard!$C$56:$C$58</c:f>
              <c:numCache>
                <c:formatCode>General</c:formatCode>
                <c:ptCount val="3"/>
                <c:pt idx="0">
                  <c:v>0.832533333333333</c:v>
                </c:pt>
                <c:pt idx="1">
                  <c:v>0.695522222222222</c:v>
                </c:pt>
                <c:pt idx="2">
                  <c:v>0.791140740740741</c:v>
                </c:pt>
              </c:numCache>
            </c:numRef>
          </c:val>
        </c:ser>
        <c:ser>
          <c:idx val="1"/>
          <c:order val="1"/>
          <c:tx>
            <c:v>Downtime loss</c:v>
          </c:tx>
          <c:spPr>
            <a:solidFill>
              <a:srgbClr val="E8702A"/>
            </a:solidFill>
            <a:ln w="9525">
              <a:solidFill>
                <a:srgbClr val="FFFFFF"/>
              </a:solidFill>
            </a:ln>
          </c:spPr>
          <c:cat>
            <c:strRef>
              <c:f>Dashboard!$B$56:$B$58</c:f>
              <c:strCache>
                <c:ptCount val="3"/>
                <c:pt idx="0">
                  <c:v>L1 Bagger</c:v>
                </c:pt>
                <c:pt idx="1">
                  <c:v>L2 Cartoner</c:v>
                </c:pt>
                <c:pt idx="2">
                  <c:v>L3 Tray sealer</c:v>
                </c:pt>
              </c:strCache>
            </c:strRef>
          </c:cat>
          <c:val>
            <c:numRef>
              <c:f>Dashboard!$D$56:$D$58</c:f>
              <c:numCache>
                <c:formatCode>General</c:formatCode>
                <c:ptCount val="3"/>
                <c:pt idx="0">
                  <c:v>0.0681481481481482</c:v>
                </c:pt>
                <c:pt idx="1">
                  <c:v>0.247407407407407</c:v>
                </c:pt>
                <c:pt idx="2">
                  <c:v>0.0851851851851852</c:v>
                </c:pt>
              </c:numCache>
            </c:numRef>
          </c:val>
        </c:ser>
        <c:ser>
          <c:idx val="2"/>
          <c:order val="2"/>
          <c:tx>
            <c:v>Speed loss</c:v>
          </c:tx>
          <c:spPr>
            <a:solidFill>
              <a:srgbClr val="1BA37A"/>
            </a:solidFill>
            <a:ln w="9525">
              <a:solidFill>
                <a:srgbClr val="FFFFFF"/>
              </a:solidFill>
            </a:ln>
          </c:spPr>
          <c:cat>
            <c:strRef>
              <c:f>Dashboard!$B$56:$B$58</c:f>
              <c:strCache>
                <c:ptCount val="3"/>
                <c:pt idx="0">
                  <c:v>L1 Bagger</c:v>
                </c:pt>
                <c:pt idx="1">
                  <c:v>L2 Cartoner</c:v>
                </c:pt>
                <c:pt idx="2">
                  <c:v>L3 Tray sealer</c:v>
                </c:pt>
              </c:strCache>
            </c:strRef>
          </c:cat>
          <c:val>
            <c:numRef>
              <c:f>Dashboard!$E$56:$E$58</c:f>
              <c:numCache>
                <c:formatCode>General</c:formatCode>
                <c:ptCount val="3"/>
                <c:pt idx="0">
                  <c:v>0.0842907407407407</c:v>
                </c:pt>
                <c:pt idx="1">
                  <c:v>0.0534740740740741</c:v>
                </c:pt>
                <c:pt idx="2">
                  <c:v>0.103116049382716</c:v>
                </c:pt>
              </c:numCache>
            </c:numRef>
          </c:val>
        </c:ser>
        <c:ser>
          <c:idx val="3"/>
          <c:order val="3"/>
          <c:tx>
            <c:v>Quality loss</c:v>
          </c:tx>
          <c:spPr>
            <a:solidFill>
              <a:srgbClr val="E0A100"/>
            </a:solidFill>
            <a:ln w="9525">
              <a:solidFill>
                <a:srgbClr val="FFFFFF"/>
              </a:solidFill>
            </a:ln>
          </c:spPr>
          <c:cat>
            <c:strRef>
              <c:f>Dashboard!$B$56:$B$58</c:f>
              <c:strCache>
                <c:ptCount val="3"/>
                <c:pt idx="0">
                  <c:v>L1 Bagger</c:v>
                </c:pt>
                <c:pt idx="1">
                  <c:v>L2 Cartoner</c:v>
                </c:pt>
                <c:pt idx="2">
                  <c:v>L3 Tray sealer</c:v>
                </c:pt>
              </c:strCache>
            </c:strRef>
          </c:cat>
          <c:val>
            <c:numRef>
              <c:f>Dashboard!$F$56:$F$58</c:f>
              <c:numCache>
                <c:formatCode>General</c:formatCode>
                <c:ptCount val="3"/>
                <c:pt idx="0">
                  <c:v>0.0150277777777778</c:v>
                </c:pt>
                <c:pt idx="1">
                  <c:v>0.0035962962962963</c:v>
                </c:pt>
                <c:pt idx="2">
                  <c:v>0.020558024691358</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good units made each day for the last ten production days in view, with the demand for the shifts logged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Stacked bar chart splitting each line's theoretical output, as 100%, into good units and the shares lost to downtime, slow running and scrap."/>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Lines" displayName="tblLines" ref="B15:G18" totalsRowShown="0">
  <autoFilter ref="B15:G18"/>
  <tableColumns count="6">
    <tableColumn id="1" name="Line"/>
    <tableColumn id="2" name="Bottleneck cycle (s/unit)"/>
    <tableColumn id="3" name="Shifts per day"/>
    <tableColumn id="4" name="Daily demand (units)"/>
    <tableColumn id="5" name="Demand per shift (units)">
      <calculatedColumnFormula>IF(AND(ISNUMBER(tblLines[[#This Row],[Daily demand (units)]]),N(tblLines[[#This Row],[Shifts per day]])&gt;0),tblLines[[#This Row],[Daily demand (units)]]/tblLines[[#This Row],[Shifts per day]],"")</calculatedColumnFormula>
    </tableColumn>
    <tableColumn id="6" name="Description"/>
  </tableColumns>
  <tableStyleInfo name="TableStyleLight1" showFirstColumn="0" showLastColumn="0" showRowStripes="0" showColumnStripes="0"/>
</table>
</file>

<file path=xl/tables/table2.xml><?xml version="1.0" encoding="utf-8"?>
<table xmlns="http://schemas.openxmlformats.org/spreadsheetml/2006/main" id="2" name="tblShiftList" displayName="tblShiftList" ref="B21:C23" totalsRowShown="0">
  <autoFilter ref="B21:C23"/>
  <tableColumns count="2">
    <tableColumn id="1" name="Shift"/>
    <tableColumn id="2" name="Hours"/>
  </tableColumns>
  <tableStyleInfo name="TableStyleLight1" showFirstColumn="0" showLastColumn="0" showRowStripes="0" showColumnStripes="0"/>
</table>
</file>

<file path=xl/tables/table3.xml><?xml version="1.0" encoding="utf-8"?>
<table xmlns="http://schemas.openxmlformats.org/spreadsheetml/2006/main" id="3" name="tblRuns" displayName="tblRuns" ref="B5:X95" totalsRowShown="0">
  <autoFilter ref="B5:X95"/>
  <tableColumns count="23">
    <tableColumn id="1" name="Date"/>
    <tableColumn id="2" name="Shift"/>
    <tableColumn id="3" name="Line"/>
    <tableColumn id="4" name="Scheduled (min)"/>
    <tableColumn id="5" name="Downtime (min)"/>
    <tableColumn id="6" name="Total (units)"/>
    <tableColumn id="7" name="Good (units)"/>
    <tableColumn id="8" name="Cycle (s/unit)">
      <calculatedColumnFormula>IF(tblRuns[[#This Row],[Date]]="","",IFERROR(INDEX(tblLines[Bottleneck cycle (s/unit)],MATCH(tblRuns[[#This Row],[Line]],tblLines[Line],0)),""))</calculatedColumnFormula>
    </tableColumn>
    <tableColumn id="9" name="Demand (units)">
      <calculatedColumnFormula>IF(tblRuns[[#This Row],[Date]]="","",IFERROR(INDEX(tblLines[Demand per shift (units)],MATCH(tblRuns[[#This Row],[Line]],tblLines[Line],0)),""))</calculatedColumnFormula>
    </tableColumn>
    <tableColumn id="10" name="Run (min)">
      <calculatedColumnFormula>IF(tblRuns[[#This Row],[Date]]="","",tblRuns[[#This Row],[Scheduled (min)]]-tblRuns[[#This Row],[Downtime (min)]])</calculatedColumnFormula>
    </tableColumn>
    <tableColumn id="11" name="Theoretical (units)">
      <calculatedColumnFormula>IF(tblRuns[[#This Row],[Date]]="","",IF(ISNUMBER(tblRuns[[#This Row],[Cycle (s/unit)]]),tblRuns[[#This Row],[Scheduled (min)]]*60/tblRuns[[#This Row],[Cycle (s/unit)]],""))</calculatedColumnFormula>
    </tableColumn>
    <tableColumn id="12" name="Good rate (units/h)">
      <calculatedColumnFormula>IF(tblRuns[[#This Row],[Date]]="","",IF(tblRuns[[#This Row],[Scheduled (min)]]&gt;0,tblRuns[[#This Row],[Good (units)]]/(tblRuns[[#This Row],[Scheduled (min)]]/60),""))</calculatedColumnFormula>
    </tableColumn>
    <tableColumn id="13" name="Uptime">
      <calculatedColumnFormula>IF(tblRuns[[#This Row],[Date]]="","",IF(tblRuns[[#This Row],[Scheduled (min)]]&gt;0,tblRuns[[#This Row],[Run (min)]]/tblRuns[[#This Row],[Scheduled (min)]],""))</calculatedColumnFormula>
    </tableColumn>
    <tableColumn id="14" name="Yield">
      <calculatedColumnFormula>IF(tblRuns[[#This Row],[Date]]="","",IF(tblRuns[[#This Row],[Total (units)]]&gt;0,tblRuns[[#This Row],[Good (units)]]/tblRuns[[#This Row],[Total (units)]],""))</calculatedColumnFormula>
    </tableColumn>
    <tableColumn id="15" name="Share of theoretical">
      <calculatedColumnFormula>IF(tblRuns[[#This Row],[Date]]="","",IF(N(tblRuns[[#This Row],[Theoretical (units)]])&gt;0,tblRuns[[#This Row],[Good (units)]]/tblRuns[[#This Row],[Theoretical (units)]],""))</calculatedColumnFormula>
    </tableColumn>
    <tableColumn id="16" name="Downtime loss (units)">
      <calculatedColumnFormula>IF(tblRuns[[#This Row],[Date]]="","",IF(ISNUMBER(tblRuns[[#This Row],[Cycle (s/unit)]]),tblRuns[[#This Row],[Downtime (min)]]*60/tblRuns[[#This Row],[Cycle (s/unit)]],""))</calculatedColumnFormula>
    </tableColumn>
    <tableColumn id="17" name="Speed loss (units)">
      <calculatedColumnFormula>IF(tblRuns[[#This Row],[Date]]="","",IF(ISNUMBER(tblRuns[[#This Row],[Cycle (s/unit)]]),tblRuns[[#This Row],[Run (min)]]*60/tblRuns[[#This Row],[Cycle (s/unit)]]-tblRuns[[#This Row],[Total (units)]],""))</calculatedColumnFormula>
    </tableColumn>
    <tableColumn id="18" name="Quality loss (units)">
      <calculatedColumnFormula>IF(tblRuns[[#This Row],[Date]]="","",tblRuns[[#This Row],[Total (units)]]-tblRuns[[#This Row],[Good (units)]])</calculatedColumnFormula>
    </tableColumn>
    <tableColumn id="19" name="Demand coverage">
      <calculatedColumnFormula>IF(tblRuns[[#This Row],[Date]]="","",IF(N(tblRuns[[#This Row],[Demand (units)]])&gt;0,tblRuns[[#This Row],[Good (units)]]/tblRuns[[#This Row],[Demand (units)]],""))</calculatedColumnFormula>
    </tableColumn>
    <tableColumn id="20" name="Status">
      <calculatedColumnFormula>IF(NOT(ISNUMBER(tblRuns[[#This Row],[Demand coverage]])),"",IF(tblRuns[[#This Row],[Demand coverage]]&gt;=TargetCov,"On target",IF(tblRuns[[#This Row],[Demand coverage]]&gt;=TargetCov*(1-0.05),"Near target","Below target")))</calculatedColumnFormula>
    </tableColumn>
    <tableColumn id="21" name="View date">
      <calculatedColumnFormula>IF(tblRuns[[#This Row],[Date]]="","",IF(AND(tblRuns[[#This Row],[Date]]&gt;=FFrom,tblRuns[[#This Row],[Date]]&lt;=FTo,OR(DashLine="",tblRuns[[#This Row],[Line]]=DashLine)),tblRuns[[#This Row],[Date]],""))</calculatedColumnFormula>
    </tableColumn>
    <tableColumn id="22" name="Check">
      <calculatedColumnFormula>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calculatedColumnFormula>
    </tableColumn>
    <tableColumn id="23" name="Notes"/>
  </tableColumns>
  <tableStyleInfo name="TableStyleLight1" showFirstColumn="0" showLastColumn="0" showRowStripes="0" showColumnStripes="0"/>
</table>
</file>

<file path=xl/tables/table4.xml><?xml version="1.0" encoding="utf-8"?>
<table xmlns="http://schemas.openxmlformats.org/spreadsheetml/2006/main" id="4" name="tblVerifyLines" displayName="tblVerifyLines" ref="B67:G69" totalsRowShown="0">
  <tableColumns count="6">
    <tableColumn id="1" name="Line"/>
    <tableColumn id="2" name="Bottleneck cycle (s/unit)"/>
    <tableColumn id="3" name="Shifts per day"/>
    <tableColumn id="4" name="Daily demand (units)"/>
    <tableColumn id="5" name="Demand per shift (units)">
      <calculatedColumnFormula>IF(AND(ISNUMBER(tblVerifyLines[[#This Row],[Daily demand (units)]]),N(tblVerifyLines[[#This Row],[Shifts per day]])&gt;0),tblVerifyLines[[#This Row],[Daily demand (units)]]/tblVerifyLines[[#This Row],[Shifts per day]],"")</calculatedColumnFormula>
    </tableColumn>
    <tableColumn id="6" name="Description"/>
  </tableColumns>
  <tableStyleInfo name="TableStyleLight1" showFirstColumn="0" showLastColumn="0" showRowStripes="0" showColumnStripes="0"/>
</table>
</file>

<file path=xl/tables/table5.xml><?xml version="1.0" encoding="utf-8"?>
<table xmlns="http://schemas.openxmlformats.org/spreadsheetml/2006/main" id="5" name="tblVerifyRuns" displayName="tblVerifyRuns" ref="B72:X77" totalsRowShown="0">
  <tableColumns count="23">
    <tableColumn id="1" name="Date"/>
    <tableColumn id="2" name="Shift"/>
    <tableColumn id="3" name="Line"/>
    <tableColumn id="4" name="Scheduled (min)"/>
    <tableColumn id="5" name="Downtime (min)"/>
    <tableColumn id="6" name="Total (units)"/>
    <tableColumn id="7" name="Good (units)"/>
    <tableColumn id="8" name="Cycle (s/unit)"/>
    <tableColumn id="9" name="Demand (units)"/>
    <tableColumn id="10" name="Run (min)">
      <calculatedColumnFormula>IF(tblVerifyRuns[[#This Row],[Date]]="","",tblVerifyRuns[[#This Row],[Scheduled (min)]]-tblVerifyRuns[[#This Row],[Downtime (min)]])</calculatedColumnFormula>
    </tableColumn>
    <tableColumn id="11" name="Theoretical (units)">
      <calculatedColumnFormula>IF(tblVerifyRuns[[#This Row],[Date]]="","",IF(ISNUMBER(tblVerifyRuns[[#This Row],[Cycle (s/unit)]]),tblVerifyRuns[[#This Row],[Scheduled (min)]]*60/tblVerifyRuns[[#This Row],[Cycle (s/unit)]],""))</calculatedColumnFormula>
    </tableColumn>
    <tableColumn id="12" name="Good rate (units/h)">
      <calculatedColumnFormula>IF(tblVerifyRuns[[#This Row],[Date]]="","",IF(tblVerifyRuns[[#This Row],[Scheduled (min)]]&gt;0,tblVerifyRuns[[#This Row],[Good (units)]]/(tblVerifyRuns[[#This Row],[Scheduled (min)]]/60),""))</calculatedColumnFormula>
    </tableColumn>
    <tableColumn id="13" name="Uptime">
      <calculatedColumnFormula>IF(tblVerifyRuns[[#This Row],[Date]]="","",IF(tblVerifyRuns[[#This Row],[Scheduled (min)]]&gt;0,tblVerifyRuns[[#This Row],[Run (min)]]/tblVerifyRuns[[#This Row],[Scheduled (min)]],""))</calculatedColumnFormula>
    </tableColumn>
    <tableColumn id="14" name="Yield">
      <calculatedColumnFormula>IF(tblVerifyRuns[[#This Row],[Date]]="","",IF(tblVerifyRuns[[#This Row],[Total (units)]]&gt;0,tblVerifyRuns[[#This Row],[Good (units)]]/tblVerifyRuns[[#This Row],[Total (units)]],""))</calculatedColumnFormula>
    </tableColumn>
    <tableColumn id="15" name="Share of theoretical">
      <calculatedColumnFormula>IF(tblVerifyRuns[[#This Row],[Date]]="","",IF(N(tblVerifyRuns[[#This Row],[Theoretical (units)]])&gt;0,tblVerifyRuns[[#This Row],[Good (units)]]/tblVerifyRuns[[#This Row],[Theoretical (units)]],""))</calculatedColumnFormula>
    </tableColumn>
    <tableColumn id="16" name="Downtime loss (units)">
      <calculatedColumnFormula>IF(tblVerifyRuns[[#This Row],[Date]]="","",IF(ISNUMBER(tblVerifyRuns[[#This Row],[Cycle (s/unit)]]),tblVerifyRuns[[#This Row],[Downtime (min)]]*60/tblVerifyRuns[[#This Row],[Cycle (s/unit)]],""))</calculatedColumnFormula>
    </tableColumn>
    <tableColumn id="17" name="Speed loss (units)">
      <calculatedColumnFormula>IF(tblVerifyRuns[[#This Row],[Date]]="","",IF(ISNUMBER(tblVerifyRuns[[#This Row],[Cycle (s/unit)]]),tblVerifyRuns[[#This Row],[Run (min)]]*60/tblVerifyRuns[[#This Row],[Cycle (s/unit)]]-tblVerifyRuns[[#This Row],[Total (units)]],""))</calculatedColumnFormula>
    </tableColumn>
    <tableColumn id="18" name="Quality loss (units)">
      <calculatedColumnFormula>IF(tblVerifyRuns[[#This Row],[Date]]="","",tblVerifyRuns[[#This Row],[Total (units)]]-tblVerifyRuns[[#This Row],[Good (units)]])</calculatedColumnFormula>
    </tableColumn>
    <tableColumn id="19" name="Demand coverage">
      <calculatedColumnFormula>IF(tblVerifyRuns[[#This Row],[Date]]="","",IF(N(tblVerifyRuns[[#This Row],[Demand (units)]])&gt;0,tblVerifyRuns[[#This Row],[Good (units)]]/tblVerifyRuns[[#This Row],[Demand (units)]],""))</calculatedColumnFormula>
    </tableColumn>
    <tableColumn id="20" name="Status">
      <calculatedColumnFormula>IF(NOT(ISNUMBER(tblVerifyRuns[[#This Row],[Demand coverage]])),"",IF(tblVerifyRuns[[#This Row],[Demand coverage]]&gt;=$E$64,"On target",IF(tblVerifyRuns[[#This Row],[Demand coverage]]&gt;=$E$64*(1-0.05),"Near target","Below target")))</calculatedColumnFormula>
    </tableColumn>
    <tableColumn id="21" name="View date">
      <calculatedColumnFormula>IF(tblVerifyRuns[[#This Row],[Date]]="","",IF(AND(tblVerifyRuns[[#This Row],[Date]]&gt;=$E$61,tblVerifyRuns[[#This Row],[Date]]&lt;=$E$62,OR($E$63="",tblVerifyRuns[[#This Row],[Line]]=$E$63)),tblVerifyRuns[[#This Row],[Date]],""))</calculatedColumnFormula>
    </tableColumn>
    <tableColumn id="22" name="Check">
      <calculatedColumnFormula>IF(tblVerifyRuns[[#This Row],[Date]]="","",IF(tblVerifyRuns[[#This Row],[Shift]]="","Missing shift",IF(tblVerifyRuns[[#This Row],[Line]]="","Missing line",IF(tblVerifyRuns[[#This Row],[Scheduled (min)]]="","Missing scheduled",IF(tblVerifyRuns[[#This Row],[Total (units)]]="","Missing total",IF(tblVerifyRuns[[#This Row],[Good (units)]]="","Missing good",IF(tblVerifyRuns[[#This Row],[Cycle (s/unit)]]="","Line not on Setup list",IF(tblVerifyRuns[[#This Row],[Good (units)]]&gt;tblVerifyRuns[[#This Row],[Total (units)]],"Good &gt; total",IF(tblVerifyRuns[[#This Row],[Downtime (min)]]&gt;tblVerifyRuns[[#This Row],[Scheduled (min)]],"Downtime &gt; scheduled",IF(N(tblVerifyRuns[[#This Row],[Speed loss (units)]])&lt;0,"Faster than cycle: check cycle",IF(COUNTIFS(tblVerifyRuns[Date],tblVerifyRuns[[#This Row],[Date]],tblVerifyRuns[Shift],tblVerifyRuns[[#This Row],[Shift]],tblVerifyRuns[Line],tblVerifyRuns[[#This Row],[Line]])&gt;1,"Duplicate shift row","OK")))))))))))</calculatedColumnFormula>
    </tableColumn>
    <tableColumn id="2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hroughput-analysis" TargetMode="External"/><Relationship Id="rId2" Type="http://schemas.openxmlformats.org/officeDocument/2006/relationships/hyperlink" Target="https://www.mfgcalcs.com/calculators/conveyors-production-lines/throughput?utm_source=mfgcalcs-template&amp;utm_medium=xlsx&amp;utm_campaign=throughput-analysis" TargetMode="External"/><Relationship Id="rId3" Type="http://schemas.openxmlformats.org/officeDocument/2006/relationships/hyperlink" Target="https://www.mfgcalcs.com/templates/throughput-analysis?utm_source=mfgcalcs-template&amp;utm_medium=xlsx&amp;utm_campaign=throughput-analysis" TargetMode="External"/><Relationship Id="rId4" Type="http://schemas.openxmlformats.org/officeDocument/2006/relationships/hyperlink" Target="https://www.mfgcalcs.com/templates?utm_source=mfgcalcs-template&amp;utm_medium=xlsx&amp;utm_campaign=throughput-analysi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hroughput-analysis"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hroughput-analysis"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hroughput-analysis"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hroughput-analysis" TargetMode="External"/><Relationship Id="rId2" Type="http://schemas.openxmlformats.org/officeDocument/2006/relationships/hyperlink" Target="https://www.mfgcalcs.com/calculators/conveyors-production-lines/throughput?utm_source=mfgcalcs-template&amp;utm_medium=xlsx&amp;utm_campaign=throughput-analysi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hroughput-analysis"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45 of 45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Shift Log'!A1" tooltip="Go to Shift Log" display="Shift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Throughput Analysis&amp;R&amp;8&amp;A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23"/>
  <sheetViews>
    <sheetView showGridLines="0" workbookViewId="0"/>
  </sheetViews>
  <sheetFormatPr defaultRowHeight="15"/>
  <cols>
    <col min="1" max="1" width="2.7109375" customWidth="1"/>
    <col min="2" max="2" width="26.7109375" customWidth="1"/>
    <col min="3" max="3" width="14.7109375" customWidth="1"/>
    <col min="4" max="4" width="13.7109375" customWidth="1"/>
    <col min="5" max="6" width="14.7109375" customWidth="1"/>
    <col min="7" max="7" width="40.7109375" customWidth="1"/>
  </cols>
  <sheetData>
    <row r="1" spans="1:7" ht="30" customHeight="1">
      <c r="A1" s="1" t="s">
        <v>0</v>
      </c>
      <c r="B1" s="1"/>
      <c r="C1" s="1"/>
      <c r="D1" s="1"/>
      <c r="E1" s="1"/>
      <c r="F1" s="1"/>
      <c r="G1" s="1"/>
    </row>
    <row r="2" spans="1:7" ht="21" customHeight="1">
      <c r="B2" s="2" t="s">
        <v>18</v>
      </c>
      <c r="C2" s="2"/>
      <c r="D2" s="2"/>
      <c r="E2" s="2"/>
      <c r="F2" s="2"/>
      <c r="G2" s="3" t="s">
        <v>2</v>
      </c>
    </row>
    <row r="3" spans="1:7" ht="6" customHeight="1"/>
    <row r="4" spans="1:7" ht="21" customHeight="1">
      <c r="B4" s="8" t="s">
        <v>68</v>
      </c>
      <c r="C4" s="8"/>
      <c r="D4" s="8"/>
      <c r="E4" s="8"/>
      <c r="F4" s="8"/>
      <c r="G4" s="8"/>
    </row>
    <row r="5" spans="1:7" ht="5" customHeight="1"/>
    <row r="6" spans="1:7">
      <c r="B6" s="27" t="s">
        <v>69</v>
      </c>
      <c r="C6" s="28" t="s">
        <v>70</v>
      </c>
      <c r="D6" s="28"/>
      <c r="E6" s="28"/>
    </row>
    <row r="7" spans="1:7">
      <c r="B7" s="27" t="s">
        <v>71</v>
      </c>
      <c r="C7" s="29">
        <v>1</v>
      </c>
      <c r="D7" s="29"/>
      <c r="E7" s="7"/>
    </row>
    <row r="9" spans="1:7" ht="22.2" customHeight="1">
      <c r="B9" s="25" t="s">
        <v>72</v>
      </c>
      <c r="C9" s="25"/>
      <c r="D9" s="25"/>
      <c r="E9" s="25"/>
      <c r="F9" s="25"/>
      <c r="G9" s="25"/>
    </row>
    <row r="11" spans="1:7" ht="21" customHeight="1">
      <c r="B11" s="8" t="s">
        <v>73</v>
      </c>
      <c r="C11" s="8"/>
      <c r="D11" s="8"/>
      <c r="E11" s="8"/>
      <c r="F11" s="8"/>
      <c r="G11" s="8"/>
    </row>
    <row r="12" spans="1:7" ht="5" customHeight="1"/>
    <row r="13" spans="1:7" ht="26.76" customHeight="1">
      <c r="B13" s="21" t="s">
        <v>74</v>
      </c>
      <c r="C13" s="21"/>
      <c r="D13" s="21"/>
      <c r="E13" s="21"/>
      <c r="F13" s="21"/>
      <c r="G13" s="21"/>
    </row>
    <row r="14" spans="1:7">
      <c r="B14" s="30" t="s">
        <v>75</v>
      </c>
      <c r="C14" s="30"/>
      <c r="D14" s="30"/>
      <c r="E14" s="30"/>
      <c r="F14" s="30"/>
      <c r="G14" s="30"/>
    </row>
    <row r="15" spans="1:7" ht="32" customHeight="1">
      <c r="B15" s="31" t="s">
        <v>60</v>
      </c>
      <c r="C15" s="31" t="s">
        <v>61</v>
      </c>
      <c r="D15" s="31" t="s">
        <v>62</v>
      </c>
      <c r="E15" s="31" t="s">
        <v>63</v>
      </c>
      <c r="F15" s="31" t="s">
        <v>64</v>
      </c>
      <c r="G15" s="31" t="s">
        <v>65</v>
      </c>
    </row>
    <row r="16" spans="1:7">
      <c r="B16" s="28" t="s">
        <v>76</v>
      </c>
      <c r="C16" s="32">
        <v>1.5</v>
      </c>
      <c r="D16" s="33">
        <v>2</v>
      </c>
      <c r="E16" s="34">
        <v>29000</v>
      </c>
      <c r="F16" s="35">
        <f>IF(AND(ISNUMBER(tblLines[[#This Row],[Daily demand (units)]]),N(tblLines[[#This Row],[Shifts per day]])&gt;0),tblLines[[#This Row],[Daily demand (units)]]/tblLines[[#This Row],[Shifts per day]],"")</f>
        <v>14500</v>
      </c>
      <c r="G16" s="28" t="s">
        <v>77</v>
      </c>
    </row>
    <row r="17" spans="2:7">
      <c r="B17" s="28" t="s">
        <v>78</v>
      </c>
      <c r="C17" s="32">
        <v>3</v>
      </c>
      <c r="D17" s="33">
        <v>2</v>
      </c>
      <c r="E17" s="34">
        <v>13200</v>
      </c>
      <c r="F17" s="35">
        <f>IF(AND(ISNUMBER(tblLines[[#This Row],[Daily demand (units)]]),N(tblLines[[#This Row],[Shifts per day]])&gt;0),tblLines[[#This Row],[Daily demand (units)]]/tblLines[[#This Row],[Shifts per day]],"")</f>
        <v>6600</v>
      </c>
      <c r="G17" s="28" t="s">
        <v>79</v>
      </c>
    </row>
    <row r="18" spans="2:7">
      <c r="B18" s="28" t="s">
        <v>80</v>
      </c>
      <c r="C18" s="32">
        <v>4</v>
      </c>
      <c r="D18" s="33">
        <v>2</v>
      </c>
      <c r="E18" s="34">
        <v>10200</v>
      </c>
      <c r="F18" s="35">
        <f>IF(AND(ISNUMBER(tblLines[[#This Row],[Daily demand (units)]]),N(tblLines[[#This Row],[Shifts per day]])&gt;0),tblLines[[#This Row],[Daily demand (units)]]/tblLines[[#This Row],[Shifts per day]],"")</f>
        <v>5100</v>
      </c>
      <c r="G18" s="28" t="s">
        <v>81</v>
      </c>
    </row>
    <row r="20" spans="2:7">
      <c r="B20" s="30" t="s">
        <v>82</v>
      </c>
      <c r="C20" s="30"/>
    </row>
    <row r="21" spans="2:7" ht="20" customHeight="1">
      <c r="B21" s="31" t="s">
        <v>66</v>
      </c>
      <c r="C21" s="31" t="s">
        <v>67</v>
      </c>
    </row>
    <row r="22" spans="2:7">
      <c r="B22" s="28" t="s">
        <v>83</v>
      </c>
      <c r="C22" s="28" t="s">
        <v>84</v>
      </c>
    </row>
    <row r="23" spans="2:7">
      <c r="B23" s="28" t="s">
        <v>85</v>
      </c>
      <c r="C23" s="28" t="s">
        <v>86</v>
      </c>
    </row>
  </sheetData>
  <mergeCells count="10">
    <mergeCell ref="A1:G1"/>
    <mergeCell ref="B2:F2"/>
    <mergeCell ref="B4:G4"/>
    <mergeCell ref="C6:E6"/>
    <mergeCell ref="C7:D7"/>
    <mergeCell ref="B9:G9"/>
    <mergeCell ref="B11:G11"/>
    <mergeCell ref="B13:G13"/>
    <mergeCell ref="B14:G14"/>
    <mergeCell ref="B20:C20"/>
  </mergeCells>
  <dataValidations count="9">
    <dataValidation type="textLength" allowBlank="1" showInputMessage="1" showErrorMessage="1" errorTitle="Check this entry" error="Text up to 80 characters." promptTitle="Plant or area name" prompt="Shown on the Dashboard. Text up to 80 characters." sqref="C6">
      <formula1>0</formula1>
      <formula2>80</formula2>
    </dataValidation>
    <dataValidation type="decimal" allowBlank="1" showInputMessage="1" showErrorMessage="1" errorTitle="Check this entry" error="Enter a percentage from 0% to 200% (type 85% or 0.85)." promptTitle="Demand coverage target" prompt="Good units / demand that counts as on target. 100% means every shift made its share of demand. Your own target. Enter a percentage from 0% to 200% (type 85% or 0.85)." sqref="C7">
      <formula1>0</formula1>
      <formula2>2</formula2>
    </dataValidation>
    <dataValidation type="textLength" allowBlank="1" showInputMessage="1" showErrorMessage="1" errorTitle="Check this entry" error="Text up to 24 characters." promptTitle="Line" prompt="Text up to 24 characters." sqref="B16:B118">
      <formula1>0</formula1>
      <formula2>24</formula2>
    </dataValidation>
    <dataValidation type="decimal" allowBlank="1" showInputMessage="1" showErrorMessage="1" errorTitle="Check this entry" error="Enter a number from 0.01 to 86,400." promptTitle="Bottleneck cycle (s/unit)" prompt="Seconds per unit at the bottleneck's rated speed (3,600 / rated units per hour). Enter a number from 0.01 to 86,400." sqref="C16:C118">
      <formula1>0.01</formula1>
      <formula2>86400</formula2>
    </dataValidation>
    <dataValidation type="decimal" allowBlank="1" showInputMessage="1" showErrorMessage="1" errorTitle="Check this entry" error="Enter a number from 0.5 to 4." promptTitle="Shifts per day" prompt="Shifts the line is scheduled per working day. Enter a number from 0.5 to 4." sqref="D16:D118">
      <formula1>0.5</formula1>
      <formula2>4</formula2>
    </dataValidation>
    <dataValidation type="whole" allowBlank="1" showInputMessage="1" showErrorMessage="1" errorTitle="Check this entry" error="Enter a whole number from 0 to 100,000,000." promptTitle="Daily demand (units)" prompt="Good units the line must make per working day. Enter a whole number from 0 to 100,000,000." sqref="E16:E118">
      <formula1>0</formula1>
      <formula2>100000000</formula2>
    </dataValidation>
    <dataValidation type="textLength" allowBlank="1" showInputMessage="1" showErrorMessage="1" errorTitle="Check this entry" error="Text up to 120 characters." promptTitle="Description" prompt="Text up to 120 characters." sqref="G16:G118">
      <formula1>0</formula1>
      <formula2>120</formula2>
    </dataValidation>
    <dataValidation type="textLength" allowBlank="1" showInputMessage="1" showErrorMessage="1" errorTitle="Check this entry" error="Text up to 20 characters." promptTitle="Shift" prompt="Text up to 20 characters." sqref="B22:B123">
      <formula1>0</formula1>
      <formula2>20</formula2>
    </dataValidation>
    <dataValidation type="textLength" allowBlank="1" showInputMessage="1" showErrorMessage="1" errorTitle="Check this entry" error="Text up to 40 characters." promptTitle="Hours" prompt="Shift times, for reference. The 30 minute break is not scheduled time. Text up to 40 characters." sqref="C22:C123">
      <formula1>0</formula1>
      <formula2>40</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Throughput Analysis&amp;R&amp;8&amp;A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X95"/>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2.7109375" customWidth="1"/>
    <col min="2" max="2" width="12.28515625" customWidth="1"/>
    <col min="3" max="3" width="8.7109375" customWidth="1"/>
    <col min="4" max="4" width="13.7109375" customWidth="1"/>
    <col min="5" max="8" width="10.28515625" customWidth="1"/>
    <col min="9" max="9" width="9.28515625" customWidth="1"/>
    <col min="10" max="10" width="9.7109375" customWidth="1"/>
    <col min="11" max="11" width="8.7109375" customWidth="1"/>
    <col min="12" max="12" width="11.28515625" customWidth="1"/>
    <col min="13" max="13" width="10.28515625" customWidth="1"/>
    <col min="14" max="14" width="8.7109375" customWidth="1"/>
    <col min="15" max="15" width="8.28515625" customWidth="1"/>
    <col min="16" max="17" width="11.28515625" customWidth="1"/>
    <col min="18" max="19" width="10.28515625" customWidth="1"/>
    <col min="20" max="20" width="10.7109375" customWidth="1"/>
    <col min="21" max="22" width="12.28515625" customWidth="1"/>
    <col min="23" max="23" width="24.7109375" customWidth="1"/>
    <col min="24" max="24" width="30.7109375" customWidth="1"/>
  </cols>
  <sheetData>
    <row r="1" spans="1:24" ht="30" customHeight="1" x14ac:dyDescent="0.25">
      <c r="A1" s="1" t="s">
        <v>0</v>
      </c>
      <c r="B1" s="1"/>
      <c r="C1" s="1"/>
      <c r="D1" s="1"/>
      <c r="E1" s="1"/>
      <c r="F1" s="1"/>
      <c r="G1" s="1"/>
      <c r="H1" s="1"/>
      <c r="I1" s="1"/>
      <c r="J1" s="1"/>
      <c r="K1" s="1"/>
      <c r="L1" s="1"/>
      <c r="M1" s="1"/>
      <c r="N1" s="1"/>
      <c r="O1" s="1"/>
      <c r="P1" s="1"/>
      <c r="Q1" s="1"/>
      <c r="R1" s="1"/>
      <c r="S1" s="1"/>
      <c r="T1" s="1"/>
      <c r="U1" s="1"/>
      <c r="V1" s="1"/>
      <c r="W1" s="1"/>
      <c r="X1" s="1"/>
    </row>
    <row r="2" spans="1:24" ht="21" customHeight="1" x14ac:dyDescent="0.25">
      <c r="B2" s="2" t="s">
        <v>20</v>
      </c>
      <c r="C2" s="2"/>
      <c r="D2" s="2"/>
      <c r="E2" s="2"/>
      <c r="F2" s="2"/>
      <c r="G2" s="2"/>
      <c r="H2" s="2"/>
      <c r="I2" s="2"/>
      <c r="J2" s="2"/>
      <c r="K2" s="2"/>
      <c r="L2" s="2"/>
      <c r="M2" s="2"/>
      <c r="N2" s="2"/>
      <c r="O2" s="2"/>
      <c r="P2" s="2"/>
      <c r="Q2" s="2"/>
      <c r="R2" s="2"/>
      <c r="S2" s="2"/>
      <c r="T2" s="2"/>
      <c r="U2" s="2"/>
      <c r="V2" s="2"/>
      <c r="W2" s="2"/>
      <c r="X2" s="3" t="s">
        <v>2</v>
      </c>
    </row>
    <row r="3" spans="1:24" ht="6" customHeight="1" x14ac:dyDescent="0.25"/>
    <row r="4" spans="1:24" ht="18" customHeight="1" x14ac:dyDescent="0.25">
      <c r="B4" s="36" t="s">
        <v>108</v>
      </c>
      <c r="C4" s="36"/>
      <c r="D4" s="36"/>
      <c r="E4" s="36"/>
      <c r="F4" s="36"/>
      <c r="G4" s="36"/>
      <c r="H4" s="36"/>
      <c r="I4" s="36"/>
      <c r="J4" s="36"/>
      <c r="K4" s="36"/>
      <c r="L4" s="36"/>
      <c r="M4" s="36"/>
      <c r="N4" s="36"/>
      <c r="O4" s="36"/>
      <c r="P4" s="36"/>
      <c r="Q4" s="36"/>
      <c r="R4" s="36"/>
      <c r="S4" s="36"/>
      <c r="T4" s="36"/>
      <c r="U4" s="36"/>
      <c r="V4" s="36"/>
      <c r="W4" s="36"/>
      <c r="X4" s="36"/>
    </row>
    <row r="5" spans="1:24" ht="32" customHeight="1" x14ac:dyDescent="0.25">
      <c r="B5" s="31" t="s">
        <v>87</v>
      </c>
      <c r="C5" s="31" t="s">
        <v>66</v>
      </c>
      <c r="D5" s="31" t="s">
        <v>60</v>
      </c>
      <c r="E5" s="31" t="s">
        <v>88</v>
      </c>
      <c r="F5" s="31" t="s">
        <v>89</v>
      </c>
      <c r="G5" s="31" t="s">
        <v>90</v>
      </c>
      <c r="H5" s="31" t="s">
        <v>91</v>
      </c>
      <c r="I5" s="31" t="s">
        <v>92</v>
      </c>
      <c r="J5" s="31" t="s">
        <v>93</v>
      </c>
      <c r="K5" s="31" t="s">
        <v>94</v>
      </c>
      <c r="L5" s="31" t="s">
        <v>95</v>
      </c>
      <c r="M5" s="31" t="s">
        <v>96</v>
      </c>
      <c r="N5" s="31" t="s">
        <v>97</v>
      </c>
      <c r="O5" s="31" t="s">
        <v>98</v>
      </c>
      <c r="P5" s="31" t="s">
        <v>99</v>
      </c>
      <c r="Q5" s="31" t="s">
        <v>100</v>
      </c>
      <c r="R5" s="31" t="s">
        <v>101</v>
      </c>
      <c r="S5" s="31" t="s">
        <v>102</v>
      </c>
      <c r="T5" s="31" t="s">
        <v>103</v>
      </c>
      <c r="U5" s="31" t="s">
        <v>104</v>
      </c>
      <c r="V5" s="31" t="s">
        <v>105</v>
      </c>
      <c r="W5" s="31" t="s">
        <v>106</v>
      </c>
      <c r="X5" s="31" t="s">
        <v>107</v>
      </c>
    </row>
    <row r="6" spans="1:24" x14ac:dyDescent="0.25">
      <c r="B6" s="37">
        <v>46279</v>
      </c>
      <c r="C6" s="28" t="s">
        <v>83</v>
      </c>
      <c r="D6" s="28" t="s">
        <v>76</v>
      </c>
      <c r="E6" s="34">
        <v>450</v>
      </c>
      <c r="F6" s="34">
        <v>55</v>
      </c>
      <c r="G6" s="34">
        <v>14641</v>
      </c>
      <c r="H6" s="34">
        <v>14417</v>
      </c>
      <c r="I6" s="38">
        <f>IF(tblRuns[[#This Row],[Date]]="","",IFERROR(INDEX(tblLines[Bottleneck cycle (s/unit)],MATCH(tblRuns[[#This Row],[Line]],tblLines[Line],0)),""))</f>
        <v>1.5</v>
      </c>
      <c r="J6" s="35">
        <f>IF(tblRuns[[#This Row],[Date]]="","",IFERROR(INDEX(tblLines[Demand per shift (units)],MATCH(tblRuns[[#This Row],[Line]],tblLines[Line],0)),""))</f>
        <v>14500</v>
      </c>
      <c r="K6" s="35">
        <f>IF(tblRuns[[#This Row],[Date]]="","",tblRuns[[#This Row],[Scheduled (min)]]-tblRuns[[#This Row],[Downtime (min)]])</f>
        <v>395</v>
      </c>
      <c r="L6" s="35">
        <f>IF(tblRuns[[#This Row],[Date]]="","",IF(ISNUMBER(tblRuns[[#This Row],[Cycle (s/unit)]]),tblRuns[[#This Row],[Scheduled (min)]]*60/tblRuns[[#This Row],[Cycle (s/unit)]],""))</f>
        <v>18000</v>
      </c>
      <c r="M6" s="35">
        <f>IF(tblRuns[[#This Row],[Date]]="","",IF(tblRuns[[#This Row],[Scheduled (min)]]&gt;0,tblRuns[[#This Row],[Good (units)]]/(tblRuns[[#This Row],[Scheduled (min)]]/60),""))</f>
        <v>1922.26666666667</v>
      </c>
      <c r="N6" s="39">
        <f>IF(tblRuns[[#This Row],[Date]]="","",IF(tblRuns[[#This Row],[Scheduled (min)]]&gt;0,tblRuns[[#This Row],[Run (min)]]/tblRuns[[#This Row],[Scheduled (min)]],""))</f>
        <v>0.877777777777778</v>
      </c>
      <c r="O6" s="39">
        <f>IF(tblRuns[[#This Row],[Date]]="","",IF(tblRuns[[#This Row],[Total (units)]]&gt;0,tblRuns[[#This Row],[Good (units)]]/tblRuns[[#This Row],[Total (units)]],""))</f>
        <v>0.984700498599822</v>
      </c>
      <c r="P6" s="39">
        <f>IF(tblRuns[[#This Row],[Date]]="","",IF(N(tblRuns[[#This Row],[Theoretical (units)]])&gt;0,tblRuns[[#This Row],[Good (units)]]/tblRuns[[#This Row],[Theoretical (units)]],""))</f>
        <v>0.800944444444445</v>
      </c>
      <c r="Q6" s="35">
        <f>IF(tblRuns[[#This Row],[Date]]="","",IF(ISNUMBER(tblRuns[[#This Row],[Cycle (s/unit)]]),tblRuns[[#This Row],[Downtime (min)]]*60/tblRuns[[#This Row],[Cycle (s/unit)]],""))</f>
        <v>2200</v>
      </c>
      <c r="R6" s="35">
        <f>IF(tblRuns[[#This Row],[Date]]="","",IF(ISNUMBER(tblRuns[[#This Row],[Cycle (s/unit)]]),tblRuns[[#This Row],[Run (min)]]*60/tblRuns[[#This Row],[Cycle (s/unit)]]-tblRuns[[#This Row],[Total (units)]],""))</f>
        <v>1159</v>
      </c>
      <c r="S6" s="35">
        <f>IF(tblRuns[[#This Row],[Date]]="","",tblRuns[[#This Row],[Total (units)]]-tblRuns[[#This Row],[Good (units)]])</f>
        <v>224</v>
      </c>
      <c r="T6" s="39">
        <f>IF(tblRuns[[#This Row],[Date]]="","",IF(N(tblRuns[[#This Row],[Demand (units)]])&gt;0,tblRuns[[#This Row],[Good (units)]]/tblRuns[[#This Row],[Demand (units)]],""))</f>
        <v>0.994275862068966</v>
      </c>
      <c r="U6" s="40" t="str">
        <f>IF(NOT(ISNUMBER(tblRuns[[#This Row],[Demand coverage]])),"",IF(tblRuns[[#This Row],[Demand coverage]]&gt;=TargetCov,"On target",IF(tblRuns[[#This Row],[Demand coverage]]&gt;=TargetCov*(1-0.05),"Near target","Below target")))</f>
        <v>Near target</v>
      </c>
      <c r="V6" s="41">
        <f>IF(tblRuns[[#This Row],[Date]]="","",IF(AND(tblRuns[[#This Row],[Date]]&gt;=FFrom,tblRuns[[#This Row],[Date]]&lt;=FTo,OR(DashLine="",tblRuns[[#This Row],[Line]]=DashLine)),tblRuns[[#This Row],[Date]],""))</f>
        <v>46279</v>
      </c>
      <c r="W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 s="43" t="s">
        <v>109</v>
      </c>
    </row>
    <row r="7" spans="1:24" x14ac:dyDescent="0.25">
      <c r="B7" s="37">
        <v>46279</v>
      </c>
      <c r="C7" s="28" t="s">
        <v>83</v>
      </c>
      <c r="D7" s="28" t="s">
        <v>78</v>
      </c>
      <c r="E7" s="34">
        <v>450</v>
      </c>
      <c r="F7" s="34">
        <v>90</v>
      </c>
      <c r="G7" s="34">
        <v>6839</v>
      </c>
      <c r="H7" s="34">
        <v>6811</v>
      </c>
      <c r="I7" s="38">
        <f>IF(tblRuns[[#This Row],[Date]]="","",IFERROR(INDEX(tblLines[Bottleneck cycle (s/unit)],MATCH(tblRuns[[#This Row],[Line]],tblLines[Line],0)),""))</f>
        <v>3</v>
      </c>
      <c r="J7" s="35">
        <f>IF(tblRuns[[#This Row],[Date]]="","",IFERROR(INDEX(tblLines[Demand per shift (units)],MATCH(tblRuns[[#This Row],[Line]],tblLines[Line],0)),""))</f>
        <v>6600</v>
      </c>
      <c r="K7" s="35">
        <f>IF(tblRuns[[#This Row],[Date]]="","",tblRuns[[#This Row],[Scheduled (min)]]-tblRuns[[#This Row],[Downtime (min)]])</f>
        <v>360</v>
      </c>
      <c r="L7" s="35">
        <f>IF(tblRuns[[#This Row],[Date]]="","",IF(ISNUMBER(tblRuns[[#This Row],[Cycle (s/unit)]]),tblRuns[[#This Row],[Scheduled (min)]]*60/tblRuns[[#This Row],[Cycle (s/unit)]],""))</f>
        <v>9000</v>
      </c>
      <c r="M7" s="35">
        <f>IF(tblRuns[[#This Row],[Date]]="","",IF(tblRuns[[#This Row],[Scheduled (min)]]&gt;0,tblRuns[[#This Row],[Good (units)]]/(tblRuns[[#This Row],[Scheduled (min)]]/60),""))</f>
        <v>908.133333333333</v>
      </c>
      <c r="N7" s="39">
        <f>IF(tblRuns[[#This Row],[Date]]="","",IF(tblRuns[[#This Row],[Scheduled (min)]]&gt;0,tblRuns[[#This Row],[Run (min)]]/tblRuns[[#This Row],[Scheduled (min)]],""))</f>
        <v>0.8</v>
      </c>
      <c r="O7" s="39">
        <f>IF(tblRuns[[#This Row],[Date]]="","",IF(tblRuns[[#This Row],[Total (units)]]&gt;0,tblRuns[[#This Row],[Good (units)]]/tblRuns[[#This Row],[Total (units)]],""))</f>
        <v>0.995905834186285</v>
      </c>
      <c r="P7" s="39">
        <f>IF(tblRuns[[#This Row],[Date]]="","",IF(N(tblRuns[[#This Row],[Theoretical (units)]])&gt;0,tblRuns[[#This Row],[Good (units)]]/tblRuns[[#This Row],[Theoretical (units)]],""))</f>
        <v>0.756777777777778</v>
      </c>
      <c r="Q7" s="35">
        <f>IF(tblRuns[[#This Row],[Date]]="","",IF(ISNUMBER(tblRuns[[#This Row],[Cycle (s/unit)]]),tblRuns[[#This Row],[Downtime (min)]]*60/tblRuns[[#This Row],[Cycle (s/unit)]],""))</f>
        <v>1800</v>
      </c>
      <c r="R7" s="35">
        <f>IF(tblRuns[[#This Row],[Date]]="","",IF(ISNUMBER(tblRuns[[#This Row],[Cycle (s/unit)]]),tblRuns[[#This Row],[Run (min)]]*60/tblRuns[[#This Row],[Cycle (s/unit)]]-tblRuns[[#This Row],[Total (units)]],""))</f>
        <v>361</v>
      </c>
      <c r="S7" s="35">
        <f>IF(tblRuns[[#This Row],[Date]]="","",tblRuns[[#This Row],[Total (units)]]-tblRuns[[#This Row],[Good (units)]])</f>
        <v>28</v>
      </c>
      <c r="T7" s="39">
        <f>IF(tblRuns[[#This Row],[Date]]="","",IF(N(tblRuns[[#This Row],[Demand (units)]])&gt;0,tblRuns[[#This Row],[Good (units)]]/tblRuns[[#This Row],[Demand (units)]],""))</f>
        <v>1.0319696969697</v>
      </c>
      <c r="U7" s="40" t="str">
        <f>IF(NOT(ISNUMBER(tblRuns[[#This Row],[Demand coverage]])),"",IF(tblRuns[[#This Row],[Demand coverage]]&gt;=TargetCov,"On target",IF(tblRuns[[#This Row],[Demand coverage]]&gt;=TargetCov*(1-0.05),"Near target","Below target")))</f>
        <v>On target</v>
      </c>
      <c r="V7" s="41">
        <f>IF(tblRuns[[#This Row],[Date]]="","",IF(AND(tblRuns[[#This Row],[Date]]&gt;=FFrom,tblRuns[[#This Row],[Date]]&lt;=FTo,OR(DashLine="",tblRuns[[#This Row],[Line]]=DashLine)),tblRuns[[#This Row],[Date]],""))</f>
        <v>46279</v>
      </c>
      <c r="W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 s="43" t="s">
        <v>109</v>
      </c>
    </row>
    <row r="8" spans="1:24" x14ac:dyDescent="0.25">
      <c r="B8" s="37">
        <v>46279</v>
      </c>
      <c r="C8" s="28" t="s">
        <v>83</v>
      </c>
      <c r="D8" s="28" t="s">
        <v>80</v>
      </c>
      <c r="E8" s="34">
        <v>450</v>
      </c>
      <c r="F8" s="34">
        <v>40</v>
      </c>
      <c r="G8" s="34">
        <v>5764</v>
      </c>
      <c r="H8" s="34">
        <v>5623</v>
      </c>
      <c r="I8" s="38">
        <f>IF(tblRuns[[#This Row],[Date]]="","",IFERROR(INDEX(tblLines[Bottleneck cycle (s/unit)],MATCH(tblRuns[[#This Row],[Line]],tblLines[Line],0)),""))</f>
        <v>4</v>
      </c>
      <c r="J8" s="35">
        <f>IF(tblRuns[[#This Row],[Date]]="","",IFERROR(INDEX(tblLines[Demand per shift (units)],MATCH(tblRuns[[#This Row],[Line]],tblLines[Line],0)),""))</f>
        <v>5100</v>
      </c>
      <c r="K8" s="35">
        <f>IF(tblRuns[[#This Row],[Date]]="","",tblRuns[[#This Row],[Scheduled (min)]]-tblRuns[[#This Row],[Downtime (min)]])</f>
        <v>410</v>
      </c>
      <c r="L8" s="35">
        <f>IF(tblRuns[[#This Row],[Date]]="","",IF(ISNUMBER(tblRuns[[#This Row],[Cycle (s/unit)]]),tblRuns[[#This Row],[Scheduled (min)]]*60/tblRuns[[#This Row],[Cycle (s/unit)]],""))</f>
        <v>6750</v>
      </c>
      <c r="M8" s="35">
        <f>IF(tblRuns[[#This Row],[Date]]="","",IF(tblRuns[[#This Row],[Scheduled (min)]]&gt;0,tblRuns[[#This Row],[Good (units)]]/(tblRuns[[#This Row],[Scheduled (min)]]/60),""))</f>
        <v>749.733333333333</v>
      </c>
      <c r="N8" s="39">
        <f>IF(tblRuns[[#This Row],[Date]]="","",IF(tblRuns[[#This Row],[Scheduled (min)]]&gt;0,tblRuns[[#This Row],[Run (min)]]/tblRuns[[#This Row],[Scheduled (min)]],""))</f>
        <v>0.911111111111111</v>
      </c>
      <c r="O8" s="39">
        <f>IF(tblRuns[[#This Row],[Date]]="","",IF(tblRuns[[#This Row],[Total (units)]]&gt;0,tblRuns[[#This Row],[Good (units)]]/tblRuns[[#This Row],[Total (units)]],""))</f>
        <v>0.975537820957668</v>
      </c>
      <c r="P8" s="39">
        <f>IF(tblRuns[[#This Row],[Date]]="","",IF(N(tblRuns[[#This Row],[Theoretical (units)]])&gt;0,tblRuns[[#This Row],[Good (units)]]/tblRuns[[#This Row],[Theoretical (units)]],""))</f>
        <v>0.833037037037037</v>
      </c>
      <c r="Q8" s="35">
        <f>IF(tblRuns[[#This Row],[Date]]="","",IF(ISNUMBER(tblRuns[[#This Row],[Cycle (s/unit)]]),tblRuns[[#This Row],[Downtime (min)]]*60/tblRuns[[#This Row],[Cycle (s/unit)]],""))</f>
        <v>600</v>
      </c>
      <c r="R8" s="35">
        <f>IF(tblRuns[[#This Row],[Date]]="","",IF(ISNUMBER(tblRuns[[#This Row],[Cycle (s/unit)]]),tblRuns[[#This Row],[Run (min)]]*60/tblRuns[[#This Row],[Cycle (s/unit)]]-tblRuns[[#This Row],[Total (units)]],""))</f>
        <v>386</v>
      </c>
      <c r="S8" s="35">
        <f>IF(tblRuns[[#This Row],[Date]]="","",tblRuns[[#This Row],[Total (units)]]-tblRuns[[#This Row],[Good (units)]])</f>
        <v>141</v>
      </c>
      <c r="T8" s="39">
        <f>IF(tblRuns[[#This Row],[Date]]="","",IF(N(tblRuns[[#This Row],[Demand (units)]])&gt;0,tblRuns[[#This Row],[Good (units)]]/tblRuns[[#This Row],[Demand (units)]],""))</f>
        <v>1.10254901960784</v>
      </c>
      <c r="U8" s="40" t="str">
        <f>IF(NOT(ISNUMBER(tblRuns[[#This Row],[Demand coverage]])),"",IF(tblRuns[[#This Row],[Demand coverage]]&gt;=TargetCov,"On target",IF(tblRuns[[#This Row],[Demand coverage]]&gt;=TargetCov*(1-0.05),"Near target","Below target")))</f>
        <v>On target</v>
      </c>
      <c r="V8" s="41">
        <f>IF(tblRuns[[#This Row],[Date]]="","",IF(AND(tblRuns[[#This Row],[Date]]&gt;=FFrom,tblRuns[[#This Row],[Date]]&lt;=FTo,OR(DashLine="",tblRuns[[#This Row],[Line]]=DashLine)),tblRuns[[#This Row],[Date]],""))</f>
        <v>46279</v>
      </c>
      <c r="W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 s="43" t="s">
        <v>109</v>
      </c>
    </row>
    <row r="9" spans="1:24" x14ac:dyDescent="0.25">
      <c r="B9" s="37">
        <v>46279</v>
      </c>
      <c r="C9" s="28" t="s">
        <v>85</v>
      </c>
      <c r="D9" s="28" t="s">
        <v>76</v>
      </c>
      <c r="E9" s="34">
        <v>450</v>
      </c>
      <c r="F9" s="34">
        <v>55</v>
      </c>
      <c r="G9" s="34">
        <v>14115</v>
      </c>
      <c r="H9" s="34">
        <v>13919</v>
      </c>
      <c r="I9" s="38">
        <f>IF(tblRuns[[#This Row],[Date]]="","",IFERROR(INDEX(tblLines[Bottleneck cycle (s/unit)],MATCH(tblRuns[[#This Row],[Line]],tblLines[Line],0)),""))</f>
        <v>1.5</v>
      </c>
      <c r="J9" s="35">
        <f>IF(tblRuns[[#This Row],[Date]]="","",IFERROR(INDEX(tblLines[Demand per shift (units)],MATCH(tblRuns[[#This Row],[Line]],tblLines[Line],0)),""))</f>
        <v>14500</v>
      </c>
      <c r="K9" s="35">
        <f>IF(tblRuns[[#This Row],[Date]]="","",tblRuns[[#This Row],[Scheduled (min)]]-tblRuns[[#This Row],[Downtime (min)]])</f>
        <v>395</v>
      </c>
      <c r="L9" s="35">
        <f>IF(tblRuns[[#This Row],[Date]]="","",IF(ISNUMBER(tblRuns[[#This Row],[Cycle (s/unit)]]),tblRuns[[#This Row],[Scheduled (min)]]*60/tblRuns[[#This Row],[Cycle (s/unit)]],""))</f>
        <v>18000</v>
      </c>
      <c r="M9" s="35">
        <f>IF(tblRuns[[#This Row],[Date]]="","",IF(tblRuns[[#This Row],[Scheduled (min)]]&gt;0,tblRuns[[#This Row],[Good (units)]]/(tblRuns[[#This Row],[Scheduled (min)]]/60),""))</f>
        <v>1855.86666666667</v>
      </c>
      <c r="N9" s="39">
        <f>IF(tblRuns[[#This Row],[Date]]="","",IF(tblRuns[[#This Row],[Scheduled (min)]]&gt;0,tblRuns[[#This Row],[Run (min)]]/tblRuns[[#This Row],[Scheduled (min)]],""))</f>
        <v>0.877777777777778</v>
      </c>
      <c r="O9" s="39">
        <f>IF(tblRuns[[#This Row],[Date]]="","",IF(tblRuns[[#This Row],[Total (units)]]&gt;0,tblRuns[[#This Row],[Good (units)]]/tblRuns[[#This Row],[Total (units)]],""))</f>
        <v>0.986114063053489</v>
      </c>
      <c r="P9" s="39">
        <f>IF(tblRuns[[#This Row],[Date]]="","",IF(N(tblRuns[[#This Row],[Theoretical (units)]])&gt;0,tblRuns[[#This Row],[Good (units)]]/tblRuns[[#This Row],[Theoretical (units)]],""))</f>
        <v>0.773277777777778</v>
      </c>
      <c r="Q9" s="35">
        <f>IF(tblRuns[[#This Row],[Date]]="","",IF(ISNUMBER(tblRuns[[#This Row],[Cycle (s/unit)]]),tblRuns[[#This Row],[Downtime (min)]]*60/tblRuns[[#This Row],[Cycle (s/unit)]],""))</f>
        <v>2200</v>
      </c>
      <c r="R9" s="35">
        <f>IF(tblRuns[[#This Row],[Date]]="","",IF(ISNUMBER(tblRuns[[#This Row],[Cycle (s/unit)]]),tblRuns[[#This Row],[Run (min)]]*60/tblRuns[[#This Row],[Cycle (s/unit)]]-tblRuns[[#This Row],[Total (units)]],""))</f>
        <v>1685</v>
      </c>
      <c r="S9" s="35">
        <f>IF(tblRuns[[#This Row],[Date]]="","",tblRuns[[#This Row],[Total (units)]]-tblRuns[[#This Row],[Good (units)]])</f>
        <v>196</v>
      </c>
      <c r="T9" s="39">
        <f>IF(tblRuns[[#This Row],[Date]]="","",IF(N(tblRuns[[#This Row],[Demand (units)]])&gt;0,tblRuns[[#This Row],[Good (units)]]/tblRuns[[#This Row],[Demand (units)]],""))</f>
        <v>0.959931034482759</v>
      </c>
      <c r="U9" s="40" t="str">
        <f>IF(NOT(ISNUMBER(tblRuns[[#This Row],[Demand coverage]])),"",IF(tblRuns[[#This Row],[Demand coverage]]&gt;=TargetCov,"On target",IF(tblRuns[[#This Row],[Demand coverage]]&gt;=TargetCov*(1-0.05),"Near target","Below target")))</f>
        <v>Near target</v>
      </c>
      <c r="V9" s="41">
        <f>IF(tblRuns[[#This Row],[Date]]="","",IF(AND(tblRuns[[#This Row],[Date]]&gt;=FFrom,tblRuns[[#This Row],[Date]]&lt;=FTo,OR(DashLine="",tblRuns[[#This Row],[Line]]=DashLine)),tblRuns[[#This Row],[Date]],""))</f>
        <v>46279</v>
      </c>
      <c r="W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 s="43" t="s">
        <v>109</v>
      </c>
    </row>
    <row r="10" spans="1:24" x14ac:dyDescent="0.25">
      <c r="B10" s="37">
        <v>46279</v>
      </c>
      <c r="C10" s="28" t="s">
        <v>85</v>
      </c>
      <c r="D10" s="28" t="s">
        <v>78</v>
      </c>
      <c r="E10" s="34">
        <v>450</v>
      </c>
      <c r="F10" s="34">
        <v>70</v>
      </c>
      <c r="G10" s="34">
        <v>6914</v>
      </c>
      <c r="H10" s="34">
        <v>6857</v>
      </c>
      <c r="I10" s="38">
        <f>IF(tblRuns[[#This Row],[Date]]="","",IFERROR(INDEX(tblLines[Bottleneck cycle (s/unit)],MATCH(tblRuns[[#This Row],[Line]],tblLines[Line],0)),""))</f>
        <v>3</v>
      </c>
      <c r="J10" s="35">
        <f>IF(tblRuns[[#This Row],[Date]]="","",IFERROR(INDEX(tblLines[Demand per shift (units)],MATCH(tblRuns[[#This Row],[Line]],tblLines[Line],0)),""))</f>
        <v>6600</v>
      </c>
      <c r="K10" s="35">
        <f>IF(tblRuns[[#This Row],[Date]]="","",tblRuns[[#This Row],[Scheduled (min)]]-tblRuns[[#This Row],[Downtime (min)]])</f>
        <v>380</v>
      </c>
      <c r="L10" s="35">
        <f>IF(tblRuns[[#This Row],[Date]]="","",IF(ISNUMBER(tblRuns[[#This Row],[Cycle (s/unit)]]),tblRuns[[#This Row],[Scheduled (min)]]*60/tblRuns[[#This Row],[Cycle (s/unit)]],""))</f>
        <v>9000</v>
      </c>
      <c r="M10" s="35">
        <f>IF(tblRuns[[#This Row],[Date]]="","",IF(tblRuns[[#This Row],[Scheduled (min)]]&gt;0,tblRuns[[#This Row],[Good (units)]]/(tblRuns[[#This Row],[Scheduled (min)]]/60),""))</f>
        <v>914.266666666667</v>
      </c>
      <c r="N10" s="39">
        <f>IF(tblRuns[[#This Row],[Date]]="","",IF(tblRuns[[#This Row],[Scheduled (min)]]&gt;0,tblRuns[[#This Row],[Run (min)]]/tblRuns[[#This Row],[Scheduled (min)]],""))</f>
        <v>0.844444444444444</v>
      </c>
      <c r="O10" s="39">
        <f>IF(tblRuns[[#This Row],[Date]]="","",IF(tblRuns[[#This Row],[Total (units)]]&gt;0,tblRuns[[#This Row],[Good (units)]]/tblRuns[[#This Row],[Total (units)]],""))</f>
        <v>0.99175585768007</v>
      </c>
      <c r="P10" s="39">
        <f>IF(tblRuns[[#This Row],[Date]]="","",IF(N(tblRuns[[#This Row],[Theoretical (units)]])&gt;0,tblRuns[[#This Row],[Good (units)]]/tblRuns[[#This Row],[Theoretical (units)]],""))</f>
        <v>0.761888888888889</v>
      </c>
      <c r="Q10" s="35">
        <f>IF(tblRuns[[#This Row],[Date]]="","",IF(ISNUMBER(tblRuns[[#This Row],[Cycle (s/unit)]]),tblRuns[[#This Row],[Downtime (min)]]*60/tblRuns[[#This Row],[Cycle (s/unit)]],""))</f>
        <v>1400</v>
      </c>
      <c r="R10" s="35">
        <f>IF(tblRuns[[#This Row],[Date]]="","",IF(ISNUMBER(tblRuns[[#This Row],[Cycle (s/unit)]]),tblRuns[[#This Row],[Run (min)]]*60/tblRuns[[#This Row],[Cycle (s/unit)]]-tblRuns[[#This Row],[Total (units)]],""))</f>
        <v>686</v>
      </c>
      <c r="S10" s="35">
        <f>IF(tblRuns[[#This Row],[Date]]="","",tblRuns[[#This Row],[Total (units)]]-tblRuns[[#This Row],[Good (units)]])</f>
        <v>57</v>
      </c>
      <c r="T10" s="39">
        <f>IF(tblRuns[[#This Row],[Date]]="","",IF(N(tblRuns[[#This Row],[Demand (units)]])&gt;0,tblRuns[[#This Row],[Good (units)]]/tblRuns[[#This Row],[Demand (units)]],""))</f>
        <v>1.03893939393939</v>
      </c>
      <c r="U10" s="40" t="str">
        <f>IF(NOT(ISNUMBER(tblRuns[[#This Row],[Demand coverage]])),"",IF(tblRuns[[#This Row],[Demand coverage]]&gt;=TargetCov,"On target",IF(tblRuns[[#This Row],[Demand coverage]]&gt;=TargetCov*(1-0.05),"Near target","Below target")))</f>
        <v>On target</v>
      </c>
      <c r="V10" s="41">
        <f>IF(tblRuns[[#This Row],[Date]]="","",IF(AND(tblRuns[[#This Row],[Date]]&gt;=FFrom,tblRuns[[#This Row],[Date]]&lt;=FTo,OR(DashLine="",tblRuns[[#This Row],[Line]]=DashLine)),tblRuns[[#This Row],[Date]],""))</f>
        <v>46279</v>
      </c>
      <c r="W1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0" s="43" t="s">
        <v>109</v>
      </c>
    </row>
    <row r="11" spans="1:24" x14ac:dyDescent="0.25">
      <c r="B11" s="37">
        <v>46279</v>
      </c>
      <c r="C11" s="28" t="s">
        <v>85</v>
      </c>
      <c r="D11" s="28" t="s">
        <v>80</v>
      </c>
      <c r="E11" s="34">
        <v>450</v>
      </c>
      <c r="F11" s="34">
        <v>30</v>
      </c>
      <c r="G11" s="34">
        <v>5890</v>
      </c>
      <c r="H11" s="34">
        <v>5695</v>
      </c>
      <c r="I11" s="38">
        <f>IF(tblRuns[[#This Row],[Date]]="","",IFERROR(INDEX(tblLines[Bottleneck cycle (s/unit)],MATCH(tblRuns[[#This Row],[Line]],tblLines[Line],0)),""))</f>
        <v>4</v>
      </c>
      <c r="J11" s="35">
        <f>IF(tblRuns[[#This Row],[Date]]="","",IFERROR(INDEX(tblLines[Demand per shift (units)],MATCH(tblRuns[[#This Row],[Line]],tblLines[Line],0)),""))</f>
        <v>5100</v>
      </c>
      <c r="K11" s="35">
        <f>IF(tblRuns[[#This Row],[Date]]="","",tblRuns[[#This Row],[Scheduled (min)]]-tblRuns[[#This Row],[Downtime (min)]])</f>
        <v>420</v>
      </c>
      <c r="L11" s="35">
        <f>IF(tblRuns[[#This Row],[Date]]="","",IF(ISNUMBER(tblRuns[[#This Row],[Cycle (s/unit)]]),tblRuns[[#This Row],[Scheduled (min)]]*60/tblRuns[[#This Row],[Cycle (s/unit)]],""))</f>
        <v>6750</v>
      </c>
      <c r="M11" s="35">
        <f>IF(tblRuns[[#This Row],[Date]]="","",IF(tblRuns[[#This Row],[Scheduled (min)]]&gt;0,tblRuns[[#This Row],[Good (units)]]/(tblRuns[[#This Row],[Scheduled (min)]]/60),""))</f>
        <v>759.333333333333</v>
      </c>
      <c r="N11" s="39">
        <f>IF(tblRuns[[#This Row],[Date]]="","",IF(tblRuns[[#This Row],[Scheduled (min)]]&gt;0,tblRuns[[#This Row],[Run (min)]]/tblRuns[[#This Row],[Scheduled (min)]],""))</f>
        <v>0.933333333333333</v>
      </c>
      <c r="O11" s="39">
        <f>IF(tblRuns[[#This Row],[Date]]="","",IF(tblRuns[[#This Row],[Total (units)]]&gt;0,tblRuns[[#This Row],[Good (units)]]/tblRuns[[#This Row],[Total (units)]],""))</f>
        <v>0.966893039049236</v>
      </c>
      <c r="P11" s="39">
        <f>IF(tblRuns[[#This Row],[Date]]="","",IF(N(tblRuns[[#This Row],[Theoretical (units)]])&gt;0,tblRuns[[#This Row],[Good (units)]]/tblRuns[[#This Row],[Theoretical (units)]],""))</f>
        <v>0.843703703703704</v>
      </c>
      <c r="Q11" s="35">
        <f>IF(tblRuns[[#This Row],[Date]]="","",IF(ISNUMBER(tblRuns[[#This Row],[Cycle (s/unit)]]),tblRuns[[#This Row],[Downtime (min)]]*60/tblRuns[[#This Row],[Cycle (s/unit)]],""))</f>
        <v>450</v>
      </c>
      <c r="R11" s="35">
        <f>IF(tblRuns[[#This Row],[Date]]="","",IF(ISNUMBER(tblRuns[[#This Row],[Cycle (s/unit)]]),tblRuns[[#This Row],[Run (min)]]*60/tblRuns[[#This Row],[Cycle (s/unit)]]-tblRuns[[#This Row],[Total (units)]],""))</f>
        <v>410</v>
      </c>
      <c r="S11" s="35">
        <f>IF(tblRuns[[#This Row],[Date]]="","",tblRuns[[#This Row],[Total (units)]]-tblRuns[[#This Row],[Good (units)]])</f>
        <v>195</v>
      </c>
      <c r="T11" s="39">
        <f>IF(tblRuns[[#This Row],[Date]]="","",IF(N(tblRuns[[#This Row],[Demand (units)]])&gt;0,tblRuns[[#This Row],[Good (units)]]/tblRuns[[#This Row],[Demand (units)]],""))</f>
        <v>1.11666666666667</v>
      </c>
      <c r="U11" s="40" t="str">
        <f>IF(NOT(ISNUMBER(tblRuns[[#This Row],[Demand coverage]])),"",IF(tblRuns[[#This Row],[Demand coverage]]&gt;=TargetCov,"On target",IF(tblRuns[[#This Row],[Demand coverage]]&gt;=TargetCov*(1-0.05),"Near target","Below target")))</f>
        <v>On target</v>
      </c>
      <c r="V11" s="41">
        <f>IF(tblRuns[[#This Row],[Date]]="","",IF(AND(tblRuns[[#This Row],[Date]]&gt;=FFrom,tblRuns[[#This Row],[Date]]&lt;=FTo,OR(DashLine="",tblRuns[[#This Row],[Line]]=DashLine)),tblRuns[[#This Row],[Date]],""))</f>
        <v>46279</v>
      </c>
      <c r="W1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1" s="43" t="s">
        <v>109</v>
      </c>
    </row>
    <row r="12" spans="1:24" x14ac:dyDescent="0.25">
      <c r="B12" s="37">
        <v>46280</v>
      </c>
      <c r="C12" s="28" t="s">
        <v>83</v>
      </c>
      <c r="D12" s="28" t="s">
        <v>76</v>
      </c>
      <c r="E12" s="34">
        <v>450</v>
      </c>
      <c r="F12" s="34">
        <v>50</v>
      </c>
      <c r="G12" s="34">
        <v>14609</v>
      </c>
      <c r="H12" s="34">
        <v>14354</v>
      </c>
      <c r="I12" s="38">
        <f>IF(tblRuns[[#This Row],[Date]]="","",IFERROR(INDEX(tblLines[Bottleneck cycle (s/unit)],MATCH(tblRuns[[#This Row],[Line]],tblLines[Line],0)),""))</f>
        <v>1.5</v>
      </c>
      <c r="J12" s="35">
        <f>IF(tblRuns[[#This Row],[Date]]="","",IFERROR(INDEX(tblLines[Demand per shift (units)],MATCH(tblRuns[[#This Row],[Line]],tblLines[Line],0)),""))</f>
        <v>14500</v>
      </c>
      <c r="K12" s="35">
        <f>IF(tblRuns[[#This Row],[Date]]="","",tblRuns[[#This Row],[Scheduled (min)]]-tblRuns[[#This Row],[Downtime (min)]])</f>
        <v>400</v>
      </c>
      <c r="L12" s="35">
        <f>IF(tblRuns[[#This Row],[Date]]="","",IF(ISNUMBER(tblRuns[[#This Row],[Cycle (s/unit)]]),tblRuns[[#This Row],[Scheduled (min)]]*60/tblRuns[[#This Row],[Cycle (s/unit)]],""))</f>
        <v>18000</v>
      </c>
      <c r="M12" s="35">
        <f>IF(tblRuns[[#This Row],[Date]]="","",IF(tblRuns[[#This Row],[Scheduled (min)]]&gt;0,tblRuns[[#This Row],[Good (units)]]/(tblRuns[[#This Row],[Scheduled (min)]]/60),""))</f>
        <v>1913.86666666667</v>
      </c>
      <c r="N12" s="39">
        <f>IF(tblRuns[[#This Row],[Date]]="","",IF(tblRuns[[#This Row],[Scheduled (min)]]&gt;0,tblRuns[[#This Row],[Run (min)]]/tblRuns[[#This Row],[Scheduled (min)]],""))</f>
        <v>0.888888888888889</v>
      </c>
      <c r="O12" s="39">
        <f>IF(tblRuns[[#This Row],[Date]]="","",IF(tblRuns[[#This Row],[Total (units)]]&gt;0,tblRuns[[#This Row],[Good (units)]]/tblRuns[[#This Row],[Total (units)]],""))</f>
        <v>0.982545006502841</v>
      </c>
      <c r="P12" s="39">
        <f>IF(tblRuns[[#This Row],[Date]]="","",IF(N(tblRuns[[#This Row],[Theoretical (units)]])&gt;0,tblRuns[[#This Row],[Good (units)]]/tblRuns[[#This Row],[Theoretical (units)]],""))</f>
        <v>0.797444444444444</v>
      </c>
      <c r="Q12" s="35">
        <f>IF(tblRuns[[#This Row],[Date]]="","",IF(ISNUMBER(tblRuns[[#This Row],[Cycle (s/unit)]]),tblRuns[[#This Row],[Downtime (min)]]*60/tblRuns[[#This Row],[Cycle (s/unit)]],""))</f>
        <v>2000</v>
      </c>
      <c r="R12" s="35">
        <f>IF(tblRuns[[#This Row],[Date]]="","",IF(ISNUMBER(tblRuns[[#This Row],[Cycle (s/unit)]]),tblRuns[[#This Row],[Run (min)]]*60/tblRuns[[#This Row],[Cycle (s/unit)]]-tblRuns[[#This Row],[Total (units)]],""))</f>
        <v>1391</v>
      </c>
      <c r="S12" s="35">
        <f>IF(tblRuns[[#This Row],[Date]]="","",tblRuns[[#This Row],[Total (units)]]-tblRuns[[#This Row],[Good (units)]])</f>
        <v>255</v>
      </c>
      <c r="T12" s="39">
        <f>IF(tblRuns[[#This Row],[Date]]="","",IF(N(tblRuns[[#This Row],[Demand (units)]])&gt;0,tblRuns[[#This Row],[Good (units)]]/tblRuns[[#This Row],[Demand (units)]],""))</f>
        <v>0.989931034482759</v>
      </c>
      <c r="U12" s="40" t="str">
        <f>IF(NOT(ISNUMBER(tblRuns[[#This Row],[Demand coverage]])),"",IF(tblRuns[[#This Row],[Demand coverage]]&gt;=TargetCov,"On target",IF(tblRuns[[#This Row],[Demand coverage]]&gt;=TargetCov*(1-0.05),"Near target","Below target")))</f>
        <v>Near target</v>
      </c>
      <c r="V12" s="41">
        <f>IF(tblRuns[[#This Row],[Date]]="","",IF(AND(tblRuns[[#This Row],[Date]]&gt;=FFrom,tblRuns[[#This Row],[Date]]&lt;=FTo,OR(DashLine="",tblRuns[[#This Row],[Line]]=DashLine)),tblRuns[[#This Row],[Date]],""))</f>
        <v>46280</v>
      </c>
      <c r="W1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2" s="43" t="s">
        <v>109</v>
      </c>
    </row>
    <row r="13" spans="1:24" x14ac:dyDescent="0.25">
      <c r="B13" s="37">
        <v>46280</v>
      </c>
      <c r="C13" s="28" t="s">
        <v>83</v>
      </c>
      <c r="D13" s="28" t="s">
        <v>78</v>
      </c>
      <c r="E13" s="34">
        <v>450</v>
      </c>
      <c r="F13" s="34">
        <v>65</v>
      </c>
      <c r="G13" s="34">
        <v>7144</v>
      </c>
      <c r="H13" s="34">
        <v>7117</v>
      </c>
      <c r="I13" s="38">
        <f>IF(tblRuns[[#This Row],[Date]]="","",IFERROR(INDEX(tblLines[Bottleneck cycle (s/unit)],MATCH(tblRuns[[#This Row],[Line]],tblLines[Line],0)),""))</f>
        <v>3</v>
      </c>
      <c r="J13" s="35">
        <f>IF(tblRuns[[#This Row],[Date]]="","",IFERROR(INDEX(tblLines[Demand per shift (units)],MATCH(tblRuns[[#This Row],[Line]],tblLines[Line],0)),""))</f>
        <v>6600</v>
      </c>
      <c r="K13" s="35">
        <f>IF(tblRuns[[#This Row],[Date]]="","",tblRuns[[#This Row],[Scheduled (min)]]-tblRuns[[#This Row],[Downtime (min)]])</f>
        <v>385</v>
      </c>
      <c r="L13" s="35">
        <f>IF(tblRuns[[#This Row],[Date]]="","",IF(ISNUMBER(tblRuns[[#This Row],[Cycle (s/unit)]]),tblRuns[[#This Row],[Scheduled (min)]]*60/tblRuns[[#This Row],[Cycle (s/unit)]],""))</f>
        <v>9000</v>
      </c>
      <c r="M13" s="35">
        <f>IF(tblRuns[[#This Row],[Date]]="","",IF(tblRuns[[#This Row],[Scheduled (min)]]&gt;0,tblRuns[[#This Row],[Good (units)]]/(tblRuns[[#This Row],[Scheduled (min)]]/60),""))</f>
        <v>948.933333333333</v>
      </c>
      <c r="N13" s="39">
        <f>IF(tblRuns[[#This Row],[Date]]="","",IF(tblRuns[[#This Row],[Scheduled (min)]]&gt;0,tblRuns[[#This Row],[Run (min)]]/tblRuns[[#This Row],[Scheduled (min)]],""))</f>
        <v>0.855555555555556</v>
      </c>
      <c r="O13" s="39">
        <f>IF(tblRuns[[#This Row],[Date]]="","",IF(tblRuns[[#This Row],[Total (units)]]&gt;0,tblRuns[[#This Row],[Good (units)]]/tblRuns[[#This Row],[Total (units)]],""))</f>
        <v>0.996220604703248</v>
      </c>
      <c r="P13" s="39">
        <f>IF(tblRuns[[#This Row],[Date]]="","",IF(N(tblRuns[[#This Row],[Theoretical (units)]])&gt;0,tblRuns[[#This Row],[Good (units)]]/tblRuns[[#This Row],[Theoretical (units)]],""))</f>
        <v>0.790777777777778</v>
      </c>
      <c r="Q13" s="35">
        <f>IF(tblRuns[[#This Row],[Date]]="","",IF(ISNUMBER(tblRuns[[#This Row],[Cycle (s/unit)]]),tblRuns[[#This Row],[Downtime (min)]]*60/tblRuns[[#This Row],[Cycle (s/unit)]],""))</f>
        <v>1300</v>
      </c>
      <c r="R13" s="35">
        <f>IF(tblRuns[[#This Row],[Date]]="","",IF(ISNUMBER(tblRuns[[#This Row],[Cycle (s/unit)]]),tblRuns[[#This Row],[Run (min)]]*60/tblRuns[[#This Row],[Cycle (s/unit)]]-tblRuns[[#This Row],[Total (units)]],""))</f>
        <v>556</v>
      </c>
      <c r="S13" s="35">
        <f>IF(tblRuns[[#This Row],[Date]]="","",tblRuns[[#This Row],[Total (units)]]-tblRuns[[#This Row],[Good (units)]])</f>
        <v>27</v>
      </c>
      <c r="T13" s="39">
        <f>IF(tblRuns[[#This Row],[Date]]="","",IF(N(tblRuns[[#This Row],[Demand (units)]])&gt;0,tblRuns[[#This Row],[Good (units)]]/tblRuns[[#This Row],[Demand (units)]],""))</f>
        <v>1.07833333333333</v>
      </c>
      <c r="U13" s="40" t="str">
        <f>IF(NOT(ISNUMBER(tblRuns[[#This Row],[Demand coverage]])),"",IF(tblRuns[[#This Row],[Demand coverage]]&gt;=TargetCov,"On target",IF(tblRuns[[#This Row],[Demand coverage]]&gt;=TargetCov*(1-0.05),"Near target","Below target")))</f>
        <v>On target</v>
      </c>
      <c r="V13" s="41">
        <f>IF(tblRuns[[#This Row],[Date]]="","",IF(AND(tblRuns[[#This Row],[Date]]&gt;=FFrom,tblRuns[[#This Row],[Date]]&lt;=FTo,OR(DashLine="",tblRuns[[#This Row],[Line]]=DashLine)),tblRuns[[#This Row],[Date]],""))</f>
        <v>46280</v>
      </c>
      <c r="W1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3" s="43" t="s">
        <v>109</v>
      </c>
    </row>
    <row r="14" spans="1:24" x14ac:dyDescent="0.25">
      <c r="B14" s="37">
        <v>46280</v>
      </c>
      <c r="C14" s="28" t="s">
        <v>83</v>
      </c>
      <c r="D14" s="28" t="s">
        <v>80</v>
      </c>
      <c r="E14" s="34">
        <v>450</v>
      </c>
      <c r="F14" s="34">
        <v>20</v>
      </c>
      <c r="G14" s="34">
        <v>5822</v>
      </c>
      <c r="H14" s="34">
        <v>5682</v>
      </c>
      <c r="I14" s="38">
        <f>IF(tblRuns[[#This Row],[Date]]="","",IFERROR(INDEX(tblLines[Bottleneck cycle (s/unit)],MATCH(tblRuns[[#This Row],[Line]],tblLines[Line],0)),""))</f>
        <v>4</v>
      </c>
      <c r="J14" s="35">
        <f>IF(tblRuns[[#This Row],[Date]]="","",IFERROR(INDEX(tblLines[Demand per shift (units)],MATCH(tblRuns[[#This Row],[Line]],tblLines[Line],0)),""))</f>
        <v>5100</v>
      </c>
      <c r="K14" s="35">
        <f>IF(tblRuns[[#This Row],[Date]]="","",tblRuns[[#This Row],[Scheduled (min)]]-tblRuns[[#This Row],[Downtime (min)]])</f>
        <v>430</v>
      </c>
      <c r="L14" s="35">
        <f>IF(tblRuns[[#This Row],[Date]]="","",IF(ISNUMBER(tblRuns[[#This Row],[Cycle (s/unit)]]),tblRuns[[#This Row],[Scheduled (min)]]*60/tblRuns[[#This Row],[Cycle (s/unit)]],""))</f>
        <v>6750</v>
      </c>
      <c r="M14" s="35">
        <f>IF(tblRuns[[#This Row],[Date]]="","",IF(tblRuns[[#This Row],[Scheduled (min)]]&gt;0,tblRuns[[#This Row],[Good (units)]]/(tblRuns[[#This Row],[Scheduled (min)]]/60),""))</f>
        <v>757.6</v>
      </c>
      <c r="N14" s="39">
        <f>IF(tblRuns[[#This Row],[Date]]="","",IF(tblRuns[[#This Row],[Scheduled (min)]]&gt;0,tblRuns[[#This Row],[Run (min)]]/tblRuns[[#This Row],[Scheduled (min)]],""))</f>
        <v>0.955555555555556</v>
      </c>
      <c r="O14" s="39">
        <f>IF(tblRuns[[#This Row],[Date]]="","",IF(tblRuns[[#This Row],[Total (units)]]&gt;0,tblRuns[[#This Row],[Good (units)]]/tblRuns[[#This Row],[Total (units)]],""))</f>
        <v>0.975953280659567</v>
      </c>
      <c r="P14" s="39">
        <f>IF(tblRuns[[#This Row],[Date]]="","",IF(N(tblRuns[[#This Row],[Theoretical (units)]])&gt;0,tblRuns[[#This Row],[Good (units)]]/tblRuns[[#This Row],[Theoretical (units)]],""))</f>
        <v>0.841777777777778</v>
      </c>
      <c r="Q14" s="35">
        <f>IF(tblRuns[[#This Row],[Date]]="","",IF(ISNUMBER(tblRuns[[#This Row],[Cycle (s/unit)]]),tblRuns[[#This Row],[Downtime (min)]]*60/tblRuns[[#This Row],[Cycle (s/unit)]],""))</f>
        <v>300</v>
      </c>
      <c r="R14" s="35">
        <f>IF(tblRuns[[#This Row],[Date]]="","",IF(ISNUMBER(tblRuns[[#This Row],[Cycle (s/unit)]]),tblRuns[[#This Row],[Run (min)]]*60/tblRuns[[#This Row],[Cycle (s/unit)]]-tblRuns[[#This Row],[Total (units)]],""))</f>
        <v>628</v>
      </c>
      <c r="S14" s="35">
        <f>IF(tblRuns[[#This Row],[Date]]="","",tblRuns[[#This Row],[Total (units)]]-tblRuns[[#This Row],[Good (units)]])</f>
        <v>140</v>
      </c>
      <c r="T14" s="39">
        <f>IF(tblRuns[[#This Row],[Date]]="","",IF(N(tblRuns[[#This Row],[Demand (units)]])&gt;0,tblRuns[[#This Row],[Good (units)]]/tblRuns[[#This Row],[Demand (units)]],""))</f>
        <v>1.11411764705882</v>
      </c>
      <c r="U14" s="40" t="str">
        <f>IF(NOT(ISNUMBER(tblRuns[[#This Row],[Demand coverage]])),"",IF(tblRuns[[#This Row],[Demand coverage]]&gt;=TargetCov,"On target",IF(tblRuns[[#This Row],[Demand coverage]]&gt;=TargetCov*(1-0.05),"Near target","Below target")))</f>
        <v>On target</v>
      </c>
      <c r="V14" s="41">
        <f>IF(tblRuns[[#This Row],[Date]]="","",IF(AND(tblRuns[[#This Row],[Date]]&gt;=FFrom,tblRuns[[#This Row],[Date]]&lt;=FTo,OR(DashLine="",tblRuns[[#This Row],[Line]]=DashLine)),tblRuns[[#This Row],[Date]],""))</f>
        <v>46280</v>
      </c>
      <c r="W1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4" s="43" t="s">
        <v>109</v>
      </c>
    </row>
    <row r="15" spans="1:24" x14ac:dyDescent="0.25">
      <c r="B15" s="37">
        <v>46280</v>
      </c>
      <c r="C15" s="28" t="s">
        <v>85</v>
      </c>
      <c r="D15" s="28" t="s">
        <v>76</v>
      </c>
      <c r="E15" s="34">
        <v>450</v>
      </c>
      <c r="F15" s="34">
        <v>20</v>
      </c>
      <c r="G15" s="34">
        <v>16226</v>
      </c>
      <c r="H15" s="34">
        <v>16061</v>
      </c>
      <c r="I15" s="38">
        <f>IF(tblRuns[[#This Row],[Date]]="","",IFERROR(INDEX(tblLines[Bottleneck cycle (s/unit)],MATCH(tblRuns[[#This Row],[Line]],tblLines[Line],0)),""))</f>
        <v>1.5</v>
      </c>
      <c r="J15" s="35">
        <f>IF(tblRuns[[#This Row],[Date]]="","",IFERROR(INDEX(tblLines[Demand per shift (units)],MATCH(tblRuns[[#This Row],[Line]],tblLines[Line],0)),""))</f>
        <v>14500</v>
      </c>
      <c r="K15" s="35">
        <f>IF(tblRuns[[#This Row],[Date]]="","",tblRuns[[#This Row],[Scheduled (min)]]-tblRuns[[#This Row],[Downtime (min)]])</f>
        <v>430</v>
      </c>
      <c r="L15" s="35">
        <f>IF(tblRuns[[#This Row],[Date]]="","",IF(ISNUMBER(tblRuns[[#This Row],[Cycle (s/unit)]]),tblRuns[[#This Row],[Scheduled (min)]]*60/tblRuns[[#This Row],[Cycle (s/unit)]],""))</f>
        <v>18000</v>
      </c>
      <c r="M15" s="35">
        <f>IF(tblRuns[[#This Row],[Date]]="","",IF(tblRuns[[#This Row],[Scheduled (min)]]&gt;0,tblRuns[[#This Row],[Good (units)]]/(tblRuns[[#This Row],[Scheduled (min)]]/60),""))</f>
        <v>2141.46666666667</v>
      </c>
      <c r="N15" s="39">
        <f>IF(tblRuns[[#This Row],[Date]]="","",IF(tblRuns[[#This Row],[Scheduled (min)]]&gt;0,tblRuns[[#This Row],[Run (min)]]/tblRuns[[#This Row],[Scheduled (min)]],""))</f>
        <v>0.955555555555556</v>
      </c>
      <c r="O15" s="39">
        <f>IF(tblRuns[[#This Row],[Date]]="","",IF(tblRuns[[#This Row],[Total (units)]]&gt;0,tblRuns[[#This Row],[Good (units)]]/tblRuns[[#This Row],[Total (units)]],""))</f>
        <v>0.989831135215087</v>
      </c>
      <c r="P15" s="39">
        <f>IF(tblRuns[[#This Row],[Date]]="","",IF(N(tblRuns[[#This Row],[Theoretical (units)]])&gt;0,tblRuns[[#This Row],[Good (units)]]/tblRuns[[#This Row],[Theoretical (units)]],""))</f>
        <v>0.892277777777778</v>
      </c>
      <c r="Q15" s="35">
        <f>IF(tblRuns[[#This Row],[Date]]="","",IF(ISNUMBER(tblRuns[[#This Row],[Cycle (s/unit)]]),tblRuns[[#This Row],[Downtime (min)]]*60/tblRuns[[#This Row],[Cycle (s/unit)]],""))</f>
        <v>800</v>
      </c>
      <c r="R15" s="35">
        <f>IF(tblRuns[[#This Row],[Date]]="","",IF(ISNUMBER(tblRuns[[#This Row],[Cycle (s/unit)]]),tblRuns[[#This Row],[Run (min)]]*60/tblRuns[[#This Row],[Cycle (s/unit)]]-tblRuns[[#This Row],[Total (units)]],""))</f>
        <v>974</v>
      </c>
      <c r="S15" s="35">
        <f>IF(tblRuns[[#This Row],[Date]]="","",tblRuns[[#This Row],[Total (units)]]-tblRuns[[#This Row],[Good (units)]])</f>
        <v>165</v>
      </c>
      <c r="T15" s="39">
        <f>IF(tblRuns[[#This Row],[Date]]="","",IF(N(tblRuns[[#This Row],[Demand (units)]])&gt;0,tblRuns[[#This Row],[Good (units)]]/tblRuns[[#This Row],[Demand (units)]],""))</f>
        <v>1.10765517241379</v>
      </c>
      <c r="U15" s="40" t="str">
        <f>IF(NOT(ISNUMBER(tblRuns[[#This Row],[Demand coverage]])),"",IF(tblRuns[[#This Row],[Demand coverage]]&gt;=TargetCov,"On target",IF(tblRuns[[#This Row],[Demand coverage]]&gt;=TargetCov*(1-0.05),"Near target","Below target")))</f>
        <v>On target</v>
      </c>
      <c r="V15" s="41">
        <f>IF(tblRuns[[#This Row],[Date]]="","",IF(AND(tblRuns[[#This Row],[Date]]&gt;=FFrom,tblRuns[[#This Row],[Date]]&lt;=FTo,OR(DashLine="",tblRuns[[#This Row],[Line]]=DashLine)),tblRuns[[#This Row],[Date]],""))</f>
        <v>46280</v>
      </c>
      <c r="W1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5" s="43" t="s">
        <v>109</v>
      </c>
    </row>
    <row r="16" spans="1:24" x14ac:dyDescent="0.25">
      <c r="B16" s="37">
        <v>46280</v>
      </c>
      <c r="C16" s="28" t="s">
        <v>85</v>
      </c>
      <c r="D16" s="28" t="s">
        <v>78</v>
      </c>
      <c r="E16" s="34">
        <v>450</v>
      </c>
      <c r="F16" s="34">
        <v>135</v>
      </c>
      <c r="G16" s="34">
        <v>5813</v>
      </c>
      <c r="H16" s="34">
        <v>5796</v>
      </c>
      <c r="I16" s="38">
        <f>IF(tblRuns[[#This Row],[Date]]="","",IFERROR(INDEX(tblLines[Bottleneck cycle (s/unit)],MATCH(tblRuns[[#This Row],[Line]],tblLines[Line],0)),""))</f>
        <v>3</v>
      </c>
      <c r="J16" s="35">
        <f>IF(tblRuns[[#This Row],[Date]]="","",IFERROR(INDEX(tblLines[Demand per shift (units)],MATCH(tblRuns[[#This Row],[Line]],tblLines[Line],0)),""))</f>
        <v>6600</v>
      </c>
      <c r="K16" s="35">
        <f>IF(tblRuns[[#This Row],[Date]]="","",tblRuns[[#This Row],[Scheduled (min)]]-tblRuns[[#This Row],[Downtime (min)]])</f>
        <v>315</v>
      </c>
      <c r="L16" s="35">
        <f>IF(tblRuns[[#This Row],[Date]]="","",IF(ISNUMBER(tblRuns[[#This Row],[Cycle (s/unit)]]),tblRuns[[#This Row],[Scheduled (min)]]*60/tblRuns[[#This Row],[Cycle (s/unit)]],""))</f>
        <v>9000</v>
      </c>
      <c r="M16" s="35">
        <f>IF(tblRuns[[#This Row],[Date]]="","",IF(tblRuns[[#This Row],[Scheduled (min)]]&gt;0,tblRuns[[#This Row],[Good (units)]]/(tblRuns[[#This Row],[Scheduled (min)]]/60),""))</f>
        <v>772.8</v>
      </c>
      <c r="N16" s="39">
        <f>IF(tblRuns[[#This Row],[Date]]="","",IF(tblRuns[[#This Row],[Scheduled (min)]]&gt;0,tblRuns[[#This Row],[Run (min)]]/tblRuns[[#This Row],[Scheduled (min)]],""))</f>
        <v>0.7</v>
      </c>
      <c r="O16" s="39">
        <f>IF(tblRuns[[#This Row],[Date]]="","",IF(tblRuns[[#This Row],[Total (units)]]&gt;0,tblRuns[[#This Row],[Good (units)]]/tblRuns[[#This Row],[Total (units)]],""))</f>
        <v>0.997075520385343</v>
      </c>
      <c r="P16" s="39">
        <f>IF(tblRuns[[#This Row],[Date]]="","",IF(N(tblRuns[[#This Row],[Theoretical (units)]])&gt;0,tblRuns[[#This Row],[Good (units)]]/tblRuns[[#This Row],[Theoretical (units)]],""))</f>
        <v>0.644</v>
      </c>
      <c r="Q16" s="35">
        <f>IF(tblRuns[[#This Row],[Date]]="","",IF(ISNUMBER(tblRuns[[#This Row],[Cycle (s/unit)]]),tblRuns[[#This Row],[Downtime (min)]]*60/tblRuns[[#This Row],[Cycle (s/unit)]],""))</f>
        <v>2700</v>
      </c>
      <c r="R16" s="35">
        <f>IF(tblRuns[[#This Row],[Date]]="","",IF(ISNUMBER(tblRuns[[#This Row],[Cycle (s/unit)]]),tblRuns[[#This Row],[Run (min)]]*60/tblRuns[[#This Row],[Cycle (s/unit)]]-tblRuns[[#This Row],[Total (units)]],""))</f>
        <v>487</v>
      </c>
      <c r="S16" s="35">
        <f>IF(tblRuns[[#This Row],[Date]]="","",tblRuns[[#This Row],[Total (units)]]-tblRuns[[#This Row],[Good (units)]])</f>
        <v>17</v>
      </c>
      <c r="T16" s="39">
        <f>IF(tblRuns[[#This Row],[Date]]="","",IF(N(tblRuns[[#This Row],[Demand (units)]])&gt;0,tblRuns[[#This Row],[Good (units)]]/tblRuns[[#This Row],[Demand (units)]],""))</f>
        <v>0.878181818181818</v>
      </c>
      <c r="U16" s="40" t="str">
        <f>IF(NOT(ISNUMBER(tblRuns[[#This Row],[Demand coverage]])),"",IF(tblRuns[[#This Row],[Demand coverage]]&gt;=TargetCov,"On target",IF(tblRuns[[#This Row],[Demand coverage]]&gt;=TargetCov*(1-0.05),"Near target","Below target")))</f>
        <v>Below target</v>
      </c>
      <c r="V16" s="41">
        <f>IF(tblRuns[[#This Row],[Date]]="","",IF(AND(tblRuns[[#This Row],[Date]]&gt;=FFrom,tblRuns[[#This Row],[Date]]&lt;=FTo,OR(DashLine="",tblRuns[[#This Row],[Line]]=DashLine)),tblRuns[[#This Row],[Date]],""))</f>
        <v>46280</v>
      </c>
      <c r="W1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6" s="43" t="s">
        <v>109</v>
      </c>
    </row>
    <row r="17" spans="2:24" x14ac:dyDescent="0.25">
      <c r="B17" s="37">
        <v>46280</v>
      </c>
      <c r="C17" s="28" t="s">
        <v>85</v>
      </c>
      <c r="D17" s="28" t="s">
        <v>80</v>
      </c>
      <c r="E17" s="34">
        <v>450</v>
      </c>
      <c r="F17" s="34">
        <v>50</v>
      </c>
      <c r="G17" s="34">
        <v>5332</v>
      </c>
      <c r="H17" s="34">
        <v>5223</v>
      </c>
      <c r="I17" s="38">
        <f>IF(tblRuns[[#This Row],[Date]]="","",IFERROR(INDEX(tblLines[Bottleneck cycle (s/unit)],MATCH(tblRuns[[#This Row],[Line]],tblLines[Line],0)),""))</f>
        <v>4</v>
      </c>
      <c r="J17" s="35">
        <f>IF(tblRuns[[#This Row],[Date]]="","",IFERROR(INDEX(tblLines[Demand per shift (units)],MATCH(tblRuns[[#This Row],[Line]],tblLines[Line],0)),""))</f>
        <v>5100</v>
      </c>
      <c r="K17" s="35">
        <f>IF(tblRuns[[#This Row],[Date]]="","",tblRuns[[#This Row],[Scheduled (min)]]-tblRuns[[#This Row],[Downtime (min)]])</f>
        <v>400</v>
      </c>
      <c r="L17" s="35">
        <f>IF(tblRuns[[#This Row],[Date]]="","",IF(ISNUMBER(tblRuns[[#This Row],[Cycle (s/unit)]]),tblRuns[[#This Row],[Scheduled (min)]]*60/tblRuns[[#This Row],[Cycle (s/unit)]],""))</f>
        <v>6750</v>
      </c>
      <c r="M17" s="35">
        <f>IF(tblRuns[[#This Row],[Date]]="","",IF(tblRuns[[#This Row],[Scheduled (min)]]&gt;0,tblRuns[[#This Row],[Good (units)]]/(tblRuns[[#This Row],[Scheduled (min)]]/60),""))</f>
        <v>696.4</v>
      </c>
      <c r="N17" s="39">
        <f>IF(tblRuns[[#This Row],[Date]]="","",IF(tblRuns[[#This Row],[Scheduled (min)]]&gt;0,tblRuns[[#This Row],[Run (min)]]/tblRuns[[#This Row],[Scheduled (min)]],""))</f>
        <v>0.888888888888889</v>
      </c>
      <c r="O17" s="39">
        <f>IF(tblRuns[[#This Row],[Date]]="","",IF(tblRuns[[#This Row],[Total (units)]]&gt;0,tblRuns[[#This Row],[Good (units)]]/tblRuns[[#This Row],[Total (units)]],""))</f>
        <v>0.979557389347337</v>
      </c>
      <c r="P17" s="39">
        <f>IF(tblRuns[[#This Row],[Date]]="","",IF(N(tblRuns[[#This Row],[Theoretical (units)]])&gt;0,tblRuns[[#This Row],[Good (units)]]/tblRuns[[#This Row],[Theoretical (units)]],""))</f>
        <v>0.773777777777778</v>
      </c>
      <c r="Q17" s="35">
        <f>IF(tblRuns[[#This Row],[Date]]="","",IF(ISNUMBER(tblRuns[[#This Row],[Cycle (s/unit)]]),tblRuns[[#This Row],[Downtime (min)]]*60/tblRuns[[#This Row],[Cycle (s/unit)]],""))</f>
        <v>750</v>
      </c>
      <c r="R17" s="35">
        <f>IF(tblRuns[[#This Row],[Date]]="","",IF(ISNUMBER(tblRuns[[#This Row],[Cycle (s/unit)]]),tblRuns[[#This Row],[Run (min)]]*60/tblRuns[[#This Row],[Cycle (s/unit)]]-tblRuns[[#This Row],[Total (units)]],""))</f>
        <v>668</v>
      </c>
      <c r="S17" s="35">
        <f>IF(tblRuns[[#This Row],[Date]]="","",tblRuns[[#This Row],[Total (units)]]-tblRuns[[#This Row],[Good (units)]])</f>
        <v>109</v>
      </c>
      <c r="T17" s="39">
        <f>IF(tblRuns[[#This Row],[Date]]="","",IF(N(tblRuns[[#This Row],[Demand (units)]])&gt;0,tblRuns[[#This Row],[Good (units)]]/tblRuns[[#This Row],[Demand (units)]],""))</f>
        <v>1.02411764705882</v>
      </c>
      <c r="U17" s="40" t="str">
        <f>IF(NOT(ISNUMBER(tblRuns[[#This Row],[Demand coverage]])),"",IF(tblRuns[[#This Row],[Demand coverage]]&gt;=TargetCov,"On target",IF(tblRuns[[#This Row],[Demand coverage]]&gt;=TargetCov*(1-0.05),"Near target","Below target")))</f>
        <v>On target</v>
      </c>
      <c r="V17" s="41">
        <f>IF(tblRuns[[#This Row],[Date]]="","",IF(AND(tblRuns[[#This Row],[Date]]&gt;=FFrom,tblRuns[[#This Row],[Date]]&lt;=FTo,OR(DashLine="",tblRuns[[#This Row],[Line]]=DashLine)),tblRuns[[#This Row],[Date]],""))</f>
        <v>46280</v>
      </c>
      <c r="W1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7" s="43" t="s">
        <v>109</v>
      </c>
    </row>
    <row r="18" spans="2:24" x14ac:dyDescent="0.25">
      <c r="B18" s="37">
        <v>46281</v>
      </c>
      <c r="C18" s="28" t="s">
        <v>83</v>
      </c>
      <c r="D18" s="28" t="s">
        <v>76</v>
      </c>
      <c r="E18" s="34">
        <v>450</v>
      </c>
      <c r="F18" s="34">
        <v>15</v>
      </c>
      <c r="G18" s="34">
        <v>15431</v>
      </c>
      <c r="H18" s="34">
        <v>15134</v>
      </c>
      <c r="I18" s="38">
        <f>IF(tblRuns[[#This Row],[Date]]="","",IFERROR(INDEX(tblLines[Bottleneck cycle (s/unit)],MATCH(tblRuns[[#This Row],[Line]],tblLines[Line],0)),""))</f>
        <v>1.5</v>
      </c>
      <c r="J18" s="35">
        <f>IF(tblRuns[[#This Row],[Date]]="","",IFERROR(INDEX(tblLines[Demand per shift (units)],MATCH(tblRuns[[#This Row],[Line]],tblLines[Line],0)),""))</f>
        <v>14500</v>
      </c>
      <c r="K18" s="35">
        <f>IF(tblRuns[[#This Row],[Date]]="","",tblRuns[[#This Row],[Scheduled (min)]]-tblRuns[[#This Row],[Downtime (min)]])</f>
        <v>435</v>
      </c>
      <c r="L18" s="35">
        <f>IF(tblRuns[[#This Row],[Date]]="","",IF(ISNUMBER(tblRuns[[#This Row],[Cycle (s/unit)]]),tblRuns[[#This Row],[Scheduled (min)]]*60/tblRuns[[#This Row],[Cycle (s/unit)]],""))</f>
        <v>18000</v>
      </c>
      <c r="M18" s="35">
        <f>IF(tblRuns[[#This Row],[Date]]="","",IF(tblRuns[[#This Row],[Scheduled (min)]]&gt;0,tblRuns[[#This Row],[Good (units)]]/(tblRuns[[#This Row],[Scheduled (min)]]/60),""))</f>
        <v>2017.86666666667</v>
      </c>
      <c r="N18" s="39">
        <f>IF(tblRuns[[#This Row],[Date]]="","",IF(tblRuns[[#This Row],[Scheduled (min)]]&gt;0,tblRuns[[#This Row],[Run (min)]]/tblRuns[[#This Row],[Scheduled (min)]],""))</f>
        <v>0.966666666666667</v>
      </c>
      <c r="O18" s="39">
        <f>IF(tblRuns[[#This Row],[Date]]="","",IF(tblRuns[[#This Row],[Total (units)]]&gt;0,tblRuns[[#This Row],[Good (units)]]/tblRuns[[#This Row],[Total (units)]],""))</f>
        <v>0.980753029615709</v>
      </c>
      <c r="P18" s="39">
        <f>IF(tblRuns[[#This Row],[Date]]="","",IF(N(tblRuns[[#This Row],[Theoretical (units)]])&gt;0,tblRuns[[#This Row],[Good (units)]]/tblRuns[[#This Row],[Theoretical (units)]],""))</f>
        <v>0.840777777777778</v>
      </c>
      <c r="Q18" s="35">
        <f>IF(tblRuns[[#This Row],[Date]]="","",IF(ISNUMBER(tblRuns[[#This Row],[Cycle (s/unit)]]),tblRuns[[#This Row],[Downtime (min)]]*60/tblRuns[[#This Row],[Cycle (s/unit)]],""))</f>
        <v>600</v>
      </c>
      <c r="R18" s="35">
        <f>IF(tblRuns[[#This Row],[Date]]="","",IF(ISNUMBER(tblRuns[[#This Row],[Cycle (s/unit)]]),tblRuns[[#This Row],[Run (min)]]*60/tblRuns[[#This Row],[Cycle (s/unit)]]-tblRuns[[#This Row],[Total (units)]],""))</f>
        <v>1969</v>
      </c>
      <c r="S18" s="35">
        <f>IF(tblRuns[[#This Row],[Date]]="","",tblRuns[[#This Row],[Total (units)]]-tblRuns[[#This Row],[Good (units)]])</f>
        <v>297</v>
      </c>
      <c r="T18" s="39">
        <f>IF(tblRuns[[#This Row],[Date]]="","",IF(N(tblRuns[[#This Row],[Demand (units)]])&gt;0,tblRuns[[#This Row],[Good (units)]]/tblRuns[[#This Row],[Demand (units)]],""))</f>
        <v>1.04372413793103</v>
      </c>
      <c r="U18" s="40" t="str">
        <f>IF(NOT(ISNUMBER(tblRuns[[#This Row],[Demand coverage]])),"",IF(tblRuns[[#This Row],[Demand coverage]]&gt;=TargetCov,"On target",IF(tblRuns[[#This Row],[Demand coverage]]&gt;=TargetCov*(1-0.05),"Near target","Below target")))</f>
        <v>On target</v>
      </c>
      <c r="V18" s="41">
        <f>IF(tblRuns[[#This Row],[Date]]="","",IF(AND(tblRuns[[#This Row],[Date]]&gt;=FFrom,tblRuns[[#This Row],[Date]]&lt;=FTo,OR(DashLine="",tblRuns[[#This Row],[Line]]=DashLine)),tblRuns[[#This Row],[Date]],""))</f>
        <v>46281</v>
      </c>
      <c r="W1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8" s="43" t="s">
        <v>109</v>
      </c>
    </row>
    <row r="19" spans="2:24" x14ac:dyDescent="0.25">
      <c r="B19" s="37">
        <v>46281</v>
      </c>
      <c r="C19" s="28" t="s">
        <v>83</v>
      </c>
      <c r="D19" s="28" t="s">
        <v>78</v>
      </c>
      <c r="E19" s="34">
        <v>450</v>
      </c>
      <c r="F19" s="34">
        <v>145</v>
      </c>
      <c r="G19" s="34">
        <v>5655</v>
      </c>
      <c r="H19" s="34">
        <v>5637</v>
      </c>
      <c r="I19" s="38">
        <f>IF(tblRuns[[#This Row],[Date]]="","",IFERROR(INDEX(tblLines[Bottleneck cycle (s/unit)],MATCH(tblRuns[[#This Row],[Line]],tblLines[Line],0)),""))</f>
        <v>3</v>
      </c>
      <c r="J19" s="35">
        <f>IF(tblRuns[[#This Row],[Date]]="","",IFERROR(INDEX(tblLines[Demand per shift (units)],MATCH(tblRuns[[#This Row],[Line]],tblLines[Line],0)),""))</f>
        <v>6600</v>
      </c>
      <c r="K19" s="35">
        <f>IF(tblRuns[[#This Row],[Date]]="","",tblRuns[[#This Row],[Scheduled (min)]]-tblRuns[[#This Row],[Downtime (min)]])</f>
        <v>305</v>
      </c>
      <c r="L19" s="35">
        <f>IF(tblRuns[[#This Row],[Date]]="","",IF(ISNUMBER(tblRuns[[#This Row],[Cycle (s/unit)]]),tblRuns[[#This Row],[Scheduled (min)]]*60/tblRuns[[#This Row],[Cycle (s/unit)]],""))</f>
        <v>9000</v>
      </c>
      <c r="M19" s="35">
        <f>IF(tblRuns[[#This Row],[Date]]="","",IF(tblRuns[[#This Row],[Scheduled (min)]]&gt;0,tblRuns[[#This Row],[Good (units)]]/(tblRuns[[#This Row],[Scheduled (min)]]/60),""))</f>
        <v>751.6</v>
      </c>
      <c r="N19" s="39">
        <f>IF(tblRuns[[#This Row],[Date]]="","",IF(tblRuns[[#This Row],[Scheduled (min)]]&gt;0,tblRuns[[#This Row],[Run (min)]]/tblRuns[[#This Row],[Scheduled (min)]],""))</f>
        <v>0.677777777777778</v>
      </c>
      <c r="O19" s="39">
        <f>IF(tblRuns[[#This Row],[Date]]="","",IF(tblRuns[[#This Row],[Total (units)]]&gt;0,tblRuns[[#This Row],[Good (units)]]/tblRuns[[#This Row],[Total (units)]],""))</f>
        <v>0.996816976127321</v>
      </c>
      <c r="P19" s="39">
        <f>IF(tblRuns[[#This Row],[Date]]="","",IF(N(tblRuns[[#This Row],[Theoretical (units)]])&gt;0,tblRuns[[#This Row],[Good (units)]]/tblRuns[[#This Row],[Theoretical (units)]],""))</f>
        <v>0.626333333333333</v>
      </c>
      <c r="Q19" s="35">
        <f>IF(tblRuns[[#This Row],[Date]]="","",IF(ISNUMBER(tblRuns[[#This Row],[Cycle (s/unit)]]),tblRuns[[#This Row],[Downtime (min)]]*60/tblRuns[[#This Row],[Cycle (s/unit)]],""))</f>
        <v>2900</v>
      </c>
      <c r="R19" s="35">
        <f>IF(tblRuns[[#This Row],[Date]]="","",IF(ISNUMBER(tblRuns[[#This Row],[Cycle (s/unit)]]),tblRuns[[#This Row],[Run (min)]]*60/tblRuns[[#This Row],[Cycle (s/unit)]]-tblRuns[[#This Row],[Total (units)]],""))</f>
        <v>445</v>
      </c>
      <c r="S19" s="35">
        <f>IF(tblRuns[[#This Row],[Date]]="","",tblRuns[[#This Row],[Total (units)]]-tblRuns[[#This Row],[Good (units)]])</f>
        <v>18</v>
      </c>
      <c r="T19" s="39">
        <f>IF(tblRuns[[#This Row],[Date]]="","",IF(N(tblRuns[[#This Row],[Demand (units)]])&gt;0,tblRuns[[#This Row],[Good (units)]]/tblRuns[[#This Row],[Demand (units)]],""))</f>
        <v>0.854090909090909</v>
      </c>
      <c r="U19" s="40" t="str">
        <f>IF(NOT(ISNUMBER(tblRuns[[#This Row],[Demand coverage]])),"",IF(tblRuns[[#This Row],[Demand coverage]]&gt;=TargetCov,"On target",IF(tblRuns[[#This Row],[Demand coverage]]&gt;=TargetCov*(1-0.05),"Near target","Below target")))</f>
        <v>Below target</v>
      </c>
      <c r="V19" s="41">
        <f>IF(tblRuns[[#This Row],[Date]]="","",IF(AND(tblRuns[[#This Row],[Date]]&gt;=FFrom,tblRuns[[#This Row],[Date]]&lt;=FTo,OR(DashLine="",tblRuns[[#This Row],[Line]]=DashLine)),tblRuns[[#This Row],[Date]],""))</f>
        <v>46281</v>
      </c>
      <c r="W1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19" s="43" t="s">
        <v>109</v>
      </c>
    </row>
    <row r="20" spans="2:24" x14ac:dyDescent="0.25">
      <c r="B20" s="37">
        <v>46281</v>
      </c>
      <c r="C20" s="28" t="s">
        <v>83</v>
      </c>
      <c r="D20" s="28" t="s">
        <v>80</v>
      </c>
      <c r="E20" s="34">
        <v>450</v>
      </c>
      <c r="F20" s="34">
        <v>50</v>
      </c>
      <c r="G20" s="34">
        <v>5502</v>
      </c>
      <c r="H20" s="34">
        <v>5323</v>
      </c>
      <c r="I20" s="38">
        <f>IF(tblRuns[[#This Row],[Date]]="","",IFERROR(INDEX(tblLines[Bottleneck cycle (s/unit)],MATCH(tblRuns[[#This Row],[Line]],tblLines[Line],0)),""))</f>
        <v>4</v>
      </c>
      <c r="J20" s="35">
        <f>IF(tblRuns[[#This Row],[Date]]="","",IFERROR(INDEX(tblLines[Demand per shift (units)],MATCH(tblRuns[[#This Row],[Line]],tblLines[Line],0)),""))</f>
        <v>5100</v>
      </c>
      <c r="K20" s="35">
        <f>IF(tblRuns[[#This Row],[Date]]="","",tblRuns[[#This Row],[Scheduled (min)]]-tblRuns[[#This Row],[Downtime (min)]])</f>
        <v>400</v>
      </c>
      <c r="L20" s="35">
        <f>IF(tblRuns[[#This Row],[Date]]="","",IF(ISNUMBER(tblRuns[[#This Row],[Cycle (s/unit)]]),tblRuns[[#This Row],[Scheduled (min)]]*60/tblRuns[[#This Row],[Cycle (s/unit)]],""))</f>
        <v>6750</v>
      </c>
      <c r="M20" s="35">
        <f>IF(tblRuns[[#This Row],[Date]]="","",IF(tblRuns[[#This Row],[Scheduled (min)]]&gt;0,tblRuns[[#This Row],[Good (units)]]/(tblRuns[[#This Row],[Scheduled (min)]]/60),""))</f>
        <v>709.733333333333</v>
      </c>
      <c r="N20" s="39">
        <f>IF(tblRuns[[#This Row],[Date]]="","",IF(tblRuns[[#This Row],[Scheduled (min)]]&gt;0,tblRuns[[#This Row],[Run (min)]]/tblRuns[[#This Row],[Scheduled (min)]],""))</f>
        <v>0.888888888888889</v>
      </c>
      <c r="O20" s="39">
        <f>IF(tblRuns[[#This Row],[Date]]="","",IF(tblRuns[[#This Row],[Total (units)]]&gt;0,tblRuns[[#This Row],[Good (units)]]/tblRuns[[#This Row],[Total (units)]],""))</f>
        <v>0.967466375863322</v>
      </c>
      <c r="P20" s="39">
        <f>IF(tblRuns[[#This Row],[Date]]="","",IF(N(tblRuns[[#This Row],[Theoretical (units)]])&gt;0,tblRuns[[#This Row],[Good (units)]]/tblRuns[[#This Row],[Theoretical (units)]],""))</f>
        <v>0.788592592592593</v>
      </c>
      <c r="Q20" s="35">
        <f>IF(tblRuns[[#This Row],[Date]]="","",IF(ISNUMBER(tblRuns[[#This Row],[Cycle (s/unit)]]),tblRuns[[#This Row],[Downtime (min)]]*60/tblRuns[[#This Row],[Cycle (s/unit)]],""))</f>
        <v>750</v>
      </c>
      <c r="R20" s="35">
        <f>IF(tblRuns[[#This Row],[Date]]="","",IF(ISNUMBER(tblRuns[[#This Row],[Cycle (s/unit)]]),tblRuns[[#This Row],[Run (min)]]*60/tblRuns[[#This Row],[Cycle (s/unit)]]-tblRuns[[#This Row],[Total (units)]],""))</f>
        <v>498</v>
      </c>
      <c r="S20" s="35">
        <f>IF(tblRuns[[#This Row],[Date]]="","",tblRuns[[#This Row],[Total (units)]]-tblRuns[[#This Row],[Good (units)]])</f>
        <v>179</v>
      </c>
      <c r="T20" s="39">
        <f>IF(tblRuns[[#This Row],[Date]]="","",IF(N(tblRuns[[#This Row],[Demand (units)]])&gt;0,tblRuns[[#This Row],[Good (units)]]/tblRuns[[#This Row],[Demand (units)]],""))</f>
        <v>1.04372549019608</v>
      </c>
      <c r="U20" s="40" t="str">
        <f>IF(NOT(ISNUMBER(tblRuns[[#This Row],[Demand coverage]])),"",IF(tblRuns[[#This Row],[Demand coverage]]&gt;=TargetCov,"On target",IF(tblRuns[[#This Row],[Demand coverage]]&gt;=TargetCov*(1-0.05),"Near target","Below target")))</f>
        <v>On target</v>
      </c>
      <c r="V20" s="41">
        <f>IF(tblRuns[[#This Row],[Date]]="","",IF(AND(tblRuns[[#This Row],[Date]]&gt;=FFrom,tblRuns[[#This Row],[Date]]&lt;=FTo,OR(DashLine="",tblRuns[[#This Row],[Line]]=DashLine)),tblRuns[[#This Row],[Date]],""))</f>
        <v>46281</v>
      </c>
      <c r="W2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0" s="43" t="s">
        <v>109</v>
      </c>
    </row>
    <row r="21" spans="2:24" x14ac:dyDescent="0.25">
      <c r="B21" s="37">
        <v>46281</v>
      </c>
      <c r="C21" s="28" t="s">
        <v>85</v>
      </c>
      <c r="D21" s="28" t="s">
        <v>76</v>
      </c>
      <c r="E21" s="34">
        <v>450</v>
      </c>
      <c r="F21" s="34">
        <v>20</v>
      </c>
      <c r="G21" s="34">
        <v>15174</v>
      </c>
      <c r="H21" s="34">
        <v>14798</v>
      </c>
      <c r="I21" s="38">
        <f>IF(tblRuns[[#This Row],[Date]]="","",IFERROR(INDEX(tblLines[Bottleneck cycle (s/unit)],MATCH(tblRuns[[#This Row],[Line]],tblLines[Line],0)),""))</f>
        <v>1.5</v>
      </c>
      <c r="J21" s="35">
        <f>IF(tblRuns[[#This Row],[Date]]="","",IFERROR(INDEX(tblLines[Demand per shift (units)],MATCH(tblRuns[[#This Row],[Line]],tblLines[Line],0)),""))</f>
        <v>14500</v>
      </c>
      <c r="K21" s="35">
        <f>IF(tblRuns[[#This Row],[Date]]="","",tblRuns[[#This Row],[Scheduled (min)]]-tblRuns[[#This Row],[Downtime (min)]])</f>
        <v>430</v>
      </c>
      <c r="L21" s="35">
        <f>IF(tblRuns[[#This Row],[Date]]="","",IF(ISNUMBER(tblRuns[[#This Row],[Cycle (s/unit)]]),tblRuns[[#This Row],[Scheduled (min)]]*60/tblRuns[[#This Row],[Cycle (s/unit)]],""))</f>
        <v>18000</v>
      </c>
      <c r="M21" s="35">
        <f>IF(tblRuns[[#This Row],[Date]]="","",IF(tblRuns[[#This Row],[Scheduled (min)]]&gt;0,tblRuns[[#This Row],[Good (units)]]/(tblRuns[[#This Row],[Scheduled (min)]]/60),""))</f>
        <v>1973.06666666667</v>
      </c>
      <c r="N21" s="39">
        <f>IF(tblRuns[[#This Row],[Date]]="","",IF(tblRuns[[#This Row],[Scheduled (min)]]&gt;0,tblRuns[[#This Row],[Run (min)]]/tblRuns[[#This Row],[Scheduled (min)]],""))</f>
        <v>0.955555555555556</v>
      </c>
      <c r="O21" s="39">
        <f>IF(tblRuns[[#This Row],[Date]]="","",IF(tblRuns[[#This Row],[Total (units)]]&gt;0,tblRuns[[#This Row],[Good (units)]]/tblRuns[[#This Row],[Total (units)]],""))</f>
        <v>0.975220772373797</v>
      </c>
      <c r="P21" s="39">
        <f>IF(tblRuns[[#This Row],[Date]]="","",IF(N(tblRuns[[#This Row],[Theoretical (units)]])&gt;0,tblRuns[[#This Row],[Good (units)]]/tblRuns[[#This Row],[Theoretical (units)]],""))</f>
        <v>0.822111111111111</v>
      </c>
      <c r="Q21" s="35">
        <f>IF(tblRuns[[#This Row],[Date]]="","",IF(ISNUMBER(tblRuns[[#This Row],[Cycle (s/unit)]]),tblRuns[[#This Row],[Downtime (min)]]*60/tblRuns[[#This Row],[Cycle (s/unit)]],""))</f>
        <v>800</v>
      </c>
      <c r="R21" s="35">
        <f>IF(tblRuns[[#This Row],[Date]]="","",IF(ISNUMBER(tblRuns[[#This Row],[Cycle (s/unit)]]),tblRuns[[#This Row],[Run (min)]]*60/tblRuns[[#This Row],[Cycle (s/unit)]]-tblRuns[[#This Row],[Total (units)]],""))</f>
        <v>2026</v>
      </c>
      <c r="S21" s="35">
        <f>IF(tblRuns[[#This Row],[Date]]="","",tblRuns[[#This Row],[Total (units)]]-tblRuns[[#This Row],[Good (units)]])</f>
        <v>376</v>
      </c>
      <c r="T21" s="39">
        <f>IF(tblRuns[[#This Row],[Date]]="","",IF(N(tblRuns[[#This Row],[Demand (units)]])&gt;0,tblRuns[[#This Row],[Good (units)]]/tblRuns[[#This Row],[Demand (units)]],""))</f>
        <v>1.02055172413793</v>
      </c>
      <c r="U21" s="40" t="str">
        <f>IF(NOT(ISNUMBER(tblRuns[[#This Row],[Demand coverage]])),"",IF(tblRuns[[#This Row],[Demand coverage]]&gt;=TargetCov,"On target",IF(tblRuns[[#This Row],[Demand coverage]]&gt;=TargetCov*(1-0.05),"Near target","Below target")))</f>
        <v>On target</v>
      </c>
      <c r="V21" s="41">
        <f>IF(tblRuns[[#This Row],[Date]]="","",IF(AND(tblRuns[[#This Row],[Date]]&gt;=FFrom,tblRuns[[#This Row],[Date]]&lt;=FTo,OR(DashLine="",tblRuns[[#This Row],[Line]]=DashLine)),tblRuns[[#This Row],[Date]],""))</f>
        <v>46281</v>
      </c>
      <c r="W2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1" s="43" t="s">
        <v>109</v>
      </c>
    </row>
    <row r="22" spans="2:24" x14ac:dyDescent="0.25">
      <c r="B22" s="37">
        <v>46281</v>
      </c>
      <c r="C22" s="28" t="s">
        <v>85</v>
      </c>
      <c r="D22" s="28" t="s">
        <v>78</v>
      </c>
      <c r="E22" s="34">
        <v>450</v>
      </c>
      <c r="F22" s="34">
        <v>150</v>
      </c>
      <c r="G22" s="34">
        <v>5681</v>
      </c>
      <c r="H22" s="34">
        <v>5625</v>
      </c>
      <c r="I22" s="38">
        <f>IF(tblRuns[[#This Row],[Date]]="","",IFERROR(INDEX(tblLines[Bottleneck cycle (s/unit)],MATCH(tblRuns[[#This Row],[Line]],tblLines[Line],0)),""))</f>
        <v>3</v>
      </c>
      <c r="J22" s="35">
        <f>IF(tblRuns[[#This Row],[Date]]="","",IFERROR(INDEX(tblLines[Demand per shift (units)],MATCH(tblRuns[[#This Row],[Line]],tblLines[Line],0)),""))</f>
        <v>6600</v>
      </c>
      <c r="K22" s="35">
        <f>IF(tblRuns[[#This Row],[Date]]="","",tblRuns[[#This Row],[Scheduled (min)]]-tblRuns[[#This Row],[Downtime (min)]])</f>
        <v>300</v>
      </c>
      <c r="L22" s="35">
        <f>IF(tblRuns[[#This Row],[Date]]="","",IF(ISNUMBER(tblRuns[[#This Row],[Cycle (s/unit)]]),tblRuns[[#This Row],[Scheduled (min)]]*60/tblRuns[[#This Row],[Cycle (s/unit)]],""))</f>
        <v>9000</v>
      </c>
      <c r="M22" s="35">
        <f>IF(tblRuns[[#This Row],[Date]]="","",IF(tblRuns[[#This Row],[Scheduled (min)]]&gt;0,tblRuns[[#This Row],[Good (units)]]/(tblRuns[[#This Row],[Scheduled (min)]]/60),""))</f>
        <v>750</v>
      </c>
      <c r="N22" s="39">
        <f>IF(tblRuns[[#This Row],[Date]]="","",IF(tblRuns[[#This Row],[Scheduled (min)]]&gt;0,tblRuns[[#This Row],[Run (min)]]/tblRuns[[#This Row],[Scheduled (min)]],""))</f>
        <v>0.666666666666667</v>
      </c>
      <c r="O22" s="39">
        <f>IF(tblRuns[[#This Row],[Date]]="","",IF(tblRuns[[#This Row],[Total (units)]]&gt;0,tblRuns[[#This Row],[Good (units)]]/tblRuns[[#This Row],[Total (units)]],""))</f>
        <v>0.990142580531597</v>
      </c>
      <c r="P22" s="39">
        <f>IF(tblRuns[[#This Row],[Date]]="","",IF(N(tblRuns[[#This Row],[Theoretical (units)]])&gt;0,tblRuns[[#This Row],[Good (units)]]/tblRuns[[#This Row],[Theoretical (units)]],""))</f>
        <v>0.625</v>
      </c>
      <c r="Q22" s="35">
        <f>IF(tblRuns[[#This Row],[Date]]="","",IF(ISNUMBER(tblRuns[[#This Row],[Cycle (s/unit)]]),tblRuns[[#This Row],[Downtime (min)]]*60/tblRuns[[#This Row],[Cycle (s/unit)]],""))</f>
        <v>3000</v>
      </c>
      <c r="R22" s="35">
        <f>IF(tblRuns[[#This Row],[Date]]="","",IF(ISNUMBER(tblRuns[[#This Row],[Cycle (s/unit)]]),tblRuns[[#This Row],[Run (min)]]*60/tblRuns[[#This Row],[Cycle (s/unit)]]-tblRuns[[#This Row],[Total (units)]],""))</f>
        <v>319</v>
      </c>
      <c r="S22" s="35">
        <f>IF(tblRuns[[#This Row],[Date]]="","",tblRuns[[#This Row],[Total (units)]]-tblRuns[[#This Row],[Good (units)]])</f>
        <v>56</v>
      </c>
      <c r="T22" s="39">
        <f>IF(tblRuns[[#This Row],[Date]]="","",IF(N(tblRuns[[#This Row],[Demand (units)]])&gt;0,tblRuns[[#This Row],[Good (units)]]/tblRuns[[#This Row],[Demand (units)]],""))</f>
        <v>0.852272727272727</v>
      </c>
      <c r="U22" s="40" t="str">
        <f>IF(NOT(ISNUMBER(tblRuns[[#This Row],[Demand coverage]])),"",IF(tblRuns[[#This Row],[Demand coverage]]&gt;=TargetCov,"On target",IF(tblRuns[[#This Row],[Demand coverage]]&gt;=TargetCov*(1-0.05),"Near target","Below target")))</f>
        <v>Below target</v>
      </c>
      <c r="V22" s="41">
        <f>IF(tblRuns[[#This Row],[Date]]="","",IF(AND(tblRuns[[#This Row],[Date]]&gt;=FFrom,tblRuns[[#This Row],[Date]]&lt;=FTo,OR(DashLine="",tblRuns[[#This Row],[Line]]=DashLine)),tblRuns[[#This Row],[Date]],""))</f>
        <v>46281</v>
      </c>
      <c r="W2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2" s="43" t="s">
        <v>110</v>
      </c>
    </row>
    <row r="23" spans="2:24" x14ac:dyDescent="0.25">
      <c r="B23" s="37">
        <v>46281</v>
      </c>
      <c r="C23" s="28" t="s">
        <v>85</v>
      </c>
      <c r="D23" s="28" t="s">
        <v>80</v>
      </c>
      <c r="E23" s="34">
        <v>450</v>
      </c>
      <c r="F23" s="34">
        <v>20</v>
      </c>
      <c r="G23" s="34">
        <v>6093</v>
      </c>
      <c r="H23" s="34">
        <v>5976</v>
      </c>
      <c r="I23" s="38">
        <f>IF(tblRuns[[#This Row],[Date]]="","",IFERROR(INDEX(tblLines[Bottleneck cycle (s/unit)],MATCH(tblRuns[[#This Row],[Line]],tblLines[Line],0)),""))</f>
        <v>4</v>
      </c>
      <c r="J23" s="35">
        <f>IF(tblRuns[[#This Row],[Date]]="","",IFERROR(INDEX(tblLines[Demand per shift (units)],MATCH(tblRuns[[#This Row],[Line]],tblLines[Line],0)),""))</f>
        <v>5100</v>
      </c>
      <c r="K23" s="35">
        <f>IF(tblRuns[[#This Row],[Date]]="","",tblRuns[[#This Row],[Scheduled (min)]]-tblRuns[[#This Row],[Downtime (min)]])</f>
        <v>430</v>
      </c>
      <c r="L23" s="35">
        <f>IF(tblRuns[[#This Row],[Date]]="","",IF(ISNUMBER(tblRuns[[#This Row],[Cycle (s/unit)]]),tblRuns[[#This Row],[Scheduled (min)]]*60/tblRuns[[#This Row],[Cycle (s/unit)]],""))</f>
        <v>6750</v>
      </c>
      <c r="M23" s="35">
        <f>IF(tblRuns[[#This Row],[Date]]="","",IF(tblRuns[[#This Row],[Scheduled (min)]]&gt;0,tblRuns[[#This Row],[Good (units)]]/(tblRuns[[#This Row],[Scheduled (min)]]/60),""))</f>
        <v>796.8</v>
      </c>
      <c r="N23" s="39">
        <f>IF(tblRuns[[#This Row],[Date]]="","",IF(tblRuns[[#This Row],[Scheduled (min)]]&gt;0,tblRuns[[#This Row],[Run (min)]]/tblRuns[[#This Row],[Scheduled (min)]],""))</f>
        <v>0.955555555555556</v>
      </c>
      <c r="O23" s="39">
        <f>IF(tblRuns[[#This Row],[Date]]="","",IF(tblRuns[[#This Row],[Total (units)]]&gt;0,tblRuns[[#This Row],[Good (units)]]/tblRuns[[#This Row],[Total (units)]],""))</f>
        <v>0.980797636632201</v>
      </c>
      <c r="P23" s="39">
        <f>IF(tblRuns[[#This Row],[Date]]="","",IF(N(tblRuns[[#This Row],[Theoretical (units)]])&gt;0,tblRuns[[#This Row],[Good (units)]]/tblRuns[[#This Row],[Theoretical (units)]],""))</f>
        <v>0.885333333333333</v>
      </c>
      <c r="Q23" s="35">
        <f>IF(tblRuns[[#This Row],[Date]]="","",IF(ISNUMBER(tblRuns[[#This Row],[Cycle (s/unit)]]),tblRuns[[#This Row],[Downtime (min)]]*60/tblRuns[[#This Row],[Cycle (s/unit)]],""))</f>
        <v>300</v>
      </c>
      <c r="R23" s="35">
        <f>IF(tblRuns[[#This Row],[Date]]="","",IF(ISNUMBER(tblRuns[[#This Row],[Cycle (s/unit)]]),tblRuns[[#This Row],[Run (min)]]*60/tblRuns[[#This Row],[Cycle (s/unit)]]-tblRuns[[#This Row],[Total (units)]],""))</f>
        <v>357</v>
      </c>
      <c r="S23" s="35">
        <f>IF(tblRuns[[#This Row],[Date]]="","",tblRuns[[#This Row],[Total (units)]]-tblRuns[[#This Row],[Good (units)]])</f>
        <v>117</v>
      </c>
      <c r="T23" s="39">
        <f>IF(tblRuns[[#This Row],[Date]]="","",IF(N(tblRuns[[#This Row],[Demand (units)]])&gt;0,tblRuns[[#This Row],[Good (units)]]/tblRuns[[#This Row],[Demand (units)]],""))</f>
        <v>1.17176470588235</v>
      </c>
      <c r="U23" s="40" t="str">
        <f>IF(NOT(ISNUMBER(tblRuns[[#This Row],[Demand coverage]])),"",IF(tblRuns[[#This Row],[Demand coverage]]&gt;=TargetCov,"On target",IF(tblRuns[[#This Row],[Demand coverage]]&gt;=TargetCov*(1-0.05),"Near target","Below target")))</f>
        <v>On target</v>
      </c>
      <c r="V23" s="41">
        <f>IF(tblRuns[[#This Row],[Date]]="","",IF(AND(tblRuns[[#This Row],[Date]]&gt;=FFrom,tblRuns[[#This Row],[Date]]&lt;=FTo,OR(DashLine="",tblRuns[[#This Row],[Line]]=DashLine)),tblRuns[[#This Row],[Date]],""))</f>
        <v>46281</v>
      </c>
      <c r="W2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3" s="43" t="s">
        <v>109</v>
      </c>
    </row>
    <row r="24" spans="2:24" x14ac:dyDescent="0.25">
      <c r="B24" s="37">
        <v>46282</v>
      </c>
      <c r="C24" s="28" t="s">
        <v>83</v>
      </c>
      <c r="D24" s="28" t="s">
        <v>76</v>
      </c>
      <c r="E24" s="34">
        <v>450</v>
      </c>
      <c r="F24" s="34">
        <v>50</v>
      </c>
      <c r="G24" s="34">
        <v>14767</v>
      </c>
      <c r="H24" s="34">
        <v>14532</v>
      </c>
      <c r="I24" s="38">
        <f>IF(tblRuns[[#This Row],[Date]]="","",IFERROR(INDEX(tblLines[Bottleneck cycle (s/unit)],MATCH(tblRuns[[#This Row],[Line]],tblLines[Line],0)),""))</f>
        <v>1.5</v>
      </c>
      <c r="J24" s="35">
        <f>IF(tblRuns[[#This Row],[Date]]="","",IFERROR(INDEX(tblLines[Demand per shift (units)],MATCH(tblRuns[[#This Row],[Line]],tblLines[Line],0)),""))</f>
        <v>14500</v>
      </c>
      <c r="K24" s="35">
        <f>IF(tblRuns[[#This Row],[Date]]="","",tblRuns[[#This Row],[Scheduled (min)]]-tblRuns[[#This Row],[Downtime (min)]])</f>
        <v>400</v>
      </c>
      <c r="L24" s="35">
        <f>IF(tblRuns[[#This Row],[Date]]="","",IF(ISNUMBER(tblRuns[[#This Row],[Cycle (s/unit)]]),tblRuns[[#This Row],[Scheduled (min)]]*60/tblRuns[[#This Row],[Cycle (s/unit)]],""))</f>
        <v>18000</v>
      </c>
      <c r="M24" s="35">
        <f>IF(tblRuns[[#This Row],[Date]]="","",IF(tblRuns[[#This Row],[Scheduled (min)]]&gt;0,tblRuns[[#This Row],[Good (units)]]/(tblRuns[[#This Row],[Scheduled (min)]]/60),""))</f>
        <v>1937.6</v>
      </c>
      <c r="N24" s="39">
        <f>IF(tblRuns[[#This Row],[Date]]="","",IF(tblRuns[[#This Row],[Scheduled (min)]]&gt;0,tblRuns[[#This Row],[Run (min)]]/tblRuns[[#This Row],[Scheduled (min)]],""))</f>
        <v>0.888888888888889</v>
      </c>
      <c r="O24" s="39">
        <f>IF(tblRuns[[#This Row],[Date]]="","",IF(tblRuns[[#This Row],[Total (units)]]&gt;0,tblRuns[[#This Row],[Good (units)]]/tblRuns[[#This Row],[Total (units)]],""))</f>
        <v>0.984086138010429</v>
      </c>
      <c r="P24" s="39">
        <f>IF(tblRuns[[#This Row],[Date]]="","",IF(N(tblRuns[[#This Row],[Theoretical (units)]])&gt;0,tblRuns[[#This Row],[Good (units)]]/tblRuns[[#This Row],[Theoretical (units)]],""))</f>
        <v>0.807333333333333</v>
      </c>
      <c r="Q24" s="35">
        <f>IF(tblRuns[[#This Row],[Date]]="","",IF(ISNUMBER(tblRuns[[#This Row],[Cycle (s/unit)]]),tblRuns[[#This Row],[Downtime (min)]]*60/tblRuns[[#This Row],[Cycle (s/unit)]],""))</f>
        <v>2000</v>
      </c>
      <c r="R24" s="35">
        <f>IF(tblRuns[[#This Row],[Date]]="","",IF(ISNUMBER(tblRuns[[#This Row],[Cycle (s/unit)]]),tblRuns[[#This Row],[Run (min)]]*60/tblRuns[[#This Row],[Cycle (s/unit)]]-tblRuns[[#This Row],[Total (units)]],""))</f>
        <v>1233</v>
      </c>
      <c r="S24" s="35">
        <f>IF(tblRuns[[#This Row],[Date]]="","",tblRuns[[#This Row],[Total (units)]]-tblRuns[[#This Row],[Good (units)]])</f>
        <v>235</v>
      </c>
      <c r="T24" s="39">
        <f>IF(tblRuns[[#This Row],[Date]]="","",IF(N(tblRuns[[#This Row],[Demand (units)]])&gt;0,tblRuns[[#This Row],[Good (units)]]/tblRuns[[#This Row],[Demand (units)]],""))</f>
        <v>1.00220689655172</v>
      </c>
      <c r="U24" s="40" t="str">
        <f>IF(NOT(ISNUMBER(tblRuns[[#This Row],[Demand coverage]])),"",IF(tblRuns[[#This Row],[Demand coverage]]&gt;=TargetCov,"On target",IF(tblRuns[[#This Row],[Demand coverage]]&gt;=TargetCov*(1-0.05),"Near target","Below target")))</f>
        <v>On target</v>
      </c>
      <c r="V24" s="41">
        <f>IF(tblRuns[[#This Row],[Date]]="","",IF(AND(tblRuns[[#This Row],[Date]]&gt;=FFrom,tblRuns[[#This Row],[Date]]&lt;=FTo,OR(DashLine="",tblRuns[[#This Row],[Line]]=DashLine)),tblRuns[[#This Row],[Date]],""))</f>
        <v>46282</v>
      </c>
      <c r="W2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4" s="43" t="s">
        <v>109</v>
      </c>
    </row>
    <row r="25" spans="2:24" x14ac:dyDescent="0.25">
      <c r="B25" s="37">
        <v>46282</v>
      </c>
      <c r="C25" s="28" t="s">
        <v>83</v>
      </c>
      <c r="D25" s="28" t="s">
        <v>78</v>
      </c>
      <c r="E25" s="34">
        <v>450</v>
      </c>
      <c r="F25" s="34">
        <v>110</v>
      </c>
      <c r="G25" s="34">
        <v>6434</v>
      </c>
      <c r="H25" s="34">
        <v>6406</v>
      </c>
      <c r="I25" s="38">
        <f>IF(tblRuns[[#This Row],[Date]]="","",IFERROR(INDEX(tblLines[Bottleneck cycle (s/unit)],MATCH(tblRuns[[#This Row],[Line]],tblLines[Line],0)),""))</f>
        <v>3</v>
      </c>
      <c r="J25" s="35">
        <f>IF(tblRuns[[#This Row],[Date]]="","",IFERROR(INDEX(tblLines[Demand per shift (units)],MATCH(tblRuns[[#This Row],[Line]],tblLines[Line],0)),""))</f>
        <v>6600</v>
      </c>
      <c r="K25" s="35">
        <f>IF(tblRuns[[#This Row],[Date]]="","",tblRuns[[#This Row],[Scheduled (min)]]-tblRuns[[#This Row],[Downtime (min)]])</f>
        <v>340</v>
      </c>
      <c r="L25" s="35">
        <f>IF(tblRuns[[#This Row],[Date]]="","",IF(ISNUMBER(tblRuns[[#This Row],[Cycle (s/unit)]]),tblRuns[[#This Row],[Scheduled (min)]]*60/tblRuns[[#This Row],[Cycle (s/unit)]],""))</f>
        <v>9000</v>
      </c>
      <c r="M25" s="35">
        <f>IF(tblRuns[[#This Row],[Date]]="","",IF(tblRuns[[#This Row],[Scheduled (min)]]&gt;0,tblRuns[[#This Row],[Good (units)]]/(tblRuns[[#This Row],[Scheduled (min)]]/60),""))</f>
        <v>854.133333333333</v>
      </c>
      <c r="N25" s="39">
        <f>IF(tblRuns[[#This Row],[Date]]="","",IF(tblRuns[[#This Row],[Scheduled (min)]]&gt;0,tblRuns[[#This Row],[Run (min)]]/tblRuns[[#This Row],[Scheduled (min)]],""))</f>
        <v>0.755555555555556</v>
      </c>
      <c r="O25" s="39">
        <f>IF(tblRuns[[#This Row],[Date]]="","",IF(tblRuns[[#This Row],[Total (units)]]&gt;0,tblRuns[[#This Row],[Good (units)]]/tblRuns[[#This Row],[Total (units)]],""))</f>
        <v>0.995648119365869</v>
      </c>
      <c r="P25" s="39">
        <f>IF(tblRuns[[#This Row],[Date]]="","",IF(N(tblRuns[[#This Row],[Theoretical (units)]])&gt;0,tblRuns[[#This Row],[Good (units)]]/tblRuns[[#This Row],[Theoretical (units)]],""))</f>
        <v>0.711777777777778</v>
      </c>
      <c r="Q25" s="35">
        <f>IF(tblRuns[[#This Row],[Date]]="","",IF(ISNUMBER(tblRuns[[#This Row],[Cycle (s/unit)]]),tblRuns[[#This Row],[Downtime (min)]]*60/tblRuns[[#This Row],[Cycle (s/unit)]],""))</f>
        <v>2200</v>
      </c>
      <c r="R25" s="35">
        <f>IF(tblRuns[[#This Row],[Date]]="","",IF(ISNUMBER(tblRuns[[#This Row],[Cycle (s/unit)]]),tblRuns[[#This Row],[Run (min)]]*60/tblRuns[[#This Row],[Cycle (s/unit)]]-tblRuns[[#This Row],[Total (units)]],""))</f>
        <v>366</v>
      </c>
      <c r="S25" s="35">
        <f>IF(tblRuns[[#This Row],[Date]]="","",tblRuns[[#This Row],[Total (units)]]-tblRuns[[#This Row],[Good (units)]])</f>
        <v>28</v>
      </c>
      <c r="T25" s="39">
        <f>IF(tblRuns[[#This Row],[Date]]="","",IF(N(tblRuns[[#This Row],[Demand (units)]])&gt;0,tblRuns[[#This Row],[Good (units)]]/tblRuns[[#This Row],[Demand (units)]],""))</f>
        <v>0.970606060606061</v>
      </c>
      <c r="U25" s="40" t="str">
        <f>IF(NOT(ISNUMBER(tblRuns[[#This Row],[Demand coverage]])),"",IF(tblRuns[[#This Row],[Demand coverage]]&gt;=TargetCov,"On target",IF(tblRuns[[#This Row],[Demand coverage]]&gt;=TargetCov*(1-0.05),"Near target","Below target")))</f>
        <v>Near target</v>
      </c>
      <c r="V25" s="41">
        <f>IF(tblRuns[[#This Row],[Date]]="","",IF(AND(tblRuns[[#This Row],[Date]]&gt;=FFrom,tblRuns[[#This Row],[Date]]&lt;=FTo,OR(DashLine="",tblRuns[[#This Row],[Line]]=DashLine)),tblRuns[[#This Row],[Date]],""))</f>
        <v>46282</v>
      </c>
      <c r="W2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5" s="43" t="s">
        <v>109</v>
      </c>
    </row>
    <row r="26" spans="2:24" x14ac:dyDescent="0.25">
      <c r="B26" s="37">
        <v>46282</v>
      </c>
      <c r="C26" s="28" t="s">
        <v>83</v>
      </c>
      <c r="D26" s="28" t="s">
        <v>80</v>
      </c>
      <c r="E26" s="34">
        <v>450</v>
      </c>
      <c r="F26" s="34">
        <v>30</v>
      </c>
      <c r="G26" s="34">
        <v>5824</v>
      </c>
      <c r="H26" s="34">
        <v>5662</v>
      </c>
      <c r="I26" s="38">
        <f>IF(tblRuns[[#This Row],[Date]]="","",IFERROR(INDEX(tblLines[Bottleneck cycle (s/unit)],MATCH(tblRuns[[#This Row],[Line]],tblLines[Line],0)),""))</f>
        <v>4</v>
      </c>
      <c r="J26" s="35">
        <f>IF(tblRuns[[#This Row],[Date]]="","",IFERROR(INDEX(tblLines[Demand per shift (units)],MATCH(tblRuns[[#This Row],[Line]],tblLines[Line],0)),""))</f>
        <v>5100</v>
      </c>
      <c r="K26" s="35">
        <f>IF(tblRuns[[#This Row],[Date]]="","",tblRuns[[#This Row],[Scheduled (min)]]-tblRuns[[#This Row],[Downtime (min)]])</f>
        <v>420</v>
      </c>
      <c r="L26" s="35">
        <f>IF(tblRuns[[#This Row],[Date]]="","",IF(ISNUMBER(tblRuns[[#This Row],[Cycle (s/unit)]]),tblRuns[[#This Row],[Scheduled (min)]]*60/tblRuns[[#This Row],[Cycle (s/unit)]],""))</f>
        <v>6750</v>
      </c>
      <c r="M26" s="35">
        <f>IF(tblRuns[[#This Row],[Date]]="","",IF(tblRuns[[#This Row],[Scheduled (min)]]&gt;0,tblRuns[[#This Row],[Good (units)]]/(tblRuns[[#This Row],[Scheduled (min)]]/60),""))</f>
        <v>754.933333333333</v>
      </c>
      <c r="N26" s="39">
        <f>IF(tblRuns[[#This Row],[Date]]="","",IF(tblRuns[[#This Row],[Scheduled (min)]]&gt;0,tblRuns[[#This Row],[Run (min)]]/tblRuns[[#This Row],[Scheduled (min)]],""))</f>
        <v>0.933333333333333</v>
      </c>
      <c r="O26" s="39">
        <f>IF(tblRuns[[#This Row],[Date]]="","",IF(tblRuns[[#This Row],[Total (units)]]&gt;0,tblRuns[[#This Row],[Good (units)]]/tblRuns[[#This Row],[Total (units)]],""))</f>
        <v>0.972184065934066</v>
      </c>
      <c r="P26" s="39">
        <f>IF(tblRuns[[#This Row],[Date]]="","",IF(N(tblRuns[[#This Row],[Theoretical (units)]])&gt;0,tblRuns[[#This Row],[Good (units)]]/tblRuns[[#This Row],[Theoretical (units)]],""))</f>
        <v>0.838814814814815</v>
      </c>
      <c r="Q26" s="35">
        <f>IF(tblRuns[[#This Row],[Date]]="","",IF(ISNUMBER(tblRuns[[#This Row],[Cycle (s/unit)]]),tblRuns[[#This Row],[Downtime (min)]]*60/tblRuns[[#This Row],[Cycle (s/unit)]],""))</f>
        <v>450</v>
      </c>
      <c r="R26" s="35">
        <f>IF(tblRuns[[#This Row],[Date]]="","",IF(ISNUMBER(tblRuns[[#This Row],[Cycle (s/unit)]]),tblRuns[[#This Row],[Run (min)]]*60/tblRuns[[#This Row],[Cycle (s/unit)]]-tblRuns[[#This Row],[Total (units)]],""))</f>
        <v>476</v>
      </c>
      <c r="S26" s="35">
        <f>IF(tblRuns[[#This Row],[Date]]="","",tblRuns[[#This Row],[Total (units)]]-tblRuns[[#This Row],[Good (units)]])</f>
        <v>162</v>
      </c>
      <c r="T26" s="39">
        <f>IF(tblRuns[[#This Row],[Date]]="","",IF(N(tblRuns[[#This Row],[Demand (units)]])&gt;0,tblRuns[[#This Row],[Good (units)]]/tblRuns[[#This Row],[Demand (units)]],""))</f>
        <v>1.11019607843137</v>
      </c>
      <c r="U26" s="40" t="str">
        <f>IF(NOT(ISNUMBER(tblRuns[[#This Row],[Demand coverage]])),"",IF(tblRuns[[#This Row],[Demand coverage]]&gt;=TargetCov,"On target",IF(tblRuns[[#This Row],[Demand coverage]]&gt;=TargetCov*(1-0.05),"Near target","Below target")))</f>
        <v>On target</v>
      </c>
      <c r="V26" s="41">
        <f>IF(tblRuns[[#This Row],[Date]]="","",IF(AND(tblRuns[[#This Row],[Date]]&gt;=FFrom,tblRuns[[#This Row],[Date]]&lt;=FTo,OR(DashLine="",tblRuns[[#This Row],[Line]]=DashLine)),tblRuns[[#This Row],[Date]],""))</f>
        <v>46282</v>
      </c>
      <c r="W2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6" s="43" t="s">
        <v>109</v>
      </c>
    </row>
    <row r="27" spans="2:24" x14ac:dyDescent="0.25">
      <c r="B27" s="37">
        <v>46282</v>
      </c>
      <c r="C27" s="28" t="s">
        <v>85</v>
      </c>
      <c r="D27" s="28" t="s">
        <v>76</v>
      </c>
      <c r="E27" s="34">
        <v>450</v>
      </c>
      <c r="F27" s="34">
        <v>15</v>
      </c>
      <c r="G27" s="34">
        <v>16375</v>
      </c>
      <c r="H27" s="34">
        <v>16036</v>
      </c>
      <c r="I27" s="38">
        <f>IF(tblRuns[[#This Row],[Date]]="","",IFERROR(INDEX(tblLines[Bottleneck cycle (s/unit)],MATCH(tblRuns[[#This Row],[Line]],tblLines[Line],0)),""))</f>
        <v>1.5</v>
      </c>
      <c r="J27" s="35">
        <f>IF(tblRuns[[#This Row],[Date]]="","",IFERROR(INDEX(tblLines[Demand per shift (units)],MATCH(tblRuns[[#This Row],[Line]],tblLines[Line],0)),""))</f>
        <v>14500</v>
      </c>
      <c r="K27" s="35">
        <f>IF(tblRuns[[#This Row],[Date]]="","",tblRuns[[#This Row],[Scheduled (min)]]-tblRuns[[#This Row],[Downtime (min)]])</f>
        <v>435</v>
      </c>
      <c r="L27" s="35">
        <f>IF(tblRuns[[#This Row],[Date]]="","",IF(ISNUMBER(tblRuns[[#This Row],[Cycle (s/unit)]]),tblRuns[[#This Row],[Scheduled (min)]]*60/tblRuns[[#This Row],[Cycle (s/unit)]],""))</f>
        <v>18000</v>
      </c>
      <c r="M27" s="35">
        <f>IF(tblRuns[[#This Row],[Date]]="","",IF(tblRuns[[#This Row],[Scheduled (min)]]&gt;0,tblRuns[[#This Row],[Good (units)]]/(tblRuns[[#This Row],[Scheduled (min)]]/60),""))</f>
        <v>2138.13333333333</v>
      </c>
      <c r="N27" s="39">
        <f>IF(tblRuns[[#This Row],[Date]]="","",IF(tblRuns[[#This Row],[Scheduled (min)]]&gt;0,tblRuns[[#This Row],[Run (min)]]/tblRuns[[#This Row],[Scheduled (min)]],""))</f>
        <v>0.966666666666667</v>
      </c>
      <c r="O27" s="39">
        <f>IF(tblRuns[[#This Row],[Date]]="","",IF(tblRuns[[#This Row],[Total (units)]]&gt;0,tblRuns[[#This Row],[Good (units)]]/tblRuns[[#This Row],[Total (units)]],""))</f>
        <v>0.979297709923664</v>
      </c>
      <c r="P27" s="39">
        <f>IF(tblRuns[[#This Row],[Date]]="","",IF(N(tblRuns[[#This Row],[Theoretical (units)]])&gt;0,tblRuns[[#This Row],[Good (units)]]/tblRuns[[#This Row],[Theoretical (units)]],""))</f>
        <v>0.890888888888889</v>
      </c>
      <c r="Q27" s="35">
        <f>IF(tblRuns[[#This Row],[Date]]="","",IF(ISNUMBER(tblRuns[[#This Row],[Cycle (s/unit)]]),tblRuns[[#This Row],[Downtime (min)]]*60/tblRuns[[#This Row],[Cycle (s/unit)]],""))</f>
        <v>600</v>
      </c>
      <c r="R27" s="35">
        <f>IF(tblRuns[[#This Row],[Date]]="","",IF(ISNUMBER(tblRuns[[#This Row],[Cycle (s/unit)]]),tblRuns[[#This Row],[Run (min)]]*60/tblRuns[[#This Row],[Cycle (s/unit)]]-tblRuns[[#This Row],[Total (units)]],""))</f>
        <v>1025</v>
      </c>
      <c r="S27" s="35">
        <f>IF(tblRuns[[#This Row],[Date]]="","",tblRuns[[#This Row],[Total (units)]]-tblRuns[[#This Row],[Good (units)]])</f>
        <v>339</v>
      </c>
      <c r="T27" s="39">
        <f>IF(tblRuns[[#This Row],[Date]]="","",IF(N(tblRuns[[#This Row],[Demand (units)]])&gt;0,tblRuns[[#This Row],[Good (units)]]/tblRuns[[#This Row],[Demand (units)]],""))</f>
        <v>1.10593103448276</v>
      </c>
      <c r="U27" s="40" t="str">
        <f>IF(NOT(ISNUMBER(tblRuns[[#This Row],[Demand coverage]])),"",IF(tblRuns[[#This Row],[Demand coverage]]&gt;=TargetCov,"On target",IF(tblRuns[[#This Row],[Demand coverage]]&gt;=TargetCov*(1-0.05),"Near target","Below target")))</f>
        <v>On target</v>
      </c>
      <c r="V27" s="41">
        <f>IF(tblRuns[[#This Row],[Date]]="","",IF(AND(tblRuns[[#This Row],[Date]]&gt;=FFrom,tblRuns[[#This Row],[Date]]&lt;=FTo,OR(DashLine="",tblRuns[[#This Row],[Line]]=DashLine)),tblRuns[[#This Row],[Date]],""))</f>
        <v>46282</v>
      </c>
      <c r="W2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7" s="43" t="s">
        <v>109</v>
      </c>
    </row>
    <row r="28" spans="2:24" x14ac:dyDescent="0.25">
      <c r="B28" s="37">
        <v>46282</v>
      </c>
      <c r="C28" s="28" t="s">
        <v>85</v>
      </c>
      <c r="D28" s="28" t="s">
        <v>78</v>
      </c>
      <c r="E28" s="34">
        <v>450</v>
      </c>
      <c r="F28" s="34">
        <v>155</v>
      </c>
      <c r="G28" s="34">
        <v>5644</v>
      </c>
      <c r="H28" s="34">
        <v>5630</v>
      </c>
      <c r="I28" s="38">
        <f>IF(tblRuns[[#This Row],[Date]]="","",IFERROR(INDEX(tblLines[Bottleneck cycle (s/unit)],MATCH(tblRuns[[#This Row],[Line]],tblLines[Line],0)),""))</f>
        <v>3</v>
      </c>
      <c r="J28" s="35">
        <f>IF(tblRuns[[#This Row],[Date]]="","",IFERROR(INDEX(tblLines[Demand per shift (units)],MATCH(tblRuns[[#This Row],[Line]],tblLines[Line],0)),""))</f>
        <v>6600</v>
      </c>
      <c r="K28" s="35">
        <f>IF(tblRuns[[#This Row],[Date]]="","",tblRuns[[#This Row],[Scheduled (min)]]-tblRuns[[#This Row],[Downtime (min)]])</f>
        <v>295</v>
      </c>
      <c r="L28" s="35">
        <f>IF(tblRuns[[#This Row],[Date]]="","",IF(ISNUMBER(tblRuns[[#This Row],[Cycle (s/unit)]]),tblRuns[[#This Row],[Scheduled (min)]]*60/tblRuns[[#This Row],[Cycle (s/unit)]],""))</f>
        <v>9000</v>
      </c>
      <c r="M28" s="35">
        <f>IF(tblRuns[[#This Row],[Date]]="","",IF(tblRuns[[#This Row],[Scheduled (min)]]&gt;0,tblRuns[[#This Row],[Good (units)]]/(tblRuns[[#This Row],[Scheduled (min)]]/60),""))</f>
        <v>750.666666666667</v>
      </c>
      <c r="N28" s="39">
        <f>IF(tblRuns[[#This Row],[Date]]="","",IF(tblRuns[[#This Row],[Scheduled (min)]]&gt;0,tblRuns[[#This Row],[Run (min)]]/tblRuns[[#This Row],[Scheduled (min)]],""))</f>
        <v>0.655555555555556</v>
      </c>
      <c r="O28" s="39">
        <f>IF(tblRuns[[#This Row],[Date]]="","",IF(tblRuns[[#This Row],[Total (units)]]&gt;0,tblRuns[[#This Row],[Good (units)]]/tblRuns[[#This Row],[Total (units)]],""))</f>
        <v>0.9975194897236</v>
      </c>
      <c r="P28" s="39">
        <f>IF(tblRuns[[#This Row],[Date]]="","",IF(N(tblRuns[[#This Row],[Theoretical (units)]])&gt;0,tblRuns[[#This Row],[Good (units)]]/tblRuns[[#This Row],[Theoretical (units)]],""))</f>
        <v>0.625555555555556</v>
      </c>
      <c r="Q28" s="35">
        <f>IF(tblRuns[[#This Row],[Date]]="","",IF(ISNUMBER(tblRuns[[#This Row],[Cycle (s/unit)]]),tblRuns[[#This Row],[Downtime (min)]]*60/tblRuns[[#This Row],[Cycle (s/unit)]],""))</f>
        <v>3100</v>
      </c>
      <c r="R28" s="35">
        <f>IF(tblRuns[[#This Row],[Date]]="","",IF(ISNUMBER(tblRuns[[#This Row],[Cycle (s/unit)]]),tblRuns[[#This Row],[Run (min)]]*60/tblRuns[[#This Row],[Cycle (s/unit)]]-tblRuns[[#This Row],[Total (units)]],""))</f>
        <v>256</v>
      </c>
      <c r="S28" s="35">
        <f>IF(tblRuns[[#This Row],[Date]]="","",tblRuns[[#This Row],[Total (units)]]-tblRuns[[#This Row],[Good (units)]])</f>
        <v>14</v>
      </c>
      <c r="T28" s="39">
        <f>IF(tblRuns[[#This Row],[Date]]="","",IF(N(tblRuns[[#This Row],[Demand (units)]])&gt;0,tblRuns[[#This Row],[Good (units)]]/tblRuns[[#This Row],[Demand (units)]],""))</f>
        <v>0.853030303030303</v>
      </c>
      <c r="U28" s="40" t="str">
        <f>IF(NOT(ISNUMBER(tblRuns[[#This Row],[Demand coverage]])),"",IF(tblRuns[[#This Row],[Demand coverage]]&gt;=TargetCov,"On target",IF(tblRuns[[#This Row],[Demand coverage]]&gt;=TargetCov*(1-0.05),"Near target","Below target")))</f>
        <v>Below target</v>
      </c>
      <c r="V28" s="41">
        <f>IF(tblRuns[[#This Row],[Date]]="","",IF(AND(tblRuns[[#This Row],[Date]]&gt;=FFrom,tblRuns[[#This Row],[Date]]&lt;=FTo,OR(DashLine="",tblRuns[[#This Row],[Line]]=DashLine)),tblRuns[[#This Row],[Date]],""))</f>
        <v>46282</v>
      </c>
      <c r="W2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8" s="43" t="s">
        <v>110</v>
      </c>
    </row>
    <row r="29" spans="2:24" x14ac:dyDescent="0.25">
      <c r="B29" s="37">
        <v>46282</v>
      </c>
      <c r="C29" s="28" t="s">
        <v>85</v>
      </c>
      <c r="D29" s="28" t="s">
        <v>80</v>
      </c>
      <c r="E29" s="34">
        <v>450</v>
      </c>
      <c r="F29" s="34">
        <v>25</v>
      </c>
      <c r="G29" s="34">
        <v>5753</v>
      </c>
      <c r="H29" s="34">
        <v>5624</v>
      </c>
      <c r="I29" s="38">
        <f>IF(tblRuns[[#This Row],[Date]]="","",IFERROR(INDEX(tblLines[Bottleneck cycle (s/unit)],MATCH(tblRuns[[#This Row],[Line]],tblLines[Line],0)),""))</f>
        <v>4</v>
      </c>
      <c r="J29" s="35">
        <f>IF(tblRuns[[#This Row],[Date]]="","",IFERROR(INDEX(tblLines[Demand per shift (units)],MATCH(tblRuns[[#This Row],[Line]],tblLines[Line],0)),""))</f>
        <v>5100</v>
      </c>
      <c r="K29" s="35">
        <f>IF(tblRuns[[#This Row],[Date]]="","",tblRuns[[#This Row],[Scheduled (min)]]-tblRuns[[#This Row],[Downtime (min)]])</f>
        <v>425</v>
      </c>
      <c r="L29" s="35">
        <f>IF(tblRuns[[#This Row],[Date]]="","",IF(ISNUMBER(tblRuns[[#This Row],[Cycle (s/unit)]]),tblRuns[[#This Row],[Scheduled (min)]]*60/tblRuns[[#This Row],[Cycle (s/unit)]],""))</f>
        <v>6750</v>
      </c>
      <c r="M29" s="35">
        <f>IF(tblRuns[[#This Row],[Date]]="","",IF(tblRuns[[#This Row],[Scheduled (min)]]&gt;0,tblRuns[[#This Row],[Good (units)]]/(tblRuns[[#This Row],[Scheduled (min)]]/60),""))</f>
        <v>749.866666666667</v>
      </c>
      <c r="N29" s="39">
        <f>IF(tblRuns[[#This Row],[Date]]="","",IF(tblRuns[[#This Row],[Scheduled (min)]]&gt;0,tblRuns[[#This Row],[Run (min)]]/tblRuns[[#This Row],[Scheduled (min)]],""))</f>
        <v>0.944444444444444</v>
      </c>
      <c r="O29" s="39">
        <f>IF(tblRuns[[#This Row],[Date]]="","",IF(tblRuns[[#This Row],[Total (units)]]&gt;0,tblRuns[[#This Row],[Good (units)]]/tblRuns[[#This Row],[Total (units)]],""))</f>
        <v>0.977576916391448</v>
      </c>
      <c r="P29" s="39">
        <f>IF(tblRuns[[#This Row],[Date]]="","",IF(N(tblRuns[[#This Row],[Theoretical (units)]])&gt;0,tblRuns[[#This Row],[Good (units)]]/tblRuns[[#This Row],[Theoretical (units)]],""))</f>
        <v>0.833185185185185</v>
      </c>
      <c r="Q29" s="35">
        <f>IF(tblRuns[[#This Row],[Date]]="","",IF(ISNUMBER(tblRuns[[#This Row],[Cycle (s/unit)]]),tblRuns[[#This Row],[Downtime (min)]]*60/tblRuns[[#This Row],[Cycle (s/unit)]],""))</f>
        <v>375</v>
      </c>
      <c r="R29" s="35">
        <f>IF(tblRuns[[#This Row],[Date]]="","",IF(ISNUMBER(tblRuns[[#This Row],[Cycle (s/unit)]]),tblRuns[[#This Row],[Run (min)]]*60/tblRuns[[#This Row],[Cycle (s/unit)]]-tblRuns[[#This Row],[Total (units)]],""))</f>
        <v>622</v>
      </c>
      <c r="S29" s="35">
        <f>IF(tblRuns[[#This Row],[Date]]="","",tblRuns[[#This Row],[Total (units)]]-tblRuns[[#This Row],[Good (units)]])</f>
        <v>129</v>
      </c>
      <c r="T29" s="39">
        <f>IF(tblRuns[[#This Row],[Date]]="","",IF(N(tblRuns[[#This Row],[Demand (units)]])&gt;0,tblRuns[[#This Row],[Good (units)]]/tblRuns[[#This Row],[Demand (units)]],""))</f>
        <v>1.10274509803922</v>
      </c>
      <c r="U29" s="40" t="str">
        <f>IF(NOT(ISNUMBER(tblRuns[[#This Row],[Demand coverage]])),"",IF(tblRuns[[#This Row],[Demand coverage]]&gt;=TargetCov,"On target",IF(tblRuns[[#This Row],[Demand coverage]]&gt;=TargetCov*(1-0.05),"Near target","Below target")))</f>
        <v>On target</v>
      </c>
      <c r="V29" s="41">
        <f>IF(tblRuns[[#This Row],[Date]]="","",IF(AND(tblRuns[[#This Row],[Date]]&gt;=FFrom,tblRuns[[#This Row],[Date]]&lt;=FTo,OR(DashLine="",tblRuns[[#This Row],[Line]]=DashLine)),tblRuns[[#This Row],[Date]],""))</f>
        <v>46282</v>
      </c>
      <c r="W2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29" s="43" t="s">
        <v>109</v>
      </c>
    </row>
    <row r="30" spans="2:24" x14ac:dyDescent="0.25">
      <c r="B30" s="37">
        <v>46283</v>
      </c>
      <c r="C30" s="28" t="s">
        <v>83</v>
      </c>
      <c r="D30" s="28" t="s">
        <v>76</v>
      </c>
      <c r="E30" s="34">
        <v>450</v>
      </c>
      <c r="F30" s="34">
        <v>45</v>
      </c>
      <c r="G30" s="34">
        <v>14702</v>
      </c>
      <c r="H30" s="34">
        <v>14368</v>
      </c>
      <c r="I30" s="38">
        <f>IF(tblRuns[[#This Row],[Date]]="","",IFERROR(INDEX(tblLines[Bottleneck cycle (s/unit)],MATCH(tblRuns[[#This Row],[Line]],tblLines[Line],0)),""))</f>
        <v>1.5</v>
      </c>
      <c r="J30" s="35">
        <f>IF(tblRuns[[#This Row],[Date]]="","",IFERROR(INDEX(tblLines[Demand per shift (units)],MATCH(tblRuns[[#This Row],[Line]],tblLines[Line],0)),""))</f>
        <v>14500</v>
      </c>
      <c r="K30" s="35">
        <f>IF(tblRuns[[#This Row],[Date]]="","",tblRuns[[#This Row],[Scheduled (min)]]-tblRuns[[#This Row],[Downtime (min)]])</f>
        <v>405</v>
      </c>
      <c r="L30" s="35">
        <f>IF(tblRuns[[#This Row],[Date]]="","",IF(ISNUMBER(tblRuns[[#This Row],[Cycle (s/unit)]]),tblRuns[[#This Row],[Scheduled (min)]]*60/tblRuns[[#This Row],[Cycle (s/unit)]],""))</f>
        <v>18000</v>
      </c>
      <c r="M30" s="35">
        <f>IF(tblRuns[[#This Row],[Date]]="","",IF(tblRuns[[#This Row],[Scheduled (min)]]&gt;0,tblRuns[[#This Row],[Good (units)]]/(tblRuns[[#This Row],[Scheduled (min)]]/60),""))</f>
        <v>1915.73333333333</v>
      </c>
      <c r="N30" s="39">
        <f>IF(tblRuns[[#This Row],[Date]]="","",IF(tblRuns[[#This Row],[Scheduled (min)]]&gt;0,tblRuns[[#This Row],[Run (min)]]/tblRuns[[#This Row],[Scheduled (min)]],""))</f>
        <v>0.9</v>
      </c>
      <c r="O30" s="39">
        <f>IF(tblRuns[[#This Row],[Date]]="","",IF(tblRuns[[#This Row],[Total (units)]]&gt;0,tblRuns[[#This Row],[Good (units)]]/tblRuns[[#This Row],[Total (units)]],""))</f>
        <v>0.977282002448647</v>
      </c>
      <c r="P30" s="39">
        <f>IF(tblRuns[[#This Row],[Date]]="","",IF(N(tblRuns[[#This Row],[Theoretical (units)]])&gt;0,tblRuns[[#This Row],[Good (units)]]/tblRuns[[#This Row],[Theoretical (units)]],""))</f>
        <v>0.798222222222222</v>
      </c>
      <c r="Q30" s="35">
        <f>IF(tblRuns[[#This Row],[Date]]="","",IF(ISNUMBER(tblRuns[[#This Row],[Cycle (s/unit)]]),tblRuns[[#This Row],[Downtime (min)]]*60/tblRuns[[#This Row],[Cycle (s/unit)]],""))</f>
        <v>1800</v>
      </c>
      <c r="R30" s="35">
        <f>IF(tblRuns[[#This Row],[Date]]="","",IF(ISNUMBER(tblRuns[[#This Row],[Cycle (s/unit)]]),tblRuns[[#This Row],[Run (min)]]*60/tblRuns[[#This Row],[Cycle (s/unit)]]-tblRuns[[#This Row],[Total (units)]],""))</f>
        <v>1498</v>
      </c>
      <c r="S30" s="35">
        <f>IF(tblRuns[[#This Row],[Date]]="","",tblRuns[[#This Row],[Total (units)]]-tblRuns[[#This Row],[Good (units)]])</f>
        <v>334</v>
      </c>
      <c r="T30" s="39">
        <f>IF(tblRuns[[#This Row],[Date]]="","",IF(N(tblRuns[[#This Row],[Demand (units)]])&gt;0,tblRuns[[#This Row],[Good (units)]]/tblRuns[[#This Row],[Demand (units)]],""))</f>
        <v>0.990896551724138</v>
      </c>
      <c r="U30" s="40" t="str">
        <f>IF(NOT(ISNUMBER(tblRuns[[#This Row],[Demand coverage]])),"",IF(tblRuns[[#This Row],[Demand coverage]]&gt;=TargetCov,"On target",IF(tblRuns[[#This Row],[Demand coverage]]&gt;=TargetCov*(1-0.05),"Near target","Below target")))</f>
        <v>Near target</v>
      </c>
      <c r="V30" s="41">
        <f>IF(tblRuns[[#This Row],[Date]]="","",IF(AND(tblRuns[[#This Row],[Date]]&gt;=FFrom,tblRuns[[#This Row],[Date]]&lt;=FTo,OR(DashLine="",tblRuns[[#This Row],[Line]]=DashLine)),tblRuns[[#This Row],[Date]],""))</f>
        <v>46283</v>
      </c>
      <c r="W3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0" s="43" t="s">
        <v>109</v>
      </c>
    </row>
    <row r="31" spans="2:24" x14ac:dyDescent="0.25">
      <c r="B31" s="37">
        <v>46283</v>
      </c>
      <c r="C31" s="28" t="s">
        <v>83</v>
      </c>
      <c r="D31" s="28" t="s">
        <v>78</v>
      </c>
      <c r="E31" s="34">
        <v>450</v>
      </c>
      <c r="F31" s="34">
        <v>110</v>
      </c>
      <c r="G31" s="34">
        <v>6309</v>
      </c>
      <c r="H31" s="34">
        <v>6274</v>
      </c>
      <c r="I31" s="38">
        <f>IF(tblRuns[[#This Row],[Date]]="","",IFERROR(INDEX(tblLines[Bottleneck cycle (s/unit)],MATCH(tblRuns[[#This Row],[Line]],tblLines[Line],0)),""))</f>
        <v>3</v>
      </c>
      <c r="J31" s="35">
        <f>IF(tblRuns[[#This Row],[Date]]="","",IFERROR(INDEX(tblLines[Demand per shift (units)],MATCH(tblRuns[[#This Row],[Line]],tblLines[Line],0)),""))</f>
        <v>6600</v>
      </c>
      <c r="K31" s="35">
        <f>IF(tblRuns[[#This Row],[Date]]="","",tblRuns[[#This Row],[Scheduled (min)]]-tblRuns[[#This Row],[Downtime (min)]])</f>
        <v>340</v>
      </c>
      <c r="L31" s="35">
        <f>IF(tblRuns[[#This Row],[Date]]="","",IF(ISNUMBER(tblRuns[[#This Row],[Cycle (s/unit)]]),tblRuns[[#This Row],[Scheduled (min)]]*60/tblRuns[[#This Row],[Cycle (s/unit)]],""))</f>
        <v>9000</v>
      </c>
      <c r="M31" s="35">
        <f>IF(tblRuns[[#This Row],[Date]]="","",IF(tblRuns[[#This Row],[Scheduled (min)]]&gt;0,tblRuns[[#This Row],[Good (units)]]/(tblRuns[[#This Row],[Scheduled (min)]]/60),""))</f>
        <v>836.533333333333</v>
      </c>
      <c r="N31" s="39">
        <f>IF(tblRuns[[#This Row],[Date]]="","",IF(tblRuns[[#This Row],[Scheduled (min)]]&gt;0,tblRuns[[#This Row],[Run (min)]]/tblRuns[[#This Row],[Scheduled (min)]],""))</f>
        <v>0.755555555555556</v>
      </c>
      <c r="O31" s="39">
        <f>IF(tblRuns[[#This Row],[Date]]="","",IF(tblRuns[[#This Row],[Total (units)]]&gt;0,tblRuns[[#This Row],[Good (units)]]/tblRuns[[#This Row],[Total (units)]],""))</f>
        <v>0.994452369630686</v>
      </c>
      <c r="P31" s="39">
        <f>IF(tblRuns[[#This Row],[Date]]="","",IF(N(tblRuns[[#This Row],[Theoretical (units)]])&gt;0,tblRuns[[#This Row],[Good (units)]]/tblRuns[[#This Row],[Theoretical (units)]],""))</f>
        <v>0.697111111111111</v>
      </c>
      <c r="Q31" s="35">
        <f>IF(tblRuns[[#This Row],[Date]]="","",IF(ISNUMBER(tblRuns[[#This Row],[Cycle (s/unit)]]),tblRuns[[#This Row],[Downtime (min)]]*60/tblRuns[[#This Row],[Cycle (s/unit)]],""))</f>
        <v>2200</v>
      </c>
      <c r="R31" s="35">
        <f>IF(tblRuns[[#This Row],[Date]]="","",IF(ISNUMBER(tblRuns[[#This Row],[Cycle (s/unit)]]),tblRuns[[#This Row],[Run (min)]]*60/tblRuns[[#This Row],[Cycle (s/unit)]]-tblRuns[[#This Row],[Total (units)]],""))</f>
        <v>491</v>
      </c>
      <c r="S31" s="35">
        <f>IF(tblRuns[[#This Row],[Date]]="","",tblRuns[[#This Row],[Total (units)]]-tblRuns[[#This Row],[Good (units)]])</f>
        <v>35</v>
      </c>
      <c r="T31" s="39">
        <f>IF(tblRuns[[#This Row],[Date]]="","",IF(N(tblRuns[[#This Row],[Demand (units)]])&gt;0,tblRuns[[#This Row],[Good (units)]]/tblRuns[[#This Row],[Demand (units)]],""))</f>
        <v>0.950606060606061</v>
      </c>
      <c r="U31" s="40" t="str">
        <f>IF(NOT(ISNUMBER(tblRuns[[#This Row],[Demand coverage]])),"",IF(tblRuns[[#This Row],[Demand coverage]]&gt;=TargetCov,"On target",IF(tblRuns[[#This Row],[Demand coverage]]&gt;=TargetCov*(1-0.05),"Near target","Below target")))</f>
        <v>Near target</v>
      </c>
      <c r="V31" s="41">
        <f>IF(tblRuns[[#This Row],[Date]]="","",IF(AND(tblRuns[[#This Row],[Date]]&gt;=FFrom,tblRuns[[#This Row],[Date]]&lt;=FTo,OR(DashLine="",tblRuns[[#This Row],[Line]]=DashLine)),tblRuns[[#This Row],[Date]],""))</f>
        <v>46283</v>
      </c>
      <c r="W3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1" s="43" t="s">
        <v>109</v>
      </c>
    </row>
    <row r="32" spans="2:24" x14ac:dyDescent="0.25">
      <c r="B32" s="37">
        <v>46283</v>
      </c>
      <c r="C32" s="28" t="s">
        <v>83</v>
      </c>
      <c r="D32" s="28" t="s">
        <v>80</v>
      </c>
      <c r="E32" s="34">
        <v>450</v>
      </c>
      <c r="F32" s="34">
        <v>50</v>
      </c>
      <c r="G32" s="34">
        <v>5512</v>
      </c>
      <c r="H32" s="34">
        <v>5322</v>
      </c>
      <c r="I32" s="38">
        <f>IF(tblRuns[[#This Row],[Date]]="","",IFERROR(INDEX(tblLines[Bottleneck cycle (s/unit)],MATCH(tblRuns[[#This Row],[Line]],tblLines[Line],0)),""))</f>
        <v>4</v>
      </c>
      <c r="J32" s="35">
        <f>IF(tblRuns[[#This Row],[Date]]="","",IFERROR(INDEX(tblLines[Demand per shift (units)],MATCH(tblRuns[[#This Row],[Line]],tblLines[Line],0)),""))</f>
        <v>5100</v>
      </c>
      <c r="K32" s="35">
        <f>IF(tblRuns[[#This Row],[Date]]="","",tblRuns[[#This Row],[Scheduled (min)]]-tblRuns[[#This Row],[Downtime (min)]])</f>
        <v>400</v>
      </c>
      <c r="L32" s="35">
        <f>IF(tblRuns[[#This Row],[Date]]="","",IF(ISNUMBER(tblRuns[[#This Row],[Cycle (s/unit)]]),tblRuns[[#This Row],[Scheduled (min)]]*60/tblRuns[[#This Row],[Cycle (s/unit)]],""))</f>
        <v>6750</v>
      </c>
      <c r="M32" s="35">
        <f>IF(tblRuns[[#This Row],[Date]]="","",IF(tblRuns[[#This Row],[Scheduled (min)]]&gt;0,tblRuns[[#This Row],[Good (units)]]/(tblRuns[[#This Row],[Scheduled (min)]]/60),""))</f>
        <v>709.6</v>
      </c>
      <c r="N32" s="39">
        <f>IF(tblRuns[[#This Row],[Date]]="","",IF(tblRuns[[#This Row],[Scheduled (min)]]&gt;0,tblRuns[[#This Row],[Run (min)]]/tblRuns[[#This Row],[Scheduled (min)]],""))</f>
        <v>0.888888888888889</v>
      </c>
      <c r="O32" s="39">
        <f>IF(tblRuns[[#This Row],[Date]]="","",IF(tblRuns[[#This Row],[Total (units)]]&gt;0,tblRuns[[#This Row],[Good (units)]]/tblRuns[[#This Row],[Total (units)]],""))</f>
        <v>0.965529753265602</v>
      </c>
      <c r="P32" s="39">
        <f>IF(tblRuns[[#This Row],[Date]]="","",IF(N(tblRuns[[#This Row],[Theoretical (units)]])&gt;0,tblRuns[[#This Row],[Good (units)]]/tblRuns[[#This Row],[Theoretical (units)]],""))</f>
        <v>0.788444444444444</v>
      </c>
      <c r="Q32" s="35">
        <f>IF(tblRuns[[#This Row],[Date]]="","",IF(ISNUMBER(tblRuns[[#This Row],[Cycle (s/unit)]]),tblRuns[[#This Row],[Downtime (min)]]*60/tblRuns[[#This Row],[Cycle (s/unit)]],""))</f>
        <v>750</v>
      </c>
      <c r="R32" s="35">
        <f>IF(tblRuns[[#This Row],[Date]]="","",IF(ISNUMBER(tblRuns[[#This Row],[Cycle (s/unit)]]),tblRuns[[#This Row],[Run (min)]]*60/tblRuns[[#This Row],[Cycle (s/unit)]]-tblRuns[[#This Row],[Total (units)]],""))</f>
        <v>488</v>
      </c>
      <c r="S32" s="35">
        <f>IF(tblRuns[[#This Row],[Date]]="","",tblRuns[[#This Row],[Total (units)]]-tblRuns[[#This Row],[Good (units)]])</f>
        <v>190</v>
      </c>
      <c r="T32" s="39">
        <f>IF(tblRuns[[#This Row],[Date]]="","",IF(N(tblRuns[[#This Row],[Demand (units)]])&gt;0,tblRuns[[#This Row],[Good (units)]]/tblRuns[[#This Row],[Demand (units)]],""))</f>
        <v>1.04352941176471</v>
      </c>
      <c r="U32" s="40" t="str">
        <f>IF(NOT(ISNUMBER(tblRuns[[#This Row],[Demand coverage]])),"",IF(tblRuns[[#This Row],[Demand coverage]]&gt;=TargetCov,"On target",IF(tblRuns[[#This Row],[Demand coverage]]&gt;=TargetCov*(1-0.05),"Near target","Below target")))</f>
        <v>On target</v>
      </c>
      <c r="V32" s="41">
        <f>IF(tblRuns[[#This Row],[Date]]="","",IF(AND(tblRuns[[#This Row],[Date]]&gt;=FFrom,tblRuns[[#This Row],[Date]]&lt;=FTo,OR(DashLine="",tblRuns[[#This Row],[Line]]=DashLine)),tblRuns[[#This Row],[Date]],""))</f>
        <v>46283</v>
      </c>
      <c r="W3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2" s="43" t="s">
        <v>109</v>
      </c>
    </row>
    <row r="33" spans="2:24" x14ac:dyDescent="0.25">
      <c r="B33" s="37">
        <v>46283</v>
      </c>
      <c r="C33" s="28" t="s">
        <v>85</v>
      </c>
      <c r="D33" s="28" t="s">
        <v>76</v>
      </c>
      <c r="E33" s="34">
        <v>450</v>
      </c>
      <c r="F33" s="34">
        <v>10</v>
      </c>
      <c r="G33" s="34">
        <v>15565</v>
      </c>
      <c r="H33" s="34">
        <v>15203</v>
      </c>
      <c r="I33" s="38">
        <f>IF(tblRuns[[#This Row],[Date]]="","",IFERROR(INDEX(tblLines[Bottleneck cycle (s/unit)],MATCH(tblRuns[[#This Row],[Line]],tblLines[Line],0)),""))</f>
        <v>1.5</v>
      </c>
      <c r="J33" s="35">
        <f>IF(tblRuns[[#This Row],[Date]]="","",IFERROR(INDEX(tblLines[Demand per shift (units)],MATCH(tblRuns[[#This Row],[Line]],tblLines[Line],0)),""))</f>
        <v>14500</v>
      </c>
      <c r="K33" s="35">
        <f>IF(tblRuns[[#This Row],[Date]]="","",tblRuns[[#This Row],[Scheduled (min)]]-tblRuns[[#This Row],[Downtime (min)]])</f>
        <v>440</v>
      </c>
      <c r="L33" s="35">
        <f>IF(tblRuns[[#This Row],[Date]]="","",IF(ISNUMBER(tblRuns[[#This Row],[Cycle (s/unit)]]),tblRuns[[#This Row],[Scheduled (min)]]*60/tblRuns[[#This Row],[Cycle (s/unit)]],""))</f>
        <v>18000</v>
      </c>
      <c r="M33" s="35">
        <f>IF(tblRuns[[#This Row],[Date]]="","",IF(tblRuns[[#This Row],[Scheduled (min)]]&gt;0,tblRuns[[#This Row],[Good (units)]]/(tblRuns[[#This Row],[Scheduled (min)]]/60),""))</f>
        <v>2027.06666666667</v>
      </c>
      <c r="N33" s="39">
        <f>IF(tblRuns[[#This Row],[Date]]="","",IF(tblRuns[[#This Row],[Scheduled (min)]]&gt;0,tblRuns[[#This Row],[Run (min)]]/tblRuns[[#This Row],[Scheduled (min)]],""))</f>
        <v>0.977777777777778</v>
      </c>
      <c r="O33" s="39">
        <f>IF(tblRuns[[#This Row],[Date]]="","",IF(tblRuns[[#This Row],[Total (units)]]&gt;0,tblRuns[[#This Row],[Good (units)]]/tblRuns[[#This Row],[Total (units)]],""))</f>
        <v>0.976742691937038</v>
      </c>
      <c r="P33" s="39">
        <f>IF(tblRuns[[#This Row],[Date]]="","",IF(N(tblRuns[[#This Row],[Theoretical (units)]])&gt;0,tblRuns[[#This Row],[Good (units)]]/tblRuns[[#This Row],[Theoretical (units)]],""))</f>
        <v>0.844611111111111</v>
      </c>
      <c r="Q33" s="35">
        <f>IF(tblRuns[[#This Row],[Date]]="","",IF(ISNUMBER(tblRuns[[#This Row],[Cycle (s/unit)]]),tblRuns[[#This Row],[Downtime (min)]]*60/tblRuns[[#This Row],[Cycle (s/unit)]],""))</f>
        <v>400</v>
      </c>
      <c r="R33" s="35">
        <f>IF(tblRuns[[#This Row],[Date]]="","",IF(ISNUMBER(tblRuns[[#This Row],[Cycle (s/unit)]]),tblRuns[[#This Row],[Run (min)]]*60/tblRuns[[#This Row],[Cycle (s/unit)]]-tblRuns[[#This Row],[Total (units)]],""))</f>
        <v>2035</v>
      </c>
      <c r="S33" s="35">
        <f>IF(tblRuns[[#This Row],[Date]]="","",tblRuns[[#This Row],[Total (units)]]-tblRuns[[#This Row],[Good (units)]])</f>
        <v>362</v>
      </c>
      <c r="T33" s="39">
        <f>IF(tblRuns[[#This Row],[Date]]="","",IF(N(tblRuns[[#This Row],[Demand (units)]])&gt;0,tblRuns[[#This Row],[Good (units)]]/tblRuns[[#This Row],[Demand (units)]],""))</f>
        <v>1.04848275862069</v>
      </c>
      <c r="U33" s="40" t="str">
        <f>IF(NOT(ISNUMBER(tblRuns[[#This Row],[Demand coverage]])),"",IF(tblRuns[[#This Row],[Demand coverage]]&gt;=TargetCov,"On target",IF(tblRuns[[#This Row],[Demand coverage]]&gt;=TargetCov*(1-0.05),"Near target","Below target")))</f>
        <v>On target</v>
      </c>
      <c r="V33" s="41">
        <f>IF(tblRuns[[#This Row],[Date]]="","",IF(AND(tblRuns[[#This Row],[Date]]&gt;=FFrom,tblRuns[[#This Row],[Date]]&lt;=FTo,OR(DashLine="",tblRuns[[#This Row],[Line]]=DashLine)),tblRuns[[#This Row],[Date]],""))</f>
        <v>46283</v>
      </c>
      <c r="W3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3" s="43" t="s">
        <v>109</v>
      </c>
    </row>
    <row r="34" spans="2:24" x14ac:dyDescent="0.25">
      <c r="B34" s="37">
        <v>46283</v>
      </c>
      <c r="C34" s="28" t="s">
        <v>85</v>
      </c>
      <c r="D34" s="28" t="s">
        <v>78</v>
      </c>
      <c r="E34" s="34">
        <v>450</v>
      </c>
      <c r="F34" s="34">
        <v>130</v>
      </c>
      <c r="G34" s="34">
        <v>5936</v>
      </c>
      <c r="H34" s="34">
        <v>5917</v>
      </c>
      <c r="I34" s="38">
        <f>IF(tblRuns[[#This Row],[Date]]="","",IFERROR(INDEX(tblLines[Bottleneck cycle (s/unit)],MATCH(tblRuns[[#This Row],[Line]],tblLines[Line],0)),""))</f>
        <v>3</v>
      </c>
      <c r="J34" s="35">
        <f>IF(tblRuns[[#This Row],[Date]]="","",IFERROR(INDEX(tblLines[Demand per shift (units)],MATCH(tblRuns[[#This Row],[Line]],tblLines[Line],0)),""))</f>
        <v>6600</v>
      </c>
      <c r="K34" s="35">
        <f>IF(tblRuns[[#This Row],[Date]]="","",tblRuns[[#This Row],[Scheduled (min)]]-tblRuns[[#This Row],[Downtime (min)]])</f>
        <v>320</v>
      </c>
      <c r="L34" s="35">
        <f>IF(tblRuns[[#This Row],[Date]]="","",IF(ISNUMBER(tblRuns[[#This Row],[Cycle (s/unit)]]),tblRuns[[#This Row],[Scheduled (min)]]*60/tblRuns[[#This Row],[Cycle (s/unit)]],""))</f>
        <v>9000</v>
      </c>
      <c r="M34" s="35">
        <f>IF(tblRuns[[#This Row],[Date]]="","",IF(tblRuns[[#This Row],[Scheduled (min)]]&gt;0,tblRuns[[#This Row],[Good (units)]]/(tblRuns[[#This Row],[Scheduled (min)]]/60),""))</f>
        <v>788.933333333333</v>
      </c>
      <c r="N34" s="39">
        <f>IF(tblRuns[[#This Row],[Date]]="","",IF(tblRuns[[#This Row],[Scheduled (min)]]&gt;0,tblRuns[[#This Row],[Run (min)]]/tblRuns[[#This Row],[Scheduled (min)]],""))</f>
        <v>0.711111111111111</v>
      </c>
      <c r="O34" s="39">
        <f>IF(tblRuns[[#This Row],[Date]]="","",IF(tblRuns[[#This Row],[Total (units)]]&gt;0,tblRuns[[#This Row],[Good (units)]]/tblRuns[[#This Row],[Total (units)]],""))</f>
        <v>0.996799191374663</v>
      </c>
      <c r="P34" s="39">
        <f>IF(tblRuns[[#This Row],[Date]]="","",IF(N(tblRuns[[#This Row],[Theoretical (units)]])&gt;0,tblRuns[[#This Row],[Good (units)]]/tblRuns[[#This Row],[Theoretical (units)]],""))</f>
        <v>0.657444444444445</v>
      </c>
      <c r="Q34" s="35">
        <f>IF(tblRuns[[#This Row],[Date]]="","",IF(ISNUMBER(tblRuns[[#This Row],[Cycle (s/unit)]]),tblRuns[[#This Row],[Downtime (min)]]*60/tblRuns[[#This Row],[Cycle (s/unit)]],""))</f>
        <v>2600</v>
      </c>
      <c r="R34" s="35">
        <f>IF(tblRuns[[#This Row],[Date]]="","",IF(ISNUMBER(tblRuns[[#This Row],[Cycle (s/unit)]]),tblRuns[[#This Row],[Run (min)]]*60/tblRuns[[#This Row],[Cycle (s/unit)]]-tblRuns[[#This Row],[Total (units)]],""))</f>
        <v>464</v>
      </c>
      <c r="S34" s="35">
        <f>IF(tblRuns[[#This Row],[Date]]="","",tblRuns[[#This Row],[Total (units)]]-tblRuns[[#This Row],[Good (units)]])</f>
        <v>19</v>
      </c>
      <c r="T34" s="39">
        <f>IF(tblRuns[[#This Row],[Date]]="","",IF(N(tblRuns[[#This Row],[Demand (units)]])&gt;0,tblRuns[[#This Row],[Good (units)]]/tblRuns[[#This Row],[Demand (units)]],""))</f>
        <v>0.896515151515152</v>
      </c>
      <c r="U34" s="40" t="str">
        <f>IF(NOT(ISNUMBER(tblRuns[[#This Row],[Demand coverage]])),"",IF(tblRuns[[#This Row],[Demand coverage]]&gt;=TargetCov,"On target",IF(tblRuns[[#This Row],[Demand coverage]]&gt;=TargetCov*(1-0.05),"Near target","Below target")))</f>
        <v>Below target</v>
      </c>
      <c r="V34" s="41">
        <f>IF(tblRuns[[#This Row],[Date]]="","",IF(AND(tblRuns[[#This Row],[Date]]&gt;=FFrom,tblRuns[[#This Row],[Date]]&lt;=FTo,OR(DashLine="",tblRuns[[#This Row],[Line]]=DashLine)),tblRuns[[#This Row],[Date]],""))</f>
        <v>46283</v>
      </c>
      <c r="W3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4" s="43" t="s">
        <v>109</v>
      </c>
    </row>
    <row r="35" spans="2:24" x14ac:dyDescent="0.25">
      <c r="B35" s="37">
        <v>46283</v>
      </c>
      <c r="C35" s="28" t="s">
        <v>85</v>
      </c>
      <c r="D35" s="28" t="s">
        <v>80</v>
      </c>
      <c r="E35" s="34">
        <v>450</v>
      </c>
      <c r="F35" s="34">
        <v>35</v>
      </c>
      <c r="G35" s="34">
        <v>5851</v>
      </c>
      <c r="H35" s="34">
        <v>5744</v>
      </c>
      <c r="I35" s="38">
        <f>IF(tblRuns[[#This Row],[Date]]="","",IFERROR(INDEX(tblLines[Bottleneck cycle (s/unit)],MATCH(tblRuns[[#This Row],[Line]],tblLines[Line],0)),""))</f>
        <v>4</v>
      </c>
      <c r="J35" s="35">
        <f>IF(tblRuns[[#This Row],[Date]]="","",IFERROR(INDEX(tblLines[Demand per shift (units)],MATCH(tblRuns[[#This Row],[Line]],tblLines[Line],0)),""))</f>
        <v>5100</v>
      </c>
      <c r="K35" s="35">
        <f>IF(tblRuns[[#This Row],[Date]]="","",tblRuns[[#This Row],[Scheduled (min)]]-tblRuns[[#This Row],[Downtime (min)]])</f>
        <v>415</v>
      </c>
      <c r="L35" s="35">
        <f>IF(tblRuns[[#This Row],[Date]]="","",IF(ISNUMBER(tblRuns[[#This Row],[Cycle (s/unit)]]),tblRuns[[#This Row],[Scheduled (min)]]*60/tblRuns[[#This Row],[Cycle (s/unit)]],""))</f>
        <v>6750</v>
      </c>
      <c r="M35" s="35">
        <f>IF(tblRuns[[#This Row],[Date]]="","",IF(tblRuns[[#This Row],[Scheduled (min)]]&gt;0,tblRuns[[#This Row],[Good (units)]]/(tblRuns[[#This Row],[Scheduled (min)]]/60),""))</f>
        <v>765.866666666667</v>
      </c>
      <c r="N35" s="39">
        <f>IF(tblRuns[[#This Row],[Date]]="","",IF(tblRuns[[#This Row],[Scheduled (min)]]&gt;0,tblRuns[[#This Row],[Run (min)]]/tblRuns[[#This Row],[Scheduled (min)]],""))</f>
        <v>0.922222222222222</v>
      </c>
      <c r="O35" s="39">
        <f>IF(tblRuns[[#This Row],[Date]]="","",IF(tblRuns[[#This Row],[Total (units)]]&gt;0,tblRuns[[#This Row],[Good (units)]]/tblRuns[[#This Row],[Total (units)]],""))</f>
        <v>0.98171252777303</v>
      </c>
      <c r="P35" s="39">
        <f>IF(tblRuns[[#This Row],[Date]]="","",IF(N(tblRuns[[#This Row],[Theoretical (units)]])&gt;0,tblRuns[[#This Row],[Good (units)]]/tblRuns[[#This Row],[Theoretical (units)]],""))</f>
        <v>0.850962962962963</v>
      </c>
      <c r="Q35" s="35">
        <f>IF(tblRuns[[#This Row],[Date]]="","",IF(ISNUMBER(tblRuns[[#This Row],[Cycle (s/unit)]]),tblRuns[[#This Row],[Downtime (min)]]*60/tblRuns[[#This Row],[Cycle (s/unit)]],""))</f>
        <v>525</v>
      </c>
      <c r="R35" s="35">
        <f>IF(tblRuns[[#This Row],[Date]]="","",IF(ISNUMBER(tblRuns[[#This Row],[Cycle (s/unit)]]),tblRuns[[#This Row],[Run (min)]]*60/tblRuns[[#This Row],[Cycle (s/unit)]]-tblRuns[[#This Row],[Total (units)]],""))</f>
        <v>374</v>
      </c>
      <c r="S35" s="35">
        <f>IF(tblRuns[[#This Row],[Date]]="","",tblRuns[[#This Row],[Total (units)]]-tblRuns[[#This Row],[Good (units)]])</f>
        <v>107</v>
      </c>
      <c r="T35" s="39">
        <f>IF(tblRuns[[#This Row],[Date]]="","",IF(N(tblRuns[[#This Row],[Demand (units)]])&gt;0,tblRuns[[#This Row],[Good (units)]]/tblRuns[[#This Row],[Demand (units)]],""))</f>
        <v>1.12627450980392</v>
      </c>
      <c r="U35" s="40" t="str">
        <f>IF(NOT(ISNUMBER(tblRuns[[#This Row],[Demand coverage]])),"",IF(tblRuns[[#This Row],[Demand coverage]]&gt;=TargetCov,"On target",IF(tblRuns[[#This Row],[Demand coverage]]&gt;=TargetCov*(1-0.05),"Near target","Below target")))</f>
        <v>On target</v>
      </c>
      <c r="V35" s="41">
        <f>IF(tblRuns[[#This Row],[Date]]="","",IF(AND(tblRuns[[#This Row],[Date]]&gt;=FFrom,tblRuns[[#This Row],[Date]]&lt;=FTo,OR(DashLine="",tblRuns[[#This Row],[Line]]=DashLine)),tblRuns[[#This Row],[Date]],""))</f>
        <v>46283</v>
      </c>
      <c r="W3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5" s="43" t="s">
        <v>109</v>
      </c>
    </row>
    <row r="36" spans="2:24" x14ac:dyDescent="0.25">
      <c r="B36" s="37">
        <v>46286</v>
      </c>
      <c r="C36" s="28" t="s">
        <v>83</v>
      </c>
      <c r="D36" s="28" t="s">
        <v>76</v>
      </c>
      <c r="E36" s="34">
        <v>450</v>
      </c>
      <c r="F36" s="34">
        <v>50</v>
      </c>
      <c r="G36" s="34">
        <v>14600</v>
      </c>
      <c r="H36" s="34">
        <v>14252</v>
      </c>
      <c r="I36" s="38">
        <f>IF(tblRuns[[#This Row],[Date]]="","",IFERROR(INDEX(tblLines[Bottleneck cycle (s/unit)],MATCH(tblRuns[[#This Row],[Line]],tblLines[Line],0)),""))</f>
        <v>1.5</v>
      </c>
      <c r="J36" s="35">
        <f>IF(tblRuns[[#This Row],[Date]]="","",IFERROR(INDEX(tblLines[Demand per shift (units)],MATCH(tblRuns[[#This Row],[Line]],tblLines[Line],0)),""))</f>
        <v>14500</v>
      </c>
      <c r="K36" s="35">
        <f>IF(tblRuns[[#This Row],[Date]]="","",tblRuns[[#This Row],[Scheduled (min)]]-tblRuns[[#This Row],[Downtime (min)]])</f>
        <v>400</v>
      </c>
      <c r="L36" s="35">
        <f>IF(tblRuns[[#This Row],[Date]]="","",IF(ISNUMBER(tblRuns[[#This Row],[Cycle (s/unit)]]),tblRuns[[#This Row],[Scheduled (min)]]*60/tblRuns[[#This Row],[Cycle (s/unit)]],""))</f>
        <v>18000</v>
      </c>
      <c r="M36" s="35">
        <f>IF(tblRuns[[#This Row],[Date]]="","",IF(tblRuns[[#This Row],[Scheduled (min)]]&gt;0,tblRuns[[#This Row],[Good (units)]]/(tblRuns[[#This Row],[Scheduled (min)]]/60),""))</f>
        <v>1900.26666666667</v>
      </c>
      <c r="N36" s="39">
        <f>IF(tblRuns[[#This Row],[Date]]="","",IF(tblRuns[[#This Row],[Scheduled (min)]]&gt;0,tblRuns[[#This Row],[Run (min)]]/tblRuns[[#This Row],[Scheduled (min)]],""))</f>
        <v>0.888888888888889</v>
      </c>
      <c r="O36" s="39">
        <f>IF(tblRuns[[#This Row],[Date]]="","",IF(tblRuns[[#This Row],[Total (units)]]&gt;0,tblRuns[[#This Row],[Good (units)]]/tblRuns[[#This Row],[Total (units)]],""))</f>
        <v>0.976164383561644</v>
      </c>
      <c r="P36" s="39">
        <f>IF(tblRuns[[#This Row],[Date]]="","",IF(N(tblRuns[[#This Row],[Theoretical (units)]])&gt;0,tblRuns[[#This Row],[Good (units)]]/tblRuns[[#This Row],[Theoretical (units)]],""))</f>
        <v>0.791777777777778</v>
      </c>
      <c r="Q36" s="35">
        <f>IF(tblRuns[[#This Row],[Date]]="","",IF(ISNUMBER(tblRuns[[#This Row],[Cycle (s/unit)]]),tblRuns[[#This Row],[Downtime (min)]]*60/tblRuns[[#This Row],[Cycle (s/unit)]],""))</f>
        <v>2000</v>
      </c>
      <c r="R36" s="35">
        <f>IF(tblRuns[[#This Row],[Date]]="","",IF(ISNUMBER(tblRuns[[#This Row],[Cycle (s/unit)]]),tblRuns[[#This Row],[Run (min)]]*60/tblRuns[[#This Row],[Cycle (s/unit)]]-tblRuns[[#This Row],[Total (units)]],""))</f>
        <v>1400</v>
      </c>
      <c r="S36" s="35">
        <f>IF(tblRuns[[#This Row],[Date]]="","",tblRuns[[#This Row],[Total (units)]]-tblRuns[[#This Row],[Good (units)]])</f>
        <v>348</v>
      </c>
      <c r="T36" s="39">
        <f>IF(tblRuns[[#This Row],[Date]]="","",IF(N(tblRuns[[#This Row],[Demand (units)]])&gt;0,tblRuns[[#This Row],[Good (units)]]/tblRuns[[#This Row],[Demand (units)]],""))</f>
        <v>0.982896551724138</v>
      </c>
      <c r="U36" s="40" t="str">
        <f>IF(NOT(ISNUMBER(tblRuns[[#This Row],[Demand coverage]])),"",IF(tblRuns[[#This Row],[Demand coverage]]&gt;=TargetCov,"On target",IF(tblRuns[[#This Row],[Demand coverage]]&gt;=TargetCov*(1-0.05),"Near target","Below target")))</f>
        <v>Near target</v>
      </c>
      <c r="V36" s="41">
        <f>IF(tblRuns[[#This Row],[Date]]="","",IF(AND(tblRuns[[#This Row],[Date]]&gt;=FFrom,tblRuns[[#This Row],[Date]]&lt;=FTo,OR(DashLine="",tblRuns[[#This Row],[Line]]=DashLine)),tblRuns[[#This Row],[Date]],""))</f>
        <v>46286</v>
      </c>
      <c r="W3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6" s="43" t="s">
        <v>109</v>
      </c>
    </row>
    <row r="37" spans="2:24" x14ac:dyDescent="0.25">
      <c r="B37" s="37">
        <v>46286</v>
      </c>
      <c r="C37" s="28" t="s">
        <v>83</v>
      </c>
      <c r="D37" s="28" t="s">
        <v>78</v>
      </c>
      <c r="E37" s="34">
        <v>450</v>
      </c>
      <c r="F37" s="34">
        <v>145</v>
      </c>
      <c r="G37" s="34">
        <v>5541</v>
      </c>
      <c r="H37" s="34">
        <v>5522</v>
      </c>
      <c r="I37" s="38">
        <f>IF(tblRuns[[#This Row],[Date]]="","",IFERROR(INDEX(tblLines[Bottleneck cycle (s/unit)],MATCH(tblRuns[[#This Row],[Line]],tblLines[Line],0)),""))</f>
        <v>3</v>
      </c>
      <c r="J37" s="35">
        <f>IF(tblRuns[[#This Row],[Date]]="","",IFERROR(INDEX(tblLines[Demand per shift (units)],MATCH(tblRuns[[#This Row],[Line]],tblLines[Line],0)),""))</f>
        <v>6600</v>
      </c>
      <c r="K37" s="35">
        <f>IF(tblRuns[[#This Row],[Date]]="","",tblRuns[[#This Row],[Scheduled (min)]]-tblRuns[[#This Row],[Downtime (min)]])</f>
        <v>305</v>
      </c>
      <c r="L37" s="35">
        <f>IF(tblRuns[[#This Row],[Date]]="","",IF(ISNUMBER(tblRuns[[#This Row],[Cycle (s/unit)]]),tblRuns[[#This Row],[Scheduled (min)]]*60/tblRuns[[#This Row],[Cycle (s/unit)]],""))</f>
        <v>9000</v>
      </c>
      <c r="M37" s="35">
        <f>IF(tblRuns[[#This Row],[Date]]="","",IF(tblRuns[[#This Row],[Scheduled (min)]]&gt;0,tblRuns[[#This Row],[Good (units)]]/(tblRuns[[#This Row],[Scheduled (min)]]/60),""))</f>
        <v>736.266666666667</v>
      </c>
      <c r="N37" s="39">
        <f>IF(tblRuns[[#This Row],[Date]]="","",IF(tblRuns[[#This Row],[Scheduled (min)]]&gt;0,tblRuns[[#This Row],[Run (min)]]/tblRuns[[#This Row],[Scheduled (min)]],""))</f>
        <v>0.677777777777778</v>
      </c>
      <c r="O37" s="39">
        <f>IF(tblRuns[[#This Row],[Date]]="","",IF(tblRuns[[#This Row],[Total (units)]]&gt;0,tblRuns[[#This Row],[Good (units)]]/tblRuns[[#This Row],[Total (units)]],""))</f>
        <v>0.996571016062083</v>
      </c>
      <c r="P37" s="39">
        <f>IF(tblRuns[[#This Row],[Date]]="","",IF(N(tblRuns[[#This Row],[Theoretical (units)]])&gt;0,tblRuns[[#This Row],[Good (units)]]/tblRuns[[#This Row],[Theoretical (units)]],""))</f>
        <v>0.613555555555556</v>
      </c>
      <c r="Q37" s="35">
        <f>IF(tblRuns[[#This Row],[Date]]="","",IF(ISNUMBER(tblRuns[[#This Row],[Cycle (s/unit)]]),tblRuns[[#This Row],[Downtime (min)]]*60/tblRuns[[#This Row],[Cycle (s/unit)]],""))</f>
        <v>2900</v>
      </c>
      <c r="R37" s="35">
        <f>IF(tblRuns[[#This Row],[Date]]="","",IF(ISNUMBER(tblRuns[[#This Row],[Cycle (s/unit)]]),tblRuns[[#This Row],[Run (min)]]*60/tblRuns[[#This Row],[Cycle (s/unit)]]-tblRuns[[#This Row],[Total (units)]],""))</f>
        <v>559</v>
      </c>
      <c r="S37" s="35">
        <f>IF(tblRuns[[#This Row],[Date]]="","",tblRuns[[#This Row],[Total (units)]]-tblRuns[[#This Row],[Good (units)]])</f>
        <v>19</v>
      </c>
      <c r="T37" s="39">
        <f>IF(tblRuns[[#This Row],[Date]]="","",IF(N(tblRuns[[#This Row],[Demand (units)]])&gt;0,tblRuns[[#This Row],[Good (units)]]/tblRuns[[#This Row],[Demand (units)]],""))</f>
        <v>0.836666666666667</v>
      </c>
      <c r="U37" s="40" t="str">
        <f>IF(NOT(ISNUMBER(tblRuns[[#This Row],[Demand coverage]])),"",IF(tblRuns[[#This Row],[Demand coverage]]&gt;=TargetCov,"On target",IF(tblRuns[[#This Row],[Demand coverage]]&gt;=TargetCov*(1-0.05),"Near target","Below target")))</f>
        <v>Below target</v>
      </c>
      <c r="V37" s="41">
        <f>IF(tblRuns[[#This Row],[Date]]="","",IF(AND(tblRuns[[#This Row],[Date]]&gt;=FFrom,tblRuns[[#This Row],[Date]]&lt;=FTo,OR(DashLine="",tblRuns[[#This Row],[Line]]=DashLine)),tblRuns[[#This Row],[Date]],""))</f>
        <v>46286</v>
      </c>
      <c r="W3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7" s="43" t="s">
        <v>109</v>
      </c>
    </row>
    <row r="38" spans="2:24" x14ac:dyDescent="0.25">
      <c r="B38" s="37">
        <v>46286</v>
      </c>
      <c r="C38" s="28" t="s">
        <v>83</v>
      </c>
      <c r="D38" s="28" t="s">
        <v>80</v>
      </c>
      <c r="E38" s="34">
        <v>450</v>
      </c>
      <c r="F38" s="34">
        <v>25</v>
      </c>
      <c r="G38" s="34">
        <v>5223</v>
      </c>
      <c r="H38" s="34">
        <v>5048</v>
      </c>
      <c r="I38" s="38">
        <f>IF(tblRuns[[#This Row],[Date]]="","",IFERROR(INDEX(tblLines[Bottleneck cycle (s/unit)],MATCH(tblRuns[[#This Row],[Line]],tblLines[Line],0)),""))</f>
        <v>4</v>
      </c>
      <c r="J38" s="35">
        <f>IF(tblRuns[[#This Row],[Date]]="","",IFERROR(INDEX(tblLines[Demand per shift (units)],MATCH(tblRuns[[#This Row],[Line]],tblLines[Line],0)),""))</f>
        <v>5100</v>
      </c>
      <c r="K38" s="35">
        <f>IF(tblRuns[[#This Row],[Date]]="","",tblRuns[[#This Row],[Scheduled (min)]]-tblRuns[[#This Row],[Downtime (min)]])</f>
        <v>425</v>
      </c>
      <c r="L38" s="35">
        <f>IF(tblRuns[[#This Row],[Date]]="","",IF(ISNUMBER(tblRuns[[#This Row],[Cycle (s/unit)]]),tblRuns[[#This Row],[Scheduled (min)]]*60/tblRuns[[#This Row],[Cycle (s/unit)]],""))</f>
        <v>6750</v>
      </c>
      <c r="M38" s="35">
        <f>IF(tblRuns[[#This Row],[Date]]="","",IF(tblRuns[[#This Row],[Scheduled (min)]]&gt;0,tblRuns[[#This Row],[Good (units)]]/(tblRuns[[#This Row],[Scheduled (min)]]/60),""))</f>
        <v>673.066666666667</v>
      </c>
      <c r="N38" s="39">
        <f>IF(tblRuns[[#This Row],[Date]]="","",IF(tblRuns[[#This Row],[Scheduled (min)]]&gt;0,tblRuns[[#This Row],[Run (min)]]/tblRuns[[#This Row],[Scheduled (min)]],""))</f>
        <v>0.944444444444444</v>
      </c>
      <c r="O38" s="39">
        <f>IF(tblRuns[[#This Row],[Date]]="","",IF(tblRuns[[#This Row],[Total (units)]]&gt;0,tblRuns[[#This Row],[Good (units)]]/tblRuns[[#This Row],[Total (units)]],""))</f>
        <v>0.966494351905035</v>
      </c>
      <c r="P38" s="39">
        <f>IF(tblRuns[[#This Row],[Date]]="","",IF(N(tblRuns[[#This Row],[Theoretical (units)]])&gt;0,tblRuns[[#This Row],[Good (units)]]/tblRuns[[#This Row],[Theoretical (units)]],""))</f>
        <v>0.747851851851852</v>
      </c>
      <c r="Q38" s="35">
        <f>IF(tblRuns[[#This Row],[Date]]="","",IF(ISNUMBER(tblRuns[[#This Row],[Cycle (s/unit)]]),tblRuns[[#This Row],[Downtime (min)]]*60/tblRuns[[#This Row],[Cycle (s/unit)]],""))</f>
        <v>375</v>
      </c>
      <c r="R38" s="35">
        <f>IF(tblRuns[[#This Row],[Date]]="","",IF(ISNUMBER(tblRuns[[#This Row],[Cycle (s/unit)]]),tblRuns[[#This Row],[Run (min)]]*60/tblRuns[[#This Row],[Cycle (s/unit)]]-tblRuns[[#This Row],[Total (units)]],""))</f>
        <v>1152</v>
      </c>
      <c r="S38" s="35">
        <f>IF(tblRuns[[#This Row],[Date]]="","",tblRuns[[#This Row],[Total (units)]]-tblRuns[[#This Row],[Good (units)]])</f>
        <v>175</v>
      </c>
      <c r="T38" s="39">
        <f>IF(tblRuns[[#This Row],[Date]]="","",IF(N(tblRuns[[#This Row],[Demand (units)]])&gt;0,tblRuns[[#This Row],[Good (units)]]/tblRuns[[#This Row],[Demand (units)]],""))</f>
        <v>0.989803921568627</v>
      </c>
      <c r="U38" s="40" t="str">
        <f>IF(NOT(ISNUMBER(tblRuns[[#This Row],[Demand coverage]])),"",IF(tblRuns[[#This Row],[Demand coverage]]&gt;=TargetCov,"On target",IF(tblRuns[[#This Row],[Demand coverage]]&gt;=TargetCov*(1-0.05),"Near target","Below target")))</f>
        <v>Near target</v>
      </c>
      <c r="V38" s="41">
        <f>IF(tblRuns[[#This Row],[Date]]="","",IF(AND(tblRuns[[#This Row],[Date]]&gt;=FFrom,tblRuns[[#This Row],[Date]]&lt;=FTo,OR(DashLine="",tblRuns[[#This Row],[Line]]=DashLine)),tblRuns[[#This Row],[Date]],""))</f>
        <v>46286</v>
      </c>
      <c r="W3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8" s="43" t="s">
        <v>111</v>
      </c>
    </row>
    <row r="39" spans="2:24" x14ac:dyDescent="0.25">
      <c r="B39" s="37">
        <v>46286</v>
      </c>
      <c r="C39" s="28" t="s">
        <v>85</v>
      </c>
      <c r="D39" s="28" t="s">
        <v>76</v>
      </c>
      <c r="E39" s="34">
        <v>450</v>
      </c>
      <c r="F39" s="34">
        <v>25</v>
      </c>
      <c r="G39" s="34">
        <v>15930</v>
      </c>
      <c r="H39" s="34">
        <v>15586</v>
      </c>
      <c r="I39" s="38">
        <f>IF(tblRuns[[#This Row],[Date]]="","",IFERROR(INDEX(tblLines[Bottleneck cycle (s/unit)],MATCH(tblRuns[[#This Row],[Line]],tblLines[Line],0)),""))</f>
        <v>1.5</v>
      </c>
      <c r="J39" s="35">
        <f>IF(tblRuns[[#This Row],[Date]]="","",IFERROR(INDEX(tblLines[Demand per shift (units)],MATCH(tblRuns[[#This Row],[Line]],tblLines[Line],0)),""))</f>
        <v>14500</v>
      </c>
      <c r="K39" s="35">
        <f>IF(tblRuns[[#This Row],[Date]]="","",tblRuns[[#This Row],[Scheduled (min)]]-tblRuns[[#This Row],[Downtime (min)]])</f>
        <v>425</v>
      </c>
      <c r="L39" s="35">
        <f>IF(tblRuns[[#This Row],[Date]]="","",IF(ISNUMBER(tblRuns[[#This Row],[Cycle (s/unit)]]),tblRuns[[#This Row],[Scheduled (min)]]*60/tblRuns[[#This Row],[Cycle (s/unit)]],""))</f>
        <v>18000</v>
      </c>
      <c r="M39" s="35">
        <f>IF(tblRuns[[#This Row],[Date]]="","",IF(tblRuns[[#This Row],[Scheduled (min)]]&gt;0,tblRuns[[#This Row],[Good (units)]]/(tblRuns[[#This Row],[Scheduled (min)]]/60),""))</f>
        <v>2078.13333333333</v>
      </c>
      <c r="N39" s="39">
        <f>IF(tblRuns[[#This Row],[Date]]="","",IF(tblRuns[[#This Row],[Scheduled (min)]]&gt;0,tblRuns[[#This Row],[Run (min)]]/tblRuns[[#This Row],[Scheduled (min)]],""))</f>
        <v>0.944444444444444</v>
      </c>
      <c r="O39" s="39">
        <f>IF(tblRuns[[#This Row],[Date]]="","",IF(tblRuns[[#This Row],[Total (units)]]&gt;0,tblRuns[[#This Row],[Good (units)]]/tblRuns[[#This Row],[Total (units)]],""))</f>
        <v>0.978405524168236</v>
      </c>
      <c r="P39" s="39">
        <f>IF(tblRuns[[#This Row],[Date]]="","",IF(N(tblRuns[[#This Row],[Theoretical (units)]])&gt;0,tblRuns[[#This Row],[Good (units)]]/tblRuns[[#This Row],[Theoretical (units)]],""))</f>
        <v>0.865888888888889</v>
      </c>
      <c r="Q39" s="35">
        <f>IF(tblRuns[[#This Row],[Date]]="","",IF(ISNUMBER(tblRuns[[#This Row],[Cycle (s/unit)]]),tblRuns[[#This Row],[Downtime (min)]]*60/tblRuns[[#This Row],[Cycle (s/unit)]],""))</f>
        <v>1000</v>
      </c>
      <c r="R39" s="35">
        <f>IF(tblRuns[[#This Row],[Date]]="","",IF(ISNUMBER(tblRuns[[#This Row],[Cycle (s/unit)]]),tblRuns[[#This Row],[Run (min)]]*60/tblRuns[[#This Row],[Cycle (s/unit)]]-tblRuns[[#This Row],[Total (units)]],""))</f>
        <v>1070</v>
      </c>
      <c r="S39" s="35">
        <f>IF(tblRuns[[#This Row],[Date]]="","",tblRuns[[#This Row],[Total (units)]]-tblRuns[[#This Row],[Good (units)]])</f>
        <v>344</v>
      </c>
      <c r="T39" s="39">
        <f>IF(tblRuns[[#This Row],[Date]]="","",IF(N(tblRuns[[#This Row],[Demand (units)]])&gt;0,tblRuns[[#This Row],[Good (units)]]/tblRuns[[#This Row],[Demand (units)]],""))</f>
        <v>1.07489655172414</v>
      </c>
      <c r="U39" s="40" t="str">
        <f>IF(NOT(ISNUMBER(tblRuns[[#This Row],[Demand coverage]])),"",IF(tblRuns[[#This Row],[Demand coverage]]&gt;=TargetCov,"On target",IF(tblRuns[[#This Row],[Demand coverage]]&gt;=TargetCov*(1-0.05),"Near target","Below target")))</f>
        <v>On target</v>
      </c>
      <c r="V39" s="41">
        <f>IF(tblRuns[[#This Row],[Date]]="","",IF(AND(tblRuns[[#This Row],[Date]]&gt;=FFrom,tblRuns[[#This Row],[Date]]&lt;=FTo,OR(DashLine="",tblRuns[[#This Row],[Line]]=DashLine)),tblRuns[[#This Row],[Date]],""))</f>
        <v>46286</v>
      </c>
      <c r="W3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39" s="43" t="s">
        <v>109</v>
      </c>
    </row>
    <row r="40" spans="2:24" x14ac:dyDescent="0.25">
      <c r="B40" s="37">
        <v>46286</v>
      </c>
      <c r="C40" s="28" t="s">
        <v>85</v>
      </c>
      <c r="D40" s="28" t="s">
        <v>78</v>
      </c>
      <c r="E40" s="34">
        <v>450</v>
      </c>
      <c r="F40" s="34">
        <v>170</v>
      </c>
      <c r="G40" s="34">
        <v>5235</v>
      </c>
      <c r="H40" s="34">
        <v>5205</v>
      </c>
      <c r="I40" s="38">
        <f>IF(tblRuns[[#This Row],[Date]]="","",IFERROR(INDEX(tblLines[Bottleneck cycle (s/unit)],MATCH(tblRuns[[#This Row],[Line]],tblLines[Line],0)),""))</f>
        <v>3</v>
      </c>
      <c r="J40" s="35">
        <f>IF(tblRuns[[#This Row],[Date]]="","",IFERROR(INDEX(tblLines[Demand per shift (units)],MATCH(tblRuns[[#This Row],[Line]],tblLines[Line],0)),""))</f>
        <v>6600</v>
      </c>
      <c r="K40" s="35">
        <f>IF(tblRuns[[#This Row],[Date]]="","",tblRuns[[#This Row],[Scheduled (min)]]-tblRuns[[#This Row],[Downtime (min)]])</f>
        <v>280</v>
      </c>
      <c r="L40" s="35">
        <f>IF(tblRuns[[#This Row],[Date]]="","",IF(ISNUMBER(tblRuns[[#This Row],[Cycle (s/unit)]]),tblRuns[[#This Row],[Scheduled (min)]]*60/tblRuns[[#This Row],[Cycle (s/unit)]],""))</f>
        <v>9000</v>
      </c>
      <c r="M40" s="35">
        <f>IF(tblRuns[[#This Row],[Date]]="","",IF(tblRuns[[#This Row],[Scheduled (min)]]&gt;0,tblRuns[[#This Row],[Good (units)]]/(tblRuns[[#This Row],[Scheduled (min)]]/60),""))</f>
        <v>694</v>
      </c>
      <c r="N40" s="39">
        <f>IF(tblRuns[[#This Row],[Date]]="","",IF(tblRuns[[#This Row],[Scheduled (min)]]&gt;0,tblRuns[[#This Row],[Run (min)]]/tblRuns[[#This Row],[Scheduled (min)]],""))</f>
        <v>0.622222222222222</v>
      </c>
      <c r="O40" s="39">
        <f>IF(tblRuns[[#This Row],[Date]]="","",IF(tblRuns[[#This Row],[Total (units)]]&gt;0,tblRuns[[#This Row],[Good (units)]]/tblRuns[[#This Row],[Total (units)]],""))</f>
        <v>0.994269340974212</v>
      </c>
      <c r="P40" s="39">
        <f>IF(tblRuns[[#This Row],[Date]]="","",IF(N(tblRuns[[#This Row],[Theoretical (units)]])&gt;0,tblRuns[[#This Row],[Good (units)]]/tblRuns[[#This Row],[Theoretical (units)]],""))</f>
        <v>0.578333333333333</v>
      </c>
      <c r="Q40" s="35">
        <f>IF(tblRuns[[#This Row],[Date]]="","",IF(ISNUMBER(tblRuns[[#This Row],[Cycle (s/unit)]]),tblRuns[[#This Row],[Downtime (min)]]*60/tblRuns[[#This Row],[Cycle (s/unit)]],""))</f>
        <v>3400</v>
      </c>
      <c r="R40" s="35">
        <f>IF(tblRuns[[#This Row],[Date]]="","",IF(ISNUMBER(tblRuns[[#This Row],[Cycle (s/unit)]]),tblRuns[[#This Row],[Run (min)]]*60/tblRuns[[#This Row],[Cycle (s/unit)]]-tblRuns[[#This Row],[Total (units)]],""))</f>
        <v>365</v>
      </c>
      <c r="S40" s="35">
        <f>IF(tblRuns[[#This Row],[Date]]="","",tblRuns[[#This Row],[Total (units)]]-tblRuns[[#This Row],[Good (units)]])</f>
        <v>30</v>
      </c>
      <c r="T40" s="39">
        <f>IF(tblRuns[[#This Row],[Date]]="","",IF(N(tblRuns[[#This Row],[Demand (units)]])&gt;0,tblRuns[[#This Row],[Good (units)]]/tblRuns[[#This Row],[Demand (units)]],""))</f>
        <v>0.788636363636364</v>
      </c>
      <c r="U40" s="40" t="str">
        <f>IF(NOT(ISNUMBER(tblRuns[[#This Row],[Demand coverage]])),"",IF(tblRuns[[#This Row],[Demand coverage]]&gt;=TargetCov,"On target",IF(tblRuns[[#This Row],[Demand coverage]]&gt;=TargetCov*(1-0.05),"Near target","Below target")))</f>
        <v>Below target</v>
      </c>
      <c r="V40" s="41">
        <f>IF(tblRuns[[#This Row],[Date]]="","",IF(AND(tblRuns[[#This Row],[Date]]&gt;=FFrom,tblRuns[[#This Row],[Date]]&lt;=FTo,OR(DashLine="",tblRuns[[#This Row],[Line]]=DashLine)),tblRuns[[#This Row],[Date]],""))</f>
        <v>46286</v>
      </c>
      <c r="W4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0" s="43" t="s">
        <v>110</v>
      </c>
    </row>
    <row r="41" spans="2:24" x14ac:dyDescent="0.25">
      <c r="B41" s="37">
        <v>46286</v>
      </c>
      <c r="C41" s="28" t="s">
        <v>85</v>
      </c>
      <c r="D41" s="28" t="s">
        <v>80</v>
      </c>
      <c r="E41" s="34">
        <v>450</v>
      </c>
      <c r="F41" s="34">
        <v>50</v>
      </c>
      <c r="G41" s="34">
        <v>5027</v>
      </c>
      <c r="H41" s="34">
        <v>4887</v>
      </c>
      <c r="I41" s="38">
        <f>IF(tblRuns[[#This Row],[Date]]="","",IFERROR(INDEX(tblLines[Bottleneck cycle (s/unit)],MATCH(tblRuns[[#This Row],[Line]],tblLines[Line],0)),""))</f>
        <v>4</v>
      </c>
      <c r="J41" s="35">
        <f>IF(tblRuns[[#This Row],[Date]]="","",IFERROR(INDEX(tblLines[Demand per shift (units)],MATCH(tblRuns[[#This Row],[Line]],tblLines[Line],0)),""))</f>
        <v>5100</v>
      </c>
      <c r="K41" s="35">
        <f>IF(tblRuns[[#This Row],[Date]]="","",tblRuns[[#This Row],[Scheduled (min)]]-tblRuns[[#This Row],[Downtime (min)]])</f>
        <v>400</v>
      </c>
      <c r="L41" s="35">
        <f>IF(tblRuns[[#This Row],[Date]]="","",IF(ISNUMBER(tblRuns[[#This Row],[Cycle (s/unit)]]),tblRuns[[#This Row],[Scheduled (min)]]*60/tblRuns[[#This Row],[Cycle (s/unit)]],""))</f>
        <v>6750</v>
      </c>
      <c r="M41" s="35">
        <f>IF(tblRuns[[#This Row],[Date]]="","",IF(tblRuns[[#This Row],[Scheduled (min)]]&gt;0,tblRuns[[#This Row],[Good (units)]]/(tblRuns[[#This Row],[Scheduled (min)]]/60),""))</f>
        <v>651.6</v>
      </c>
      <c r="N41" s="39">
        <f>IF(tblRuns[[#This Row],[Date]]="","",IF(tblRuns[[#This Row],[Scheduled (min)]]&gt;0,tblRuns[[#This Row],[Run (min)]]/tblRuns[[#This Row],[Scheduled (min)]],""))</f>
        <v>0.888888888888889</v>
      </c>
      <c r="O41" s="39">
        <f>IF(tblRuns[[#This Row],[Date]]="","",IF(tblRuns[[#This Row],[Total (units)]]&gt;0,tblRuns[[#This Row],[Good (units)]]/tblRuns[[#This Row],[Total (units)]],""))</f>
        <v>0.972150387905311</v>
      </c>
      <c r="P41" s="39">
        <f>IF(tblRuns[[#This Row],[Date]]="","",IF(N(tblRuns[[#This Row],[Theoretical (units)]])&gt;0,tblRuns[[#This Row],[Good (units)]]/tblRuns[[#This Row],[Theoretical (units)]],""))</f>
        <v>0.724</v>
      </c>
      <c r="Q41" s="35">
        <f>IF(tblRuns[[#This Row],[Date]]="","",IF(ISNUMBER(tblRuns[[#This Row],[Cycle (s/unit)]]),tblRuns[[#This Row],[Downtime (min)]]*60/tblRuns[[#This Row],[Cycle (s/unit)]],""))</f>
        <v>750</v>
      </c>
      <c r="R41" s="35">
        <f>IF(tblRuns[[#This Row],[Date]]="","",IF(ISNUMBER(tblRuns[[#This Row],[Cycle (s/unit)]]),tblRuns[[#This Row],[Run (min)]]*60/tblRuns[[#This Row],[Cycle (s/unit)]]-tblRuns[[#This Row],[Total (units)]],""))</f>
        <v>973</v>
      </c>
      <c r="S41" s="35">
        <f>IF(tblRuns[[#This Row],[Date]]="","",tblRuns[[#This Row],[Total (units)]]-tblRuns[[#This Row],[Good (units)]])</f>
        <v>140</v>
      </c>
      <c r="T41" s="39">
        <f>IF(tblRuns[[#This Row],[Date]]="","",IF(N(tblRuns[[#This Row],[Demand (units)]])&gt;0,tblRuns[[#This Row],[Good (units)]]/tblRuns[[#This Row],[Demand (units)]],""))</f>
        <v>0.958235294117647</v>
      </c>
      <c r="U41" s="40" t="str">
        <f>IF(NOT(ISNUMBER(tblRuns[[#This Row],[Demand coverage]])),"",IF(tblRuns[[#This Row],[Demand coverage]]&gt;=TargetCov,"On target",IF(tblRuns[[#This Row],[Demand coverage]]&gt;=TargetCov*(1-0.05),"Near target","Below target")))</f>
        <v>Near target</v>
      </c>
      <c r="V41" s="41">
        <f>IF(tblRuns[[#This Row],[Date]]="","",IF(AND(tblRuns[[#This Row],[Date]]&gt;=FFrom,tblRuns[[#This Row],[Date]]&lt;=FTo,OR(DashLine="",tblRuns[[#This Row],[Line]]=DashLine)),tblRuns[[#This Row],[Date]],""))</f>
        <v>46286</v>
      </c>
      <c r="W4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1" s="43" t="s">
        <v>109</v>
      </c>
    </row>
    <row r="42" spans="2:24" x14ac:dyDescent="0.25">
      <c r="B42" s="37">
        <v>46287</v>
      </c>
      <c r="C42" s="28" t="s">
        <v>83</v>
      </c>
      <c r="D42" s="28" t="s">
        <v>76</v>
      </c>
      <c r="E42" s="34">
        <v>450</v>
      </c>
      <c r="F42" s="34">
        <v>35</v>
      </c>
      <c r="G42" s="34">
        <v>14678</v>
      </c>
      <c r="H42" s="34">
        <v>14387</v>
      </c>
      <c r="I42" s="38">
        <f>IF(tblRuns[[#This Row],[Date]]="","",IFERROR(INDEX(tblLines[Bottleneck cycle (s/unit)],MATCH(tblRuns[[#This Row],[Line]],tblLines[Line],0)),""))</f>
        <v>1.5</v>
      </c>
      <c r="J42" s="35">
        <f>IF(tblRuns[[#This Row],[Date]]="","",IFERROR(INDEX(tblLines[Demand per shift (units)],MATCH(tblRuns[[#This Row],[Line]],tblLines[Line],0)),""))</f>
        <v>14500</v>
      </c>
      <c r="K42" s="35">
        <f>IF(tblRuns[[#This Row],[Date]]="","",tblRuns[[#This Row],[Scheduled (min)]]-tblRuns[[#This Row],[Downtime (min)]])</f>
        <v>415</v>
      </c>
      <c r="L42" s="35">
        <f>IF(tblRuns[[#This Row],[Date]]="","",IF(ISNUMBER(tblRuns[[#This Row],[Cycle (s/unit)]]),tblRuns[[#This Row],[Scheduled (min)]]*60/tblRuns[[#This Row],[Cycle (s/unit)]],""))</f>
        <v>18000</v>
      </c>
      <c r="M42" s="35">
        <f>IF(tblRuns[[#This Row],[Date]]="","",IF(tblRuns[[#This Row],[Scheduled (min)]]&gt;0,tblRuns[[#This Row],[Good (units)]]/(tblRuns[[#This Row],[Scheduled (min)]]/60),""))</f>
        <v>1918.26666666667</v>
      </c>
      <c r="N42" s="39">
        <f>IF(tblRuns[[#This Row],[Date]]="","",IF(tblRuns[[#This Row],[Scheduled (min)]]&gt;0,tblRuns[[#This Row],[Run (min)]]/tblRuns[[#This Row],[Scheduled (min)]],""))</f>
        <v>0.922222222222222</v>
      </c>
      <c r="O42" s="39">
        <f>IF(tblRuns[[#This Row],[Date]]="","",IF(tblRuns[[#This Row],[Total (units)]]&gt;0,tblRuns[[#This Row],[Good (units)]]/tblRuns[[#This Row],[Total (units)]],""))</f>
        <v>0.980174410682654</v>
      </c>
      <c r="P42" s="39">
        <f>IF(tblRuns[[#This Row],[Date]]="","",IF(N(tblRuns[[#This Row],[Theoretical (units)]])&gt;0,tblRuns[[#This Row],[Good (units)]]/tblRuns[[#This Row],[Theoretical (units)]],""))</f>
        <v>0.799277777777778</v>
      </c>
      <c r="Q42" s="35">
        <f>IF(tblRuns[[#This Row],[Date]]="","",IF(ISNUMBER(tblRuns[[#This Row],[Cycle (s/unit)]]),tblRuns[[#This Row],[Downtime (min)]]*60/tblRuns[[#This Row],[Cycle (s/unit)]],""))</f>
        <v>1400</v>
      </c>
      <c r="R42" s="35">
        <f>IF(tblRuns[[#This Row],[Date]]="","",IF(ISNUMBER(tblRuns[[#This Row],[Cycle (s/unit)]]),tblRuns[[#This Row],[Run (min)]]*60/tblRuns[[#This Row],[Cycle (s/unit)]]-tblRuns[[#This Row],[Total (units)]],""))</f>
        <v>1922</v>
      </c>
      <c r="S42" s="35">
        <f>IF(tblRuns[[#This Row],[Date]]="","",tblRuns[[#This Row],[Total (units)]]-tblRuns[[#This Row],[Good (units)]])</f>
        <v>291</v>
      </c>
      <c r="T42" s="39">
        <f>IF(tblRuns[[#This Row],[Date]]="","",IF(N(tblRuns[[#This Row],[Demand (units)]])&gt;0,tblRuns[[#This Row],[Good (units)]]/tblRuns[[#This Row],[Demand (units)]],""))</f>
        <v>0.992206896551724</v>
      </c>
      <c r="U42" s="40" t="str">
        <f>IF(NOT(ISNUMBER(tblRuns[[#This Row],[Demand coverage]])),"",IF(tblRuns[[#This Row],[Demand coverage]]&gt;=TargetCov,"On target",IF(tblRuns[[#This Row],[Demand coverage]]&gt;=TargetCov*(1-0.05),"Near target","Below target")))</f>
        <v>Near target</v>
      </c>
      <c r="V42" s="41">
        <f>IF(tblRuns[[#This Row],[Date]]="","",IF(AND(tblRuns[[#This Row],[Date]]&gt;=FFrom,tblRuns[[#This Row],[Date]]&lt;=FTo,OR(DashLine="",tblRuns[[#This Row],[Line]]=DashLine)),tblRuns[[#This Row],[Date]],""))</f>
        <v>46287</v>
      </c>
      <c r="W4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2" s="43" t="s">
        <v>109</v>
      </c>
    </row>
    <row r="43" spans="2:24" x14ac:dyDescent="0.25">
      <c r="B43" s="37">
        <v>46287</v>
      </c>
      <c r="C43" s="28" t="s">
        <v>83</v>
      </c>
      <c r="D43" s="28" t="s">
        <v>78</v>
      </c>
      <c r="E43" s="34">
        <v>450</v>
      </c>
      <c r="F43" s="34">
        <v>95</v>
      </c>
      <c r="G43" s="34">
        <v>6649</v>
      </c>
      <c r="H43" s="34">
        <v>6584</v>
      </c>
      <c r="I43" s="38">
        <f>IF(tblRuns[[#This Row],[Date]]="","",IFERROR(INDEX(tblLines[Bottleneck cycle (s/unit)],MATCH(tblRuns[[#This Row],[Line]],tblLines[Line],0)),""))</f>
        <v>3</v>
      </c>
      <c r="J43" s="35">
        <f>IF(tblRuns[[#This Row],[Date]]="","",IFERROR(INDEX(tblLines[Demand per shift (units)],MATCH(tblRuns[[#This Row],[Line]],tblLines[Line],0)),""))</f>
        <v>6600</v>
      </c>
      <c r="K43" s="35">
        <f>IF(tblRuns[[#This Row],[Date]]="","",tblRuns[[#This Row],[Scheduled (min)]]-tblRuns[[#This Row],[Downtime (min)]])</f>
        <v>355</v>
      </c>
      <c r="L43" s="35">
        <f>IF(tblRuns[[#This Row],[Date]]="","",IF(ISNUMBER(tblRuns[[#This Row],[Cycle (s/unit)]]),tblRuns[[#This Row],[Scheduled (min)]]*60/tblRuns[[#This Row],[Cycle (s/unit)]],""))</f>
        <v>9000</v>
      </c>
      <c r="M43" s="35">
        <f>IF(tblRuns[[#This Row],[Date]]="","",IF(tblRuns[[#This Row],[Scheduled (min)]]&gt;0,tblRuns[[#This Row],[Good (units)]]/(tblRuns[[#This Row],[Scheduled (min)]]/60),""))</f>
        <v>877.866666666667</v>
      </c>
      <c r="N43" s="39">
        <f>IF(tblRuns[[#This Row],[Date]]="","",IF(tblRuns[[#This Row],[Scheduled (min)]]&gt;0,tblRuns[[#This Row],[Run (min)]]/tblRuns[[#This Row],[Scheduled (min)]],""))</f>
        <v>0.788888888888889</v>
      </c>
      <c r="O43" s="39">
        <f>IF(tblRuns[[#This Row],[Date]]="","",IF(tblRuns[[#This Row],[Total (units)]]&gt;0,tblRuns[[#This Row],[Good (units)]]/tblRuns[[#This Row],[Total (units)]],""))</f>
        <v>0.990224093848699</v>
      </c>
      <c r="P43" s="39">
        <f>IF(tblRuns[[#This Row],[Date]]="","",IF(N(tblRuns[[#This Row],[Theoretical (units)]])&gt;0,tblRuns[[#This Row],[Good (units)]]/tblRuns[[#This Row],[Theoretical (units)]],""))</f>
        <v>0.731555555555556</v>
      </c>
      <c r="Q43" s="35">
        <f>IF(tblRuns[[#This Row],[Date]]="","",IF(ISNUMBER(tblRuns[[#This Row],[Cycle (s/unit)]]),tblRuns[[#This Row],[Downtime (min)]]*60/tblRuns[[#This Row],[Cycle (s/unit)]],""))</f>
        <v>1900</v>
      </c>
      <c r="R43" s="35">
        <f>IF(tblRuns[[#This Row],[Date]]="","",IF(ISNUMBER(tblRuns[[#This Row],[Cycle (s/unit)]]),tblRuns[[#This Row],[Run (min)]]*60/tblRuns[[#This Row],[Cycle (s/unit)]]-tblRuns[[#This Row],[Total (units)]],""))</f>
        <v>451</v>
      </c>
      <c r="S43" s="35">
        <f>IF(tblRuns[[#This Row],[Date]]="","",tblRuns[[#This Row],[Total (units)]]-tblRuns[[#This Row],[Good (units)]])</f>
        <v>65</v>
      </c>
      <c r="T43" s="39">
        <f>IF(tblRuns[[#This Row],[Date]]="","",IF(N(tblRuns[[#This Row],[Demand (units)]])&gt;0,tblRuns[[#This Row],[Good (units)]]/tblRuns[[#This Row],[Demand (units)]],""))</f>
        <v>0.997575757575758</v>
      </c>
      <c r="U43" s="40" t="str">
        <f>IF(NOT(ISNUMBER(tblRuns[[#This Row],[Demand coverage]])),"",IF(tblRuns[[#This Row],[Demand coverage]]&gt;=TargetCov,"On target",IF(tblRuns[[#This Row],[Demand coverage]]&gt;=TargetCov*(1-0.05),"Near target","Below target")))</f>
        <v>Near target</v>
      </c>
      <c r="V43" s="41">
        <f>IF(tblRuns[[#This Row],[Date]]="","",IF(AND(tblRuns[[#This Row],[Date]]&gt;=FFrom,tblRuns[[#This Row],[Date]]&lt;=FTo,OR(DashLine="",tblRuns[[#This Row],[Line]]=DashLine)),tblRuns[[#This Row],[Date]],""))</f>
        <v>46287</v>
      </c>
      <c r="W4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3" s="43" t="s">
        <v>109</v>
      </c>
    </row>
    <row r="44" spans="2:24" x14ac:dyDescent="0.25">
      <c r="B44" s="37">
        <v>46287</v>
      </c>
      <c r="C44" s="28" t="s">
        <v>83</v>
      </c>
      <c r="D44" s="28" t="s">
        <v>80</v>
      </c>
      <c r="E44" s="34">
        <v>450</v>
      </c>
      <c r="F44" s="34">
        <v>60</v>
      </c>
      <c r="G44" s="34">
        <v>4596</v>
      </c>
      <c r="H44" s="34">
        <v>4517</v>
      </c>
      <c r="I44" s="38">
        <f>IF(tblRuns[[#This Row],[Date]]="","",IFERROR(INDEX(tblLines[Bottleneck cycle (s/unit)],MATCH(tblRuns[[#This Row],[Line]],tblLines[Line],0)),""))</f>
        <v>4</v>
      </c>
      <c r="J44" s="35">
        <f>IF(tblRuns[[#This Row],[Date]]="","",IFERROR(INDEX(tblLines[Demand per shift (units)],MATCH(tblRuns[[#This Row],[Line]],tblLines[Line],0)),""))</f>
        <v>5100</v>
      </c>
      <c r="K44" s="35">
        <f>IF(tblRuns[[#This Row],[Date]]="","",tblRuns[[#This Row],[Scheduled (min)]]-tblRuns[[#This Row],[Downtime (min)]])</f>
        <v>390</v>
      </c>
      <c r="L44" s="35">
        <f>IF(tblRuns[[#This Row],[Date]]="","",IF(ISNUMBER(tblRuns[[#This Row],[Cycle (s/unit)]]),tblRuns[[#This Row],[Scheduled (min)]]*60/tblRuns[[#This Row],[Cycle (s/unit)]],""))</f>
        <v>6750</v>
      </c>
      <c r="M44" s="35">
        <f>IF(tblRuns[[#This Row],[Date]]="","",IF(tblRuns[[#This Row],[Scheduled (min)]]&gt;0,tblRuns[[#This Row],[Good (units)]]/(tblRuns[[#This Row],[Scheduled (min)]]/60),""))</f>
        <v>602.266666666667</v>
      </c>
      <c r="N44" s="39">
        <f>IF(tblRuns[[#This Row],[Date]]="","",IF(tblRuns[[#This Row],[Scheduled (min)]]&gt;0,tblRuns[[#This Row],[Run (min)]]/tblRuns[[#This Row],[Scheduled (min)]],""))</f>
        <v>0.866666666666667</v>
      </c>
      <c r="O44" s="39">
        <f>IF(tblRuns[[#This Row],[Date]]="","",IF(tblRuns[[#This Row],[Total (units)]]&gt;0,tblRuns[[#This Row],[Good (units)]]/tblRuns[[#This Row],[Total (units)]],""))</f>
        <v>0.982811140121845</v>
      </c>
      <c r="P44" s="39">
        <f>IF(tblRuns[[#This Row],[Date]]="","",IF(N(tblRuns[[#This Row],[Theoretical (units)]])&gt;0,tblRuns[[#This Row],[Good (units)]]/tblRuns[[#This Row],[Theoretical (units)]],""))</f>
        <v>0.669185185185185</v>
      </c>
      <c r="Q44" s="35">
        <f>IF(tblRuns[[#This Row],[Date]]="","",IF(ISNUMBER(tblRuns[[#This Row],[Cycle (s/unit)]]),tblRuns[[#This Row],[Downtime (min)]]*60/tblRuns[[#This Row],[Cycle (s/unit)]],""))</f>
        <v>900</v>
      </c>
      <c r="R44" s="35">
        <f>IF(tblRuns[[#This Row],[Date]]="","",IF(ISNUMBER(tblRuns[[#This Row],[Cycle (s/unit)]]),tblRuns[[#This Row],[Run (min)]]*60/tblRuns[[#This Row],[Cycle (s/unit)]]-tblRuns[[#This Row],[Total (units)]],""))</f>
        <v>1254</v>
      </c>
      <c r="S44" s="35">
        <f>IF(tblRuns[[#This Row],[Date]]="","",tblRuns[[#This Row],[Total (units)]]-tblRuns[[#This Row],[Good (units)]])</f>
        <v>79</v>
      </c>
      <c r="T44" s="39">
        <f>IF(tblRuns[[#This Row],[Date]]="","",IF(N(tblRuns[[#This Row],[Demand (units)]])&gt;0,tblRuns[[#This Row],[Good (units)]]/tblRuns[[#This Row],[Demand (units)]],""))</f>
        <v>0.885686274509804</v>
      </c>
      <c r="U44" s="40" t="str">
        <f>IF(NOT(ISNUMBER(tblRuns[[#This Row],[Demand coverage]])),"",IF(tblRuns[[#This Row],[Demand coverage]]&gt;=TargetCov,"On target",IF(tblRuns[[#This Row],[Demand coverage]]&gt;=TargetCov*(1-0.05),"Near target","Below target")))</f>
        <v>Below target</v>
      </c>
      <c r="V44" s="41">
        <f>IF(tblRuns[[#This Row],[Date]]="","",IF(AND(tblRuns[[#This Row],[Date]]&gt;=FFrom,tblRuns[[#This Row],[Date]]&lt;=FTo,OR(DashLine="",tblRuns[[#This Row],[Line]]=DashLine)),tblRuns[[#This Row],[Date]],""))</f>
        <v>46287</v>
      </c>
      <c r="W4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4" s="43" t="s">
        <v>109</v>
      </c>
    </row>
    <row r="45" spans="2:24" x14ac:dyDescent="0.25">
      <c r="B45" s="37">
        <v>46287</v>
      </c>
      <c r="C45" s="28" t="s">
        <v>85</v>
      </c>
      <c r="D45" s="28" t="s">
        <v>76</v>
      </c>
      <c r="E45" s="34">
        <v>450</v>
      </c>
      <c r="F45" s="34">
        <v>30</v>
      </c>
      <c r="G45" s="34">
        <v>15025</v>
      </c>
      <c r="H45" s="34">
        <v>14791</v>
      </c>
      <c r="I45" s="38">
        <f>IF(tblRuns[[#This Row],[Date]]="","",IFERROR(INDEX(tblLines[Bottleneck cycle (s/unit)],MATCH(tblRuns[[#This Row],[Line]],tblLines[Line],0)),""))</f>
        <v>1.5</v>
      </c>
      <c r="J45" s="35">
        <f>IF(tblRuns[[#This Row],[Date]]="","",IFERROR(INDEX(tblLines[Demand per shift (units)],MATCH(tblRuns[[#This Row],[Line]],tblLines[Line],0)),""))</f>
        <v>14500</v>
      </c>
      <c r="K45" s="35">
        <f>IF(tblRuns[[#This Row],[Date]]="","",tblRuns[[#This Row],[Scheduled (min)]]-tblRuns[[#This Row],[Downtime (min)]])</f>
        <v>420</v>
      </c>
      <c r="L45" s="35">
        <f>IF(tblRuns[[#This Row],[Date]]="","",IF(ISNUMBER(tblRuns[[#This Row],[Cycle (s/unit)]]),tblRuns[[#This Row],[Scheduled (min)]]*60/tblRuns[[#This Row],[Cycle (s/unit)]],""))</f>
        <v>18000</v>
      </c>
      <c r="M45" s="35">
        <f>IF(tblRuns[[#This Row],[Date]]="","",IF(tblRuns[[#This Row],[Scheduled (min)]]&gt;0,tblRuns[[#This Row],[Good (units)]]/(tblRuns[[#This Row],[Scheduled (min)]]/60),""))</f>
        <v>1972.13333333333</v>
      </c>
      <c r="N45" s="39">
        <f>IF(tblRuns[[#This Row],[Date]]="","",IF(tblRuns[[#This Row],[Scheduled (min)]]&gt;0,tblRuns[[#This Row],[Run (min)]]/tblRuns[[#This Row],[Scheduled (min)]],""))</f>
        <v>0.933333333333333</v>
      </c>
      <c r="O45" s="39">
        <f>IF(tblRuns[[#This Row],[Date]]="","",IF(tblRuns[[#This Row],[Total (units)]]&gt;0,tblRuns[[#This Row],[Good (units)]]/tblRuns[[#This Row],[Total (units)]],""))</f>
        <v>0.984425956738769</v>
      </c>
      <c r="P45" s="39">
        <f>IF(tblRuns[[#This Row],[Date]]="","",IF(N(tblRuns[[#This Row],[Theoretical (units)]])&gt;0,tblRuns[[#This Row],[Good (units)]]/tblRuns[[#This Row],[Theoretical (units)]],""))</f>
        <v>0.821722222222222</v>
      </c>
      <c r="Q45" s="35">
        <f>IF(tblRuns[[#This Row],[Date]]="","",IF(ISNUMBER(tblRuns[[#This Row],[Cycle (s/unit)]]),tblRuns[[#This Row],[Downtime (min)]]*60/tblRuns[[#This Row],[Cycle (s/unit)]],""))</f>
        <v>1200</v>
      </c>
      <c r="R45" s="35">
        <f>IF(tblRuns[[#This Row],[Date]]="","",IF(ISNUMBER(tblRuns[[#This Row],[Cycle (s/unit)]]),tblRuns[[#This Row],[Run (min)]]*60/tblRuns[[#This Row],[Cycle (s/unit)]]-tblRuns[[#This Row],[Total (units)]],""))</f>
        <v>1775</v>
      </c>
      <c r="S45" s="35">
        <f>IF(tblRuns[[#This Row],[Date]]="","",tblRuns[[#This Row],[Total (units)]]-tblRuns[[#This Row],[Good (units)]])</f>
        <v>234</v>
      </c>
      <c r="T45" s="39">
        <f>IF(tblRuns[[#This Row],[Date]]="","",IF(N(tblRuns[[#This Row],[Demand (units)]])&gt;0,tblRuns[[#This Row],[Good (units)]]/tblRuns[[#This Row],[Demand (units)]],""))</f>
        <v>1.02006896551724</v>
      </c>
      <c r="U45" s="40" t="str">
        <f>IF(NOT(ISNUMBER(tblRuns[[#This Row],[Demand coverage]])),"",IF(tblRuns[[#This Row],[Demand coverage]]&gt;=TargetCov,"On target",IF(tblRuns[[#This Row],[Demand coverage]]&gt;=TargetCov*(1-0.05),"Near target","Below target")))</f>
        <v>On target</v>
      </c>
      <c r="V45" s="41">
        <f>IF(tblRuns[[#This Row],[Date]]="","",IF(AND(tblRuns[[#This Row],[Date]]&gt;=FFrom,tblRuns[[#This Row],[Date]]&lt;=FTo,OR(DashLine="",tblRuns[[#This Row],[Line]]=DashLine)),tblRuns[[#This Row],[Date]],""))</f>
        <v>46287</v>
      </c>
      <c r="W4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5" s="43" t="s">
        <v>109</v>
      </c>
    </row>
    <row r="46" spans="2:24" x14ac:dyDescent="0.25">
      <c r="B46" s="37">
        <v>46287</v>
      </c>
      <c r="C46" s="28" t="s">
        <v>85</v>
      </c>
      <c r="D46" s="28" t="s">
        <v>78</v>
      </c>
      <c r="E46" s="34">
        <v>450</v>
      </c>
      <c r="F46" s="34">
        <v>100</v>
      </c>
      <c r="G46" s="34">
        <v>6466</v>
      </c>
      <c r="H46" s="34">
        <v>6429</v>
      </c>
      <c r="I46" s="38">
        <f>IF(tblRuns[[#This Row],[Date]]="","",IFERROR(INDEX(tblLines[Bottleneck cycle (s/unit)],MATCH(tblRuns[[#This Row],[Line]],tblLines[Line],0)),""))</f>
        <v>3</v>
      </c>
      <c r="J46" s="35">
        <f>IF(tblRuns[[#This Row],[Date]]="","",IFERROR(INDEX(tblLines[Demand per shift (units)],MATCH(tblRuns[[#This Row],[Line]],tblLines[Line],0)),""))</f>
        <v>6600</v>
      </c>
      <c r="K46" s="35">
        <f>IF(tblRuns[[#This Row],[Date]]="","",tblRuns[[#This Row],[Scheduled (min)]]-tblRuns[[#This Row],[Downtime (min)]])</f>
        <v>350</v>
      </c>
      <c r="L46" s="35">
        <f>IF(tblRuns[[#This Row],[Date]]="","",IF(ISNUMBER(tblRuns[[#This Row],[Cycle (s/unit)]]),tblRuns[[#This Row],[Scheduled (min)]]*60/tblRuns[[#This Row],[Cycle (s/unit)]],""))</f>
        <v>9000</v>
      </c>
      <c r="M46" s="35">
        <f>IF(tblRuns[[#This Row],[Date]]="","",IF(tblRuns[[#This Row],[Scheduled (min)]]&gt;0,tblRuns[[#This Row],[Good (units)]]/(tblRuns[[#This Row],[Scheduled (min)]]/60),""))</f>
        <v>857.2</v>
      </c>
      <c r="N46" s="39">
        <f>IF(tblRuns[[#This Row],[Date]]="","",IF(tblRuns[[#This Row],[Scheduled (min)]]&gt;0,tblRuns[[#This Row],[Run (min)]]/tblRuns[[#This Row],[Scheduled (min)]],""))</f>
        <v>0.777777777777778</v>
      </c>
      <c r="O46" s="39">
        <f>IF(tblRuns[[#This Row],[Date]]="","",IF(tblRuns[[#This Row],[Total (units)]]&gt;0,tblRuns[[#This Row],[Good (units)]]/tblRuns[[#This Row],[Total (units)]],""))</f>
        <v>0.994277760593876</v>
      </c>
      <c r="P46" s="39">
        <f>IF(tblRuns[[#This Row],[Date]]="","",IF(N(tblRuns[[#This Row],[Theoretical (units)]])&gt;0,tblRuns[[#This Row],[Good (units)]]/tblRuns[[#This Row],[Theoretical (units)]],""))</f>
        <v>0.714333333333333</v>
      </c>
      <c r="Q46" s="35">
        <f>IF(tblRuns[[#This Row],[Date]]="","",IF(ISNUMBER(tblRuns[[#This Row],[Cycle (s/unit)]]),tblRuns[[#This Row],[Downtime (min)]]*60/tblRuns[[#This Row],[Cycle (s/unit)]],""))</f>
        <v>2000</v>
      </c>
      <c r="R46" s="35">
        <f>IF(tblRuns[[#This Row],[Date]]="","",IF(ISNUMBER(tblRuns[[#This Row],[Cycle (s/unit)]]),tblRuns[[#This Row],[Run (min)]]*60/tblRuns[[#This Row],[Cycle (s/unit)]]-tblRuns[[#This Row],[Total (units)]],""))</f>
        <v>534</v>
      </c>
      <c r="S46" s="35">
        <f>IF(tblRuns[[#This Row],[Date]]="","",tblRuns[[#This Row],[Total (units)]]-tblRuns[[#This Row],[Good (units)]])</f>
        <v>37</v>
      </c>
      <c r="T46" s="39">
        <f>IF(tblRuns[[#This Row],[Date]]="","",IF(N(tblRuns[[#This Row],[Demand (units)]])&gt;0,tblRuns[[#This Row],[Good (units)]]/tblRuns[[#This Row],[Demand (units)]],""))</f>
        <v>0.974090909090909</v>
      </c>
      <c r="U46" s="40" t="str">
        <f>IF(NOT(ISNUMBER(tblRuns[[#This Row],[Demand coverage]])),"",IF(tblRuns[[#This Row],[Demand coverage]]&gt;=TargetCov,"On target",IF(tblRuns[[#This Row],[Demand coverage]]&gt;=TargetCov*(1-0.05),"Near target","Below target")))</f>
        <v>Near target</v>
      </c>
      <c r="V46" s="41">
        <f>IF(tblRuns[[#This Row],[Date]]="","",IF(AND(tblRuns[[#This Row],[Date]]&gt;=FFrom,tblRuns[[#This Row],[Date]]&lt;=FTo,OR(DashLine="",tblRuns[[#This Row],[Line]]=DashLine)),tblRuns[[#This Row],[Date]],""))</f>
        <v>46287</v>
      </c>
      <c r="W4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6" s="43" t="s">
        <v>109</v>
      </c>
    </row>
    <row r="47" spans="2:24" x14ac:dyDescent="0.25">
      <c r="B47" s="37">
        <v>46287</v>
      </c>
      <c r="C47" s="28" t="s">
        <v>85</v>
      </c>
      <c r="D47" s="28" t="s">
        <v>80</v>
      </c>
      <c r="E47" s="34">
        <v>450</v>
      </c>
      <c r="F47" s="34">
        <v>20</v>
      </c>
      <c r="G47" s="34">
        <v>5417</v>
      </c>
      <c r="H47" s="34">
        <v>5235</v>
      </c>
      <c r="I47" s="38">
        <f>IF(tblRuns[[#This Row],[Date]]="","",IFERROR(INDEX(tblLines[Bottleneck cycle (s/unit)],MATCH(tblRuns[[#This Row],[Line]],tblLines[Line],0)),""))</f>
        <v>4</v>
      </c>
      <c r="J47" s="35">
        <f>IF(tblRuns[[#This Row],[Date]]="","",IFERROR(INDEX(tblLines[Demand per shift (units)],MATCH(tblRuns[[#This Row],[Line]],tblLines[Line],0)),""))</f>
        <v>5100</v>
      </c>
      <c r="K47" s="35">
        <f>IF(tblRuns[[#This Row],[Date]]="","",tblRuns[[#This Row],[Scheduled (min)]]-tblRuns[[#This Row],[Downtime (min)]])</f>
        <v>430</v>
      </c>
      <c r="L47" s="35">
        <f>IF(tblRuns[[#This Row],[Date]]="","",IF(ISNUMBER(tblRuns[[#This Row],[Cycle (s/unit)]]),tblRuns[[#This Row],[Scheduled (min)]]*60/tblRuns[[#This Row],[Cycle (s/unit)]],""))</f>
        <v>6750</v>
      </c>
      <c r="M47" s="35">
        <f>IF(tblRuns[[#This Row],[Date]]="","",IF(tblRuns[[#This Row],[Scheduled (min)]]&gt;0,tblRuns[[#This Row],[Good (units)]]/(tblRuns[[#This Row],[Scheduled (min)]]/60),""))</f>
        <v>698</v>
      </c>
      <c r="N47" s="39">
        <f>IF(tblRuns[[#This Row],[Date]]="","",IF(tblRuns[[#This Row],[Scheduled (min)]]&gt;0,tblRuns[[#This Row],[Run (min)]]/tblRuns[[#This Row],[Scheduled (min)]],""))</f>
        <v>0.955555555555556</v>
      </c>
      <c r="O47" s="39">
        <f>IF(tblRuns[[#This Row],[Date]]="","",IF(tblRuns[[#This Row],[Total (units)]]&gt;0,tblRuns[[#This Row],[Good (units)]]/tblRuns[[#This Row],[Total (units)]],""))</f>
        <v>0.966402067565073</v>
      </c>
      <c r="P47" s="39">
        <f>IF(tblRuns[[#This Row],[Date]]="","",IF(N(tblRuns[[#This Row],[Theoretical (units)]])&gt;0,tblRuns[[#This Row],[Good (units)]]/tblRuns[[#This Row],[Theoretical (units)]],""))</f>
        <v>0.775555555555556</v>
      </c>
      <c r="Q47" s="35">
        <f>IF(tblRuns[[#This Row],[Date]]="","",IF(ISNUMBER(tblRuns[[#This Row],[Cycle (s/unit)]]),tblRuns[[#This Row],[Downtime (min)]]*60/tblRuns[[#This Row],[Cycle (s/unit)]],""))</f>
        <v>300</v>
      </c>
      <c r="R47" s="35">
        <f>IF(tblRuns[[#This Row],[Date]]="","",IF(ISNUMBER(tblRuns[[#This Row],[Cycle (s/unit)]]),tblRuns[[#This Row],[Run (min)]]*60/tblRuns[[#This Row],[Cycle (s/unit)]]-tblRuns[[#This Row],[Total (units)]],""))</f>
        <v>1033</v>
      </c>
      <c r="S47" s="35">
        <f>IF(tblRuns[[#This Row],[Date]]="","",tblRuns[[#This Row],[Total (units)]]-tblRuns[[#This Row],[Good (units)]])</f>
        <v>182</v>
      </c>
      <c r="T47" s="39">
        <f>IF(tblRuns[[#This Row],[Date]]="","",IF(N(tblRuns[[#This Row],[Demand (units)]])&gt;0,tblRuns[[#This Row],[Good (units)]]/tblRuns[[#This Row],[Demand (units)]],""))</f>
        <v>1.02647058823529</v>
      </c>
      <c r="U47" s="40" t="str">
        <f>IF(NOT(ISNUMBER(tblRuns[[#This Row],[Demand coverage]])),"",IF(tblRuns[[#This Row],[Demand coverage]]&gt;=TargetCov,"On target",IF(tblRuns[[#This Row],[Demand coverage]]&gt;=TargetCov*(1-0.05),"Near target","Below target")))</f>
        <v>On target</v>
      </c>
      <c r="V47" s="41">
        <f>IF(tblRuns[[#This Row],[Date]]="","",IF(AND(tblRuns[[#This Row],[Date]]&gt;=FFrom,tblRuns[[#This Row],[Date]]&lt;=FTo,OR(DashLine="",tblRuns[[#This Row],[Line]]=DashLine)),tblRuns[[#This Row],[Date]],""))</f>
        <v>46287</v>
      </c>
      <c r="W4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7" s="43" t="s">
        <v>109</v>
      </c>
    </row>
    <row r="48" spans="2:24" x14ac:dyDescent="0.25">
      <c r="B48" s="37">
        <v>46288</v>
      </c>
      <c r="C48" s="28" t="s">
        <v>83</v>
      </c>
      <c r="D48" s="28" t="s">
        <v>76</v>
      </c>
      <c r="E48" s="34">
        <v>450</v>
      </c>
      <c r="F48" s="34">
        <v>40</v>
      </c>
      <c r="G48" s="34">
        <v>14631</v>
      </c>
      <c r="H48" s="34">
        <v>14295</v>
      </c>
      <c r="I48" s="38">
        <f>IF(tblRuns[[#This Row],[Date]]="","",IFERROR(INDEX(tblLines[Bottleneck cycle (s/unit)],MATCH(tblRuns[[#This Row],[Line]],tblLines[Line],0)),""))</f>
        <v>1.5</v>
      </c>
      <c r="J48" s="35">
        <f>IF(tblRuns[[#This Row],[Date]]="","",IFERROR(INDEX(tblLines[Demand per shift (units)],MATCH(tblRuns[[#This Row],[Line]],tblLines[Line],0)),""))</f>
        <v>14500</v>
      </c>
      <c r="K48" s="35">
        <f>IF(tblRuns[[#This Row],[Date]]="","",tblRuns[[#This Row],[Scheduled (min)]]-tblRuns[[#This Row],[Downtime (min)]])</f>
        <v>410</v>
      </c>
      <c r="L48" s="35">
        <f>IF(tblRuns[[#This Row],[Date]]="","",IF(ISNUMBER(tblRuns[[#This Row],[Cycle (s/unit)]]),tblRuns[[#This Row],[Scheduled (min)]]*60/tblRuns[[#This Row],[Cycle (s/unit)]],""))</f>
        <v>18000</v>
      </c>
      <c r="M48" s="35">
        <f>IF(tblRuns[[#This Row],[Date]]="","",IF(tblRuns[[#This Row],[Scheduled (min)]]&gt;0,tblRuns[[#This Row],[Good (units)]]/(tblRuns[[#This Row],[Scheduled (min)]]/60),""))</f>
        <v>1906</v>
      </c>
      <c r="N48" s="39">
        <f>IF(tblRuns[[#This Row],[Date]]="","",IF(tblRuns[[#This Row],[Scheduled (min)]]&gt;0,tblRuns[[#This Row],[Run (min)]]/tblRuns[[#This Row],[Scheduled (min)]],""))</f>
        <v>0.911111111111111</v>
      </c>
      <c r="O48" s="39">
        <f>IF(tblRuns[[#This Row],[Date]]="","",IF(tblRuns[[#This Row],[Total (units)]]&gt;0,tblRuns[[#This Row],[Good (units)]]/tblRuns[[#This Row],[Total (units)]],""))</f>
        <v>0.977035062538446</v>
      </c>
      <c r="P48" s="39">
        <f>IF(tblRuns[[#This Row],[Date]]="","",IF(N(tblRuns[[#This Row],[Theoretical (units)]])&gt;0,tblRuns[[#This Row],[Good (units)]]/tblRuns[[#This Row],[Theoretical (units)]],""))</f>
        <v>0.794166666666667</v>
      </c>
      <c r="Q48" s="35">
        <f>IF(tblRuns[[#This Row],[Date]]="","",IF(ISNUMBER(tblRuns[[#This Row],[Cycle (s/unit)]]),tblRuns[[#This Row],[Downtime (min)]]*60/tblRuns[[#This Row],[Cycle (s/unit)]],""))</f>
        <v>1600</v>
      </c>
      <c r="R48" s="35">
        <f>IF(tblRuns[[#This Row],[Date]]="","",IF(ISNUMBER(tblRuns[[#This Row],[Cycle (s/unit)]]),tblRuns[[#This Row],[Run (min)]]*60/tblRuns[[#This Row],[Cycle (s/unit)]]-tblRuns[[#This Row],[Total (units)]],""))</f>
        <v>1769</v>
      </c>
      <c r="S48" s="35">
        <f>IF(tblRuns[[#This Row],[Date]]="","",tblRuns[[#This Row],[Total (units)]]-tblRuns[[#This Row],[Good (units)]])</f>
        <v>336</v>
      </c>
      <c r="T48" s="39">
        <f>IF(tblRuns[[#This Row],[Date]]="","",IF(N(tblRuns[[#This Row],[Demand (units)]])&gt;0,tblRuns[[#This Row],[Good (units)]]/tblRuns[[#This Row],[Demand (units)]],""))</f>
        <v>0.985862068965517</v>
      </c>
      <c r="U48" s="40" t="str">
        <f>IF(NOT(ISNUMBER(tblRuns[[#This Row],[Demand coverage]])),"",IF(tblRuns[[#This Row],[Demand coverage]]&gt;=TargetCov,"On target",IF(tblRuns[[#This Row],[Demand coverage]]&gt;=TargetCov*(1-0.05),"Near target","Below target")))</f>
        <v>Near target</v>
      </c>
      <c r="V48" s="41">
        <f>IF(tblRuns[[#This Row],[Date]]="","",IF(AND(tblRuns[[#This Row],[Date]]&gt;=FFrom,tblRuns[[#This Row],[Date]]&lt;=FTo,OR(DashLine="",tblRuns[[#This Row],[Line]]=DashLine)),tblRuns[[#This Row],[Date]],""))</f>
        <v>46288</v>
      </c>
      <c r="W4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8" s="43" t="s">
        <v>109</v>
      </c>
    </row>
    <row r="49" spans="2:24" x14ac:dyDescent="0.25">
      <c r="B49" s="37">
        <v>46288</v>
      </c>
      <c r="C49" s="28" t="s">
        <v>83</v>
      </c>
      <c r="D49" s="28" t="s">
        <v>78</v>
      </c>
      <c r="E49" s="34">
        <v>450</v>
      </c>
      <c r="F49" s="34">
        <v>40</v>
      </c>
      <c r="G49" s="34">
        <v>7835</v>
      </c>
      <c r="H49" s="34">
        <v>7817</v>
      </c>
      <c r="I49" s="38">
        <f>IF(tblRuns[[#This Row],[Date]]="","",IFERROR(INDEX(tblLines[Bottleneck cycle (s/unit)],MATCH(tblRuns[[#This Row],[Line]],tblLines[Line],0)),""))</f>
        <v>3</v>
      </c>
      <c r="J49" s="35">
        <f>IF(tblRuns[[#This Row],[Date]]="","",IFERROR(INDEX(tblLines[Demand per shift (units)],MATCH(tblRuns[[#This Row],[Line]],tblLines[Line],0)),""))</f>
        <v>6600</v>
      </c>
      <c r="K49" s="35">
        <f>IF(tblRuns[[#This Row],[Date]]="","",tblRuns[[#This Row],[Scheduled (min)]]-tblRuns[[#This Row],[Downtime (min)]])</f>
        <v>410</v>
      </c>
      <c r="L49" s="35">
        <f>IF(tblRuns[[#This Row],[Date]]="","",IF(ISNUMBER(tblRuns[[#This Row],[Cycle (s/unit)]]),tblRuns[[#This Row],[Scheduled (min)]]*60/tblRuns[[#This Row],[Cycle (s/unit)]],""))</f>
        <v>9000</v>
      </c>
      <c r="M49" s="35">
        <f>IF(tblRuns[[#This Row],[Date]]="","",IF(tblRuns[[#This Row],[Scheduled (min)]]&gt;0,tblRuns[[#This Row],[Good (units)]]/(tblRuns[[#This Row],[Scheduled (min)]]/60),""))</f>
        <v>1042.26666666667</v>
      </c>
      <c r="N49" s="39">
        <f>IF(tblRuns[[#This Row],[Date]]="","",IF(tblRuns[[#This Row],[Scheduled (min)]]&gt;0,tblRuns[[#This Row],[Run (min)]]/tblRuns[[#This Row],[Scheduled (min)]],""))</f>
        <v>0.911111111111111</v>
      </c>
      <c r="O49" s="39">
        <f>IF(tblRuns[[#This Row],[Date]]="","",IF(tblRuns[[#This Row],[Total (units)]]&gt;0,tblRuns[[#This Row],[Good (units)]]/tblRuns[[#This Row],[Total (units)]],""))</f>
        <v>0.997702616464582</v>
      </c>
      <c r="P49" s="39">
        <f>IF(tblRuns[[#This Row],[Date]]="","",IF(N(tblRuns[[#This Row],[Theoretical (units)]])&gt;0,tblRuns[[#This Row],[Good (units)]]/tblRuns[[#This Row],[Theoretical (units)]],""))</f>
        <v>0.868555555555556</v>
      </c>
      <c r="Q49" s="35">
        <f>IF(tblRuns[[#This Row],[Date]]="","",IF(ISNUMBER(tblRuns[[#This Row],[Cycle (s/unit)]]),tblRuns[[#This Row],[Downtime (min)]]*60/tblRuns[[#This Row],[Cycle (s/unit)]],""))</f>
        <v>800</v>
      </c>
      <c r="R49" s="35">
        <f>IF(tblRuns[[#This Row],[Date]]="","",IF(ISNUMBER(tblRuns[[#This Row],[Cycle (s/unit)]]),tblRuns[[#This Row],[Run (min)]]*60/tblRuns[[#This Row],[Cycle (s/unit)]]-tblRuns[[#This Row],[Total (units)]],""))</f>
        <v>365</v>
      </c>
      <c r="S49" s="35">
        <f>IF(tblRuns[[#This Row],[Date]]="","",tblRuns[[#This Row],[Total (units)]]-tblRuns[[#This Row],[Good (units)]])</f>
        <v>18</v>
      </c>
      <c r="T49" s="39">
        <f>IF(tblRuns[[#This Row],[Date]]="","",IF(N(tblRuns[[#This Row],[Demand (units)]])&gt;0,tblRuns[[#This Row],[Good (units)]]/tblRuns[[#This Row],[Demand (units)]],""))</f>
        <v>1.18439393939394</v>
      </c>
      <c r="U49" s="40" t="str">
        <f>IF(NOT(ISNUMBER(tblRuns[[#This Row],[Demand coverage]])),"",IF(tblRuns[[#This Row],[Demand coverage]]&gt;=TargetCov,"On target",IF(tblRuns[[#This Row],[Demand coverage]]&gt;=TargetCov*(1-0.05),"Near target","Below target")))</f>
        <v>On target</v>
      </c>
      <c r="V49" s="41">
        <f>IF(tblRuns[[#This Row],[Date]]="","",IF(AND(tblRuns[[#This Row],[Date]]&gt;=FFrom,tblRuns[[#This Row],[Date]]&lt;=FTo,OR(DashLine="",tblRuns[[#This Row],[Line]]=DashLine)),tblRuns[[#This Row],[Date]],""))</f>
        <v>46288</v>
      </c>
      <c r="W4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49" s="43" t="s">
        <v>109</v>
      </c>
    </row>
    <row r="50" spans="2:24" x14ac:dyDescent="0.25">
      <c r="B50" s="37">
        <v>46288</v>
      </c>
      <c r="C50" s="28" t="s">
        <v>83</v>
      </c>
      <c r="D50" s="28" t="s">
        <v>80</v>
      </c>
      <c r="E50" s="34">
        <v>450</v>
      </c>
      <c r="F50" s="34">
        <v>70</v>
      </c>
      <c r="G50" s="34">
        <v>4572</v>
      </c>
      <c r="H50" s="34">
        <v>4485</v>
      </c>
      <c r="I50" s="38">
        <f>IF(tblRuns[[#This Row],[Date]]="","",IFERROR(INDEX(tblLines[Bottleneck cycle (s/unit)],MATCH(tblRuns[[#This Row],[Line]],tblLines[Line],0)),""))</f>
        <v>4</v>
      </c>
      <c r="J50" s="35">
        <f>IF(tblRuns[[#This Row],[Date]]="","",IFERROR(INDEX(tblLines[Demand per shift (units)],MATCH(tblRuns[[#This Row],[Line]],tblLines[Line],0)),""))</f>
        <v>5100</v>
      </c>
      <c r="K50" s="35">
        <f>IF(tblRuns[[#This Row],[Date]]="","",tblRuns[[#This Row],[Scheduled (min)]]-tblRuns[[#This Row],[Downtime (min)]])</f>
        <v>380</v>
      </c>
      <c r="L50" s="35">
        <f>IF(tblRuns[[#This Row],[Date]]="","",IF(ISNUMBER(tblRuns[[#This Row],[Cycle (s/unit)]]),tblRuns[[#This Row],[Scheduled (min)]]*60/tblRuns[[#This Row],[Cycle (s/unit)]],""))</f>
        <v>6750</v>
      </c>
      <c r="M50" s="35">
        <f>IF(tblRuns[[#This Row],[Date]]="","",IF(tblRuns[[#This Row],[Scheduled (min)]]&gt;0,tblRuns[[#This Row],[Good (units)]]/(tblRuns[[#This Row],[Scheduled (min)]]/60),""))</f>
        <v>598</v>
      </c>
      <c r="N50" s="39">
        <f>IF(tblRuns[[#This Row],[Date]]="","",IF(tblRuns[[#This Row],[Scheduled (min)]]&gt;0,tblRuns[[#This Row],[Run (min)]]/tblRuns[[#This Row],[Scheduled (min)]],""))</f>
        <v>0.844444444444444</v>
      </c>
      <c r="O50" s="39">
        <f>IF(tblRuns[[#This Row],[Date]]="","",IF(tblRuns[[#This Row],[Total (units)]]&gt;0,tblRuns[[#This Row],[Good (units)]]/tblRuns[[#This Row],[Total (units)]],""))</f>
        <v>0.980971128608924</v>
      </c>
      <c r="P50" s="39">
        <f>IF(tblRuns[[#This Row],[Date]]="","",IF(N(tblRuns[[#This Row],[Theoretical (units)]])&gt;0,tblRuns[[#This Row],[Good (units)]]/tblRuns[[#This Row],[Theoretical (units)]],""))</f>
        <v>0.664444444444444</v>
      </c>
      <c r="Q50" s="35">
        <f>IF(tblRuns[[#This Row],[Date]]="","",IF(ISNUMBER(tblRuns[[#This Row],[Cycle (s/unit)]]),tblRuns[[#This Row],[Downtime (min)]]*60/tblRuns[[#This Row],[Cycle (s/unit)]],""))</f>
        <v>1050</v>
      </c>
      <c r="R50" s="35">
        <f>IF(tblRuns[[#This Row],[Date]]="","",IF(ISNUMBER(tblRuns[[#This Row],[Cycle (s/unit)]]),tblRuns[[#This Row],[Run (min)]]*60/tblRuns[[#This Row],[Cycle (s/unit)]]-tblRuns[[#This Row],[Total (units)]],""))</f>
        <v>1128</v>
      </c>
      <c r="S50" s="35">
        <f>IF(tblRuns[[#This Row],[Date]]="","",tblRuns[[#This Row],[Total (units)]]-tblRuns[[#This Row],[Good (units)]])</f>
        <v>87</v>
      </c>
      <c r="T50" s="39">
        <f>IF(tblRuns[[#This Row],[Date]]="","",IF(N(tblRuns[[#This Row],[Demand (units)]])&gt;0,tblRuns[[#This Row],[Good (units)]]/tblRuns[[#This Row],[Demand (units)]],""))</f>
        <v>0.879411764705882</v>
      </c>
      <c r="U50" s="40" t="str">
        <f>IF(NOT(ISNUMBER(tblRuns[[#This Row],[Demand coverage]])),"",IF(tblRuns[[#This Row],[Demand coverage]]&gt;=TargetCov,"On target",IF(tblRuns[[#This Row],[Demand coverage]]&gt;=TargetCov*(1-0.05),"Near target","Below target")))</f>
        <v>Below target</v>
      </c>
      <c r="V50" s="41">
        <f>IF(tblRuns[[#This Row],[Date]]="","",IF(AND(tblRuns[[#This Row],[Date]]&gt;=FFrom,tblRuns[[#This Row],[Date]]&lt;=FTo,OR(DashLine="",tblRuns[[#This Row],[Line]]=DashLine)),tblRuns[[#This Row],[Date]],""))</f>
        <v>46288</v>
      </c>
      <c r="W5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0" s="43" t="s">
        <v>109</v>
      </c>
    </row>
    <row r="51" spans="2:24" x14ac:dyDescent="0.25">
      <c r="B51" s="37">
        <v>46288</v>
      </c>
      <c r="C51" s="28" t="s">
        <v>85</v>
      </c>
      <c r="D51" s="28" t="s">
        <v>76</v>
      </c>
      <c r="E51" s="34">
        <v>450</v>
      </c>
      <c r="F51" s="34">
        <v>30</v>
      </c>
      <c r="G51" s="34">
        <v>15788</v>
      </c>
      <c r="H51" s="34">
        <v>15506</v>
      </c>
      <c r="I51" s="38">
        <f>IF(tblRuns[[#This Row],[Date]]="","",IFERROR(INDEX(tblLines[Bottleneck cycle (s/unit)],MATCH(tblRuns[[#This Row],[Line]],tblLines[Line],0)),""))</f>
        <v>1.5</v>
      </c>
      <c r="J51" s="35">
        <f>IF(tblRuns[[#This Row],[Date]]="","",IFERROR(INDEX(tblLines[Demand per shift (units)],MATCH(tblRuns[[#This Row],[Line]],tblLines[Line],0)),""))</f>
        <v>14500</v>
      </c>
      <c r="K51" s="35">
        <f>IF(tblRuns[[#This Row],[Date]]="","",tblRuns[[#This Row],[Scheduled (min)]]-tblRuns[[#This Row],[Downtime (min)]])</f>
        <v>420</v>
      </c>
      <c r="L51" s="35">
        <f>IF(tblRuns[[#This Row],[Date]]="","",IF(ISNUMBER(tblRuns[[#This Row],[Cycle (s/unit)]]),tblRuns[[#This Row],[Scheduled (min)]]*60/tblRuns[[#This Row],[Cycle (s/unit)]],""))</f>
        <v>18000</v>
      </c>
      <c r="M51" s="35">
        <f>IF(tblRuns[[#This Row],[Date]]="","",IF(tblRuns[[#This Row],[Scheduled (min)]]&gt;0,tblRuns[[#This Row],[Good (units)]]/(tblRuns[[#This Row],[Scheduled (min)]]/60),""))</f>
        <v>2067.46666666667</v>
      </c>
      <c r="N51" s="39">
        <f>IF(tblRuns[[#This Row],[Date]]="","",IF(tblRuns[[#This Row],[Scheduled (min)]]&gt;0,tblRuns[[#This Row],[Run (min)]]/tblRuns[[#This Row],[Scheduled (min)]],""))</f>
        <v>0.933333333333333</v>
      </c>
      <c r="O51" s="39">
        <f>IF(tblRuns[[#This Row],[Date]]="","",IF(tblRuns[[#This Row],[Total (units)]]&gt;0,tblRuns[[#This Row],[Good (units)]]/tblRuns[[#This Row],[Total (units)]],""))</f>
        <v>0.982138332911072</v>
      </c>
      <c r="P51" s="39">
        <f>IF(tblRuns[[#This Row],[Date]]="","",IF(N(tblRuns[[#This Row],[Theoretical (units)]])&gt;0,tblRuns[[#This Row],[Good (units)]]/tblRuns[[#This Row],[Theoretical (units)]],""))</f>
        <v>0.861444444444445</v>
      </c>
      <c r="Q51" s="35">
        <f>IF(tblRuns[[#This Row],[Date]]="","",IF(ISNUMBER(tblRuns[[#This Row],[Cycle (s/unit)]]),tblRuns[[#This Row],[Downtime (min)]]*60/tblRuns[[#This Row],[Cycle (s/unit)]],""))</f>
        <v>1200</v>
      </c>
      <c r="R51" s="35">
        <f>IF(tblRuns[[#This Row],[Date]]="","",IF(ISNUMBER(tblRuns[[#This Row],[Cycle (s/unit)]]),tblRuns[[#This Row],[Run (min)]]*60/tblRuns[[#This Row],[Cycle (s/unit)]]-tblRuns[[#This Row],[Total (units)]],""))</f>
        <v>1012</v>
      </c>
      <c r="S51" s="35">
        <f>IF(tblRuns[[#This Row],[Date]]="","",tblRuns[[#This Row],[Total (units)]]-tblRuns[[#This Row],[Good (units)]])</f>
        <v>282</v>
      </c>
      <c r="T51" s="39">
        <f>IF(tblRuns[[#This Row],[Date]]="","",IF(N(tblRuns[[#This Row],[Demand (units)]])&gt;0,tblRuns[[#This Row],[Good (units)]]/tblRuns[[#This Row],[Demand (units)]],""))</f>
        <v>1.06937931034483</v>
      </c>
      <c r="U51" s="40" t="str">
        <f>IF(NOT(ISNUMBER(tblRuns[[#This Row],[Demand coverage]])),"",IF(tblRuns[[#This Row],[Demand coverage]]&gt;=TargetCov,"On target",IF(tblRuns[[#This Row],[Demand coverage]]&gt;=TargetCov*(1-0.05),"Near target","Below target")))</f>
        <v>On target</v>
      </c>
      <c r="V51" s="41">
        <f>IF(tblRuns[[#This Row],[Date]]="","",IF(AND(tblRuns[[#This Row],[Date]]&gt;=FFrom,tblRuns[[#This Row],[Date]]&lt;=FTo,OR(DashLine="",tblRuns[[#This Row],[Line]]=DashLine)),tblRuns[[#This Row],[Date]],""))</f>
        <v>46288</v>
      </c>
      <c r="W5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1" s="43" t="s">
        <v>109</v>
      </c>
    </row>
    <row r="52" spans="2:24" x14ac:dyDescent="0.25">
      <c r="B52" s="37">
        <v>46288</v>
      </c>
      <c r="C52" s="28" t="s">
        <v>85</v>
      </c>
      <c r="D52" s="28" t="s">
        <v>78</v>
      </c>
      <c r="E52" s="34">
        <v>450</v>
      </c>
      <c r="F52" s="34">
        <v>85</v>
      </c>
      <c r="G52" s="34">
        <v>6808</v>
      </c>
      <c r="H52" s="34">
        <v>6785</v>
      </c>
      <c r="I52" s="38">
        <f>IF(tblRuns[[#This Row],[Date]]="","",IFERROR(INDEX(tblLines[Bottleneck cycle (s/unit)],MATCH(tblRuns[[#This Row],[Line]],tblLines[Line],0)),""))</f>
        <v>3</v>
      </c>
      <c r="J52" s="35">
        <f>IF(tblRuns[[#This Row],[Date]]="","",IFERROR(INDEX(tblLines[Demand per shift (units)],MATCH(tblRuns[[#This Row],[Line]],tblLines[Line],0)),""))</f>
        <v>6600</v>
      </c>
      <c r="K52" s="35">
        <f>IF(tblRuns[[#This Row],[Date]]="","",tblRuns[[#This Row],[Scheduled (min)]]-tblRuns[[#This Row],[Downtime (min)]])</f>
        <v>365</v>
      </c>
      <c r="L52" s="35">
        <f>IF(tblRuns[[#This Row],[Date]]="","",IF(ISNUMBER(tblRuns[[#This Row],[Cycle (s/unit)]]),tblRuns[[#This Row],[Scheduled (min)]]*60/tblRuns[[#This Row],[Cycle (s/unit)]],""))</f>
        <v>9000</v>
      </c>
      <c r="M52" s="35">
        <f>IF(tblRuns[[#This Row],[Date]]="","",IF(tblRuns[[#This Row],[Scheduled (min)]]&gt;0,tblRuns[[#This Row],[Good (units)]]/(tblRuns[[#This Row],[Scheduled (min)]]/60),""))</f>
        <v>904.666666666667</v>
      </c>
      <c r="N52" s="39">
        <f>IF(tblRuns[[#This Row],[Date]]="","",IF(tblRuns[[#This Row],[Scheduled (min)]]&gt;0,tblRuns[[#This Row],[Run (min)]]/tblRuns[[#This Row],[Scheduled (min)]],""))</f>
        <v>0.811111111111111</v>
      </c>
      <c r="O52" s="39">
        <f>IF(tblRuns[[#This Row],[Date]]="","",IF(tblRuns[[#This Row],[Total (units)]]&gt;0,tblRuns[[#This Row],[Good (units)]]/tblRuns[[#This Row],[Total (units)]],""))</f>
        <v>0.996621621621622</v>
      </c>
      <c r="P52" s="39">
        <f>IF(tblRuns[[#This Row],[Date]]="","",IF(N(tblRuns[[#This Row],[Theoretical (units)]])&gt;0,tblRuns[[#This Row],[Good (units)]]/tblRuns[[#This Row],[Theoretical (units)]],""))</f>
        <v>0.753888888888889</v>
      </c>
      <c r="Q52" s="35">
        <f>IF(tblRuns[[#This Row],[Date]]="","",IF(ISNUMBER(tblRuns[[#This Row],[Cycle (s/unit)]]),tblRuns[[#This Row],[Downtime (min)]]*60/tblRuns[[#This Row],[Cycle (s/unit)]],""))</f>
        <v>1700</v>
      </c>
      <c r="R52" s="35">
        <f>IF(tblRuns[[#This Row],[Date]]="","",IF(ISNUMBER(tblRuns[[#This Row],[Cycle (s/unit)]]),tblRuns[[#This Row],[Run (min)]]*60/tblRuns[[#This Row],[Cycle (s/unit)]]-tblRuns[[#This Row],[Total (units)]],""))</f>
        <v>492</v>
      </c>
      <c r="S52" s="35">
        <f>IF(tblRuns[[#This Row],[Date]]="","",tblRuns[[#This Row],[Total (units)]]-tblRuns[[#This Row],[Good (units)]])</f>
        <v>23</v>
      </c>
      <c r="T52" s="39">
        <f>IF(tblRuns[[#This Row],[Date]]="","",IF(N(tblRuns[[#This Row],[Demand (units)]])&gt;0,tblRuns[[#This Row],[Good (units)]]/tblRuns[[#This Row],[Demand (units)]],""))</f>
        <v>1.0280303030303</v>
      </c>
      <c r="U52" s="40" t="str">
        <f>IF(NOT(ISNUMBER(tblRuns[[#This Row],[Demand coverage]])),"",IF(tblRuns[[#This Row],[Demand coverage]]&gt;=TargetCov,"On target",IF(tblRuns[[#This Row],[Demand coverage]]&gt;=TargetCov*(1-0.05),"Near target","Below target")))</f>
        <v>On target</v>
      </c>
      <c r="V52" s="41">
        <f>IF(tblRuns[[#This Row],[Date]]="","",IF(AND(tblRuns[[#This Row],[Date]]&gt;=FFrom,tblRuns[[#This Row],[Date]]&lt;=FTo,OR(DashLine="",tblRuns[[#This Row],[Line]]=DashLine)),tblRuns[[#This Row],[Date]],""))</f>
        <v>46288</v>
      </c>
      <c r="W5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2" s="43" t="s">
        <v>109</v>
      </c>
    </row>
    <row r="53" spans="2:24" x14ac:dyDescent="0.25">
      <c r="B53" s="37">
        <v>46288</v>
      </c>
      <c r="C53" s="28" t="s">
        <v>85</v>
      </c>
      <c r="D53" s="28" t="s">
        <v>80</v>
      </c>
      <c r="E53" s="34">
        <v>450</v>
      </c>
      <c r="F53" s="34">
        <v>50</v>
      </c>
      <c r="G53" s="34">
        <v>5012</v>
      </c>
      <c r="H53" s="34">
        <v>4842</v>
      </c>
      <c r="I53" s="38">
        <f>IF(tblRuns[[#This Row],[Date]]="","",IFERROR(INDEX(tblLines[Bottleneck cycle (s/unit)],MATCH(tblRuns[[#This Row],[Line]],tblLines[Line],0)),""))</f>
        <v>4</v>
      </c>
      <c r="J53" s="35">
        <f>IF(tblRuns[[#This Row],[Date]]="","",IFERROR(INDEX(tblLines[Demand per shift (units)],MATCH(tblRuns[[#This Row],[Line]],tblLines[Line],0)),""))</f>
        <v>5100</v>
      </c>
      <c r="K53" s="35">
        <f>IF(tblRuns[[#This Row],[Date]]="","",tblRuns[[#This Row],[Scheduled (min)]]-tblRuns[[#This Row],[Downtime (min)]])</f>
        <v>400</v>
      </c>
      <c r="L53" s="35">
        <f>IF(tblRuns[[#This Row],[Date]]="","",IF(ISNUMBER(tblRuns[[#This Row],[Cycle (s/unit)]]),tblRuns[[#This Row],[Scheduled (min)]]*60/tblRuns[[#This Row],[Cycle (s/unit)]],""))</f>
        <v>6750</v>
      </c>
      <c r="M53" s="35">
        <f>IF(tblRuns[[#This Row],[Date]]="","",IF(tblRuns[[#This Row],[Scheduled (min)]]&gt;0,tblRuns[[#This Row],[Good (units)]]/(tblRuns[[#This Row],[Scheduled (min)]]/60),""))</f>
        <v>645.6</v>
      </c>
      <c r="N53" s="39">
        <f>IF(tblRuns[[#This Row],[Date]]="","",IF(tblRuns[[#This Row],[Scheduled (min)]]&gt;0,tblRuns[[#This Row],[Run (min)]]/tblRuns[[#This Row],[Scheduled (min)]],""))</f>
        <v>0.888888888888889</v>
      </c>
      <c r="O53" s="39">
        <f>IF(tblRuns[[#This Row],[Date]]="","",IF(tblRuns[[#This Row],[Total (units)]]&gt;0,tblRuns[[#This Row],[Good (units)]]/tblRuns[[#This Row],[Total (units)]],""))</f>
        <v>0.966081404628891</v>
      </c>
      <c r="P53" s="39">
        <f>IF(tblRuns[[#This Row],[Date]]="","",IF(N(tblRuns[[#This Row],[Theoretical (units)]])&gt;0,tblRuns[[#This Row],[Good (units)]]/tblRuns[[#This Row],[Theoretical (units)]],""))</f>
        <v>0.717333333333333</v>
      </c>
      <c r="Q53" s="35">
        <f>IF(tblRuns[[#This Row],[Date]]="","",IF(ISNUMBER(tblRuns[[#This Row],[Cycle (s/unit)]]),tblRuns[[#This Row],[Downtime (min)]]*60/tblRuns[[#This Row],[Cycle (s/unit)]],""))</f>
        <v>750</v>
      </c>
      <c r="R53" s="35">
        <f>IF(tblRuns[[#This Row],[Date]]="","",IF(ISNUMBER(tblRuns[[#This Row],[Cycle (s/unit)]]),tblRuns[[#This Row],[Run (min)]]*60/tblRuns[[#This Row],[Cycle (s/unit)]]-tblRuns[[#This Row],[Total (units)]],""))</f>
        <v>988</v>
      </c>
      <c r="S53" s="35">
        <f>IF(tblRuns[[#This Row],[Date]]="","",tblRuns[[#This Row],[Total (units)]]-tblRuns[[#This Row],[Good (units)]])</f>
        <v>170</v>
      </c>
      <c r="T53" s="39">
        <f>IF(tblRuns[[#This Row],[Date]]="","",IF(N(tblRuns[[#This Row],[Demand (units)]])&gt;0,tblRuns[[#This Row],[Good (units)]]/tblRuns[[#This Row],[Demand (units)]],""))</f>
        <v>0.949411764705882</v>
      </c>
      <c r="U53" s="40" t="str">
        <f>IF(NOT(ISNUMBER(tblRuns[[#This Row],[Demand coverage]])),"",IF(tblRuns[[#This Row],[Demand coverage]]&gt;=TargetCov,"On target",IF(tblRuns[[#This Row],[Demand coverage]]&gt;=TargetCov*(1-0.05),"Near target","Below target")))</f>
        <v>Below target</v>
      </c>
      <c r="V53" s="41">
        <f>IF(tblRuns[[#This Row],[Date]]="","",IF(AND(tblRuns[[#This Row],[Date]]&gt;=FFrom,tblRuns[[#This Row],[Date]]&lt;=FTo,OR(DashLine="",tblRuns[[#This Row],[Line]]=DashLine)),tblRuns[[#This Row],[Date]],""))</f>
        <v>46288</v>
      </c>
      <c r="W5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3" s="43" t="s">
        <v>109</v>
      </c>
    </row>
    <row r="54" spans="2:24" x14ac:dyDescent="0.25">
      <c r="B54" s="37">
        <v>46289</v>
      </c>
      <c r="C54" s="28" t="s">
        <v>83</v>
      </c>
      <c r="D54" s="28" t="s">
        <v>76</v>
      </c>
      <c r="E54" s="34">
        <v>450</v>
      </c>
      <c r="F54" s="34">
        <v>10</v>
      </c>
      <c r="G54" s="34">
        <v>15955</v>
      </c>
      <c r="H54" s="34">
        <v>15771</v>
      </c>
      <c r="I54" s="38">
        <f>IF(tblRuns[[#This Row],[Date]]="","",IFERROR(INDEX(tblLines[Bottleneck cycle (s/unit)],MATCH(tblRuns[[#This Row],[Line]],tblLines[Line],0)),""))</f>
        <v>1.5</v>
      </c>
      <c r="J54" s="35">
        <f>IF(tblRuns[[#This Row],[Date]]="","",IFERROR(INDEX(tblLines[Demand per shift (units)],MATCH(tblRuns[[#This Row],[Line]],tblLines[Line],0)),""))</f>
        <v>14500</v>
      </c>
      <c r="K54" s="35">
        <f>IF(tblRuns[[#This Row],[Date]]="","",tblRuns[[#This Row],[Scheduled (min)]]-tblRuns[[#This Row],[Downtime (min)]])</f>
        <v>440</v>
      </c>
      <c r="L54" s="35">
        <f>IF(tblRuns[[#This Row],[Date]]="","",IF(ISNUMBER(tblRuns[[#This Row],[Cycle (s/unit)]]),tblRuns[[#This Row],[Scheduled (min)]]*60/tblRuns[[#This Row],[Cycle (s/unit)]],""))</f>
        <v>18000</v>
      </c>
      <c r="M54" s="35">
        <f>IF(tblRuns[[#This Row],[Date]]="","",IF(tblRuns[[#This Row],[Scheduled (min)]]&gt;0,tblRuns[[#This Row],[Good (units)]]/(tblRuns[[#This Row],[Scheduled (min)]]/60),""))</f>
        <v>2102.8</v>
      </c>
      <c r="N54" s="39">
        <f>IF(tblRuns[[#This Row],[Date]]="","",IF(tblRuns[[#This Row],[Scheduled (min)]]&gt;0,tblRuns[[#This Row],[Run (min)]]/tblRuns[[#This Row],[Scheduled (min)]],""))</f>
        <v>0.977777777777778</v>
      </c>
      <c r="O54" s="39">
        <f>IF(tblRuns[[#This Row],[Date]]="","",IF(tblRuns[[#This Row],[Total (units)]]&gt;0,tblRuns[[#This Row],[Good (units)]]/tblRuns[[#This Row],[Total (units)]],""))</f>
        <v>0.988467565026638</v>
      </c>
      <c r="P54" s="39">
        <f>IF(tblRuns[[#This Row],[Date]]="","",IF(N(tblRuns[[#This Row],[Theoretical (units)]])&gt;0,tblRuns[[#This Row],[Good (units)]]/tblRuns[[#This Row],[Theoretical (units)]],""))</f>
        <v>0.876166666666667</v>
      </c>
      <c r="Q54" s="35">
        <f>IF(tblRuns[[#This Row],[Date]]="","",IF(ISNUMBER(tblRuns[[#This Row],[Cycle (s/unit)]]),tblRuns[[#This Row],[Downtime (min)]]*60/tblRuns[[#This Row],[Cycle (s/unit)]],""))</f>
        <v>400</v>
      </c>
      <c r="R54" s="35">
        <f>IF(tblRuns[[#This Row],[Date]]="","",IF(ISNUMBER(tblRuns[[#This Row],[Cycle (s/unit)]]),tblRuns[[#This Row],[Run (min)]]*60/tblRuns[[#This Row],[Cycle (s/unit)]]-tblRuns[[#This Row],[Total (units)]],""))</f>
        <v>1645</v>
      </c>
      <c r="S54" s="35">
        <f>IF(tblRuns[[#This Row],[Date]]="","",tblRuns[[#This Row],[Total (units)]]-tblRuns[[#This Row],[Good (units)]])</f>
        <v>184</v>
      </c>
      <c r="T54" s="39">
        <f>IF(tblRuns[[#This Row],[Date]]="","",IF(N(tblRuns[[#This Row],[Demand (units)]])&gt;0,tblRuns[[#This Row],[Good (units)]]/tblRuns[[#This Row],[Demand (units)]],""))</f>
        <v>1.08765517241379</v>
      </c>
      <c r="U54" s="40" t="str">
        <f>IF(NOT(ISNUMBER(tblRuns[[#This Row],[Demand coverage]])),"",IF(tblRuns[[#This Row],[Demand coverage]]&gt;=TargetCov,"On target",IF(tblRuns[[#This Row],[Demand coverage]]&gt;=TargetCov*(1-0.05),"Near target","Below target")))</f>
        <v>On target</v>
      </c>
      <c r="V54" s="41">
        <f>IF(tblRuns[[#This Row],[Date]]="","",IF(AND(tblRuns[[#This Row],[Date]]&gt;=FFrom,tblRuns[[#This Row],[Date]]&lt;=FTo,OR(DashLine="",tblRuns[[#This Row],[Line]]=DashLine)),tblRuns[[#This Row],[Date]],""))</f>
        <v>46289</v>
      </c>
      <c r="W5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4" s="43" t="s">
        <v>109</v>
      </c>
    </row>
    <row r="55" spans="2:24" x14ac:dyDescent="0.25">
      <c r="B55" s="37">
        <v>46289</v>
      </c>
      <c r="C55" s="28" t="s">
        <v>83</v>
      </c>
      <c r="D55" s="28" t="s">
        <v>78</v>
      </c>
      <c r="E55" s="34">
        <v>450</v>
      </c>
      <c r="F55" s="34">
        <v>120</v>
      </c>
      <c r="G55" s="34">
        <v>5998</v>
      </c>
      <c r="H55" s="34">
        <v>5947</v>
      </c>
      <c r="I55" s="38">
        <f>IF(tblRuns[[#This Row],[Date]]="","",IFERROR(INDEX(tblLines[Bottleneck cycle (s/unit)],MATCH(tblRuns[[#This Row],[Line]],tblLines[Line],0)),""))</f>
        <v>3</v>
      </c>
      <c r="J55" s="35">
        <f>IF(tblRuns[[#This Row],[Date]]="","",IFERROR(INDEX(tblLines[Demand per shift (units)],MATCH(tblRuns[[#This Row],[Line]],tblLines[Line],0)),""))</f>
        <v>6600</v>
      </c>
      <c r="K55" s="35">
        <f>IF(tblRuns[[#This Row],[Date]]="","",tblRuns[[#This Row],[Scheduled (min)]]-tblRuns[[#This Row],[Downtime (min)]])</f>
        <v>330</v>
      </c>
      <c r="L55" s="35">
        <f>IF(tblRuns[[#This Row],[Date]]="","",IF(ISNUMBER(tblRuns[[#This Row],[Cycle (s/unit)]]),tblRuns[[#This Row],[Scheduled (min)]]*60/tblRuns[[#This Row],[Cycle (s/unit)]],""))</f>
        <v>9000</v>
      </c>
      <c r="M55" s="35">
        <f>IF(tblRuns[[#This Row],[Date]]="","",IF(tblRuns[[#This Row],[Scheduled (min)]]&gt;0,tblRuns[[#This Row],[Good (units)]]/(tblRuns[[#This Row],[Scheduled (min)]]/60),""))</f>
        <v>792.933333333333</v>
      </c>
      <c r="N55" s="39">
        <f>IF(tblRuns[[#This Row],[Date]]="","",IF(tblRuns[[#This Row],[Scheduled (min)]]&gt;0,tblRuns[[#This Row],[Run (min)]]/tblRuns[[#This Row],[Scheduled (min)]],""))</f>
        <v>0.733333333333333</v>
      </c>
      <c r="O55" s="39">
        <f>IF(tblRuns[[#This Row],[Date]]="","",IF(tblRuns[[#This Row],[Total (units)]]&gt;0,tblRuns[[#This Row],[Good (units)]]/tblRuns[[#This Row],[Total (units)]],""))</f>
        <v>0.991497165721907</v>
      </c>
      <c r="P55" s="39">
        <f>IF(tblRuns[[#This Row],[Date]]="","",IF(N(tblRuns[[#This Row],[Theoretical (units)]])&gt;0,tblRuns[[#This Row],[Good (units)]]/tblRuns[[#This Row],[Theoretical (units)]],""))</f>
        <v>0.660777777777778</v>
      </c>
      <c r="Q55" s="35">
        <f>IF(tblRuns[[#This Row],[Date]]="","",IF(ISNUMBER(tblRuns[[#This Row],[Cycle (s/unit)]]),tblRuns[[#This Row],[Downtime (min)]]*60/tblRuns[[#This Row],[Cycle (s/unit)]],""))</f>
        <v>2400</v>
      </c>
      <c r="R55" s="35">
        <f>IF(tblRuns[[#This Row],[Date]]="","",IF(ISNUMBER(tblRuns[[#This Row],[Cycle (s/unit)]]),tblRuns[[#This Row],[Run (min)]]*60/tblRuns[[#This Row],[Cycle (s/unit)]]-tblRuns[[#This Row],[Total (units)]],""))</f>
        <v>602</v>
      </c>
      <c r="S55" s="35">
        <f>IF(tblRuns[[#This Row],[Date]]="","",tblRuns[[#This Row],[Total (units)]]-tblRuns[[#This Row],[Good (units)]])</f>
        <v>51</v>
      </c>
      <c r="T55" s="39">
        <f>IF(tblRuns[[#This Row],[Date]]="","",IF(N(tblRuns[[#This Row],[Demand (units)]])&gt;0,tblRuns[[#This Row],[Good (units)]]/tblRuns[[#This Row],[Demand (units)]],""))</f>
        <v>0.901060606060606</v>
      </c>
      <c r="U55" s="40" t="str">
        <f>IF(NOT(ISNUMBER(tblRuns[[#This Row],[Demand coverage]])),"",IF(tblRuns[[#This Row],[Demand coverage]]&gt;=TargetCov,"On target",IF(tblRuns[[#This Row],[Demand coverage]]&gt;=TargetCov*(1-0.05),"Near target","Below target")))</f>
        <v>Below target</v>
      </c>
      <c r="V55" s="41">
        <f>IF(tblRuns[[#This Row],[Date]]="","",IF(AND(tblRuns[[#This Row],[Date]]&gt;=FFrom,tblRuns[[#This Row],[Date]]&lt;=FTo,OR(DashLine="",tblRuns[[#This Row],[Line]]=DashLine)),tblRuns[[#This Row],[Date]],""))</f>
        <v>46289</v>
      </c>
      <c r="W5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5" s="43" t="s">
        <v>109</v>
      </c>
    </row>
    <row r="56" spans="2:24" x14ac:dyDescent="0.25">
      <c r="B56" s="37">
        <v>46289</v>
      </c>
      <c r="C56" s="28" t="s">
        <v>83</v>
      </c>
      <c r="D56" s="28" t="s">
        <v>80</v>
      </c>
      <c r="E56" s="34">
        <v>450</v>
      </c>
      <c r="F56" s="34">
        <v>10</v>
      </c>
      <c r="G56" s="34">
        <v>5594</v>
      </c>
      <c r="H56" s="34">
        <v>5413</v>
      </c>
      <c r="I56" s="38">
        <f>IF(tblRuns[[#This Row],[Date]]="","",IFERROR(INDEX(tblLines[Bottleneck cycle (s/unit)],MATCH(tblRuns[[#This Row],[Line]],tblLines[Line],0)),""))</f>
        <v>4</v>
      </c>
      <c r="J56" s="35">
        <f>IF(tblRuns[[#This Row],[Date]]="","",IFERROR(INDEX(tblLines[Demand per shift (units)],MATCH(tblRuns[[#This Row],[Line]],tblLines[Line],0)),""))</f>
        <v>5100</v>
      </c>
      <c r="K56" s="35">
        <f>IF(tblRuns[[#This Row],[Date]]="","",tblRuns[[#This Row],[Scheduled (min)]]-tblRuns[[#This Row],[Downtime (min)]])</f>
        <v>440</v>
      </c>
      <c r="L56" s="35">
        <f>IF(tblRuns[[#This Row],[Date]]="","",IF(ISNUMBER(tblRuns[[#This Row],[Cycle (s/unit)]]),tblRuns[[#This Row],[Scheduled (min)]]*60/tblRuns[[#This Row],[Cycle (s/unit)]],""))</f>
        <v>6750</v>
      </c>
      <c r="M56" s="35">
        <f>IF(tblRuns[[#This Row],[Date]]="","",IF(tblRuns[[#This Row],[Scheduled (min)]]&gt;0,tblRuns[[#This Row],[Good (units)]]/(tblRuns[[#This Row],[Scheduled (min)]]/60),""))</f>
        <v>721.733333333333</v>
      </c>
      <c r="N56" s="39">
        <f>IF(tblRuns[[#This Row],[Date]]="","",IF(tblRuns[[#This Row],[Scheduled (min)]]&gt;0,tblRuns[[#This Row],[Run (min)]]/tblRuns[[#This Row],[Scheduled (min)]],""))</f>
        <v>0.977777777777778</v>
      </c>
      <c r="O56" s="39">
        <f>IF(tblRuns[[#This Row],[Date]]="","",IF(tblRuns[[#This Row],[Total (units)]]&gt;0,tblRuns[[#This Row],[Good (units)]]/tblRuns[[#This Row],[Total (units)]],""))</f>
        <v>0.967643904183053</v>
      </c>
      <c r="P56" s="39">
        <f>IF(tblRuns[[#This Row],[Date]]="","",IF(N(tblRuns[[#This Row],[Theoretical (units)]])&gt;0,tblRuns[[#This Row],[Good (units)]]/tblRuns[[#This Row],[Theoretical (units)]],""))</f>
        <v>0.801925925925926</v>
      </c>
      <c r="Q56" s="35">
        <f>IF(tblRuns[[#This Row],[Date]]="","",IF(ISNUMBER(tblRuns[[#This Row],[Cycle (s/unit)]]),tblRuns[[#This Row],[Downtime (min)]]*60/tblRuns[[#This Row],[Cycle (s/unit)]],""))</f>
        <v>150</v>
      </c>
      <c r="R56" s="35">
        <f>IF(tblRuns[[#This Row],[Date]]="","",IF(ISNUMBER(tblRuns[[#This Row],[Cycle (s/unit)]]),tblRuns[[#This Row],[Run (min)]]*60/tblRuns[[#This Row],[Cycle (s/unit)]]-tblRuns[[#This Row],[Total (units)]],""))</f>
        <v>1006</v>
      </c>
      <c r="S56" s="35">
        <f>IF(tblRuns[[#This Row],[Date]]="","",tblRuns[[#This Row],[Total (units)]]-tblRuns[[#This Row],[Good (units)]])</f>
        <v>181</v>
      </c>
      <c r="T56" s="39">
        <f>IF(tblRuns[[#This Row],[Date]]="","",IF(N(tblRuns[[#This Row],[Demand (units)]])&gt;0,tblRuns[[#This Row],[Good (units)]]/tblRuns[[#This Row],[Demand (units)]],""))</f>
        <v>1.06137254901961</v>
      </c>
      <c r="U56" s="40" t="str">
        <f>IF(NOT(ISNUMBER(tblRuns[[#This Row],[Demand coverage]])),"",IF(tblRuns[[#This Row],[Demand coverage]]&gt;=TargetCov,"On target",IF(tblRuns[[#This Row],[Demand coverage]]&gt;=TargetCov*(1-0.05),"Near target","Below target")))</f>
        <v>On target</v>
      </c>
      <c r="V56" s="41">
        <f>IF(tblRuns[[#This Row],[Date]]="","",IF(AND(tblRuns[[#This Row],[Date]]&gt;=FFrom,tblRuns[[#This Row],[Date]]&lt;=FTo,OR(DashLine="",tblRuns[[#This Row],[Line]]=DashLine)),tblRuns[[#This Row],[Date]],""))</f>
        <v>46289</v>
      </c>
      <c r="W5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6" s="43" t="s">
        <v>109</v>
      </c>
    </row>
    <row r="57" spans="2:24" x14ac:dyDescent="0.25">
      <c r="B57" s="37">
        <v>46289</v>
      </c>
      <c r="C57" s="28" t="s">
        <v>85</v>
      </c>
      <c r="D57" s="28" t="s">
        <v>76</v>
      </c>
      <c r="E57" s="34">
        <v>450</v>
      </c>
      <c r="F57" s="34">
        <v>50</v>
      </c>
      <c r="G57" s="34">
        <v>14121</v>
      </c>
      <c r="H57" s="34">
        <v>13988</v>
      </c>
      <c r="I57" s="38">
        <f>IF(tblRuns[[#This Row],[Date]]="","",IFERROR(INDEX(tblLines[Bottleneck cycle (s/unit)],MATCH(tblRuns[[#This Row],[Line]],tblLines[Line],0)),""))</f>
        <v>1.5</v>
      </c>
      <c r="J57" s="35">
        <f>IF(tblRuns[[#This Row],[Date]]="","",IFERROR(INDEX(tblLines[Demand per shift (units)],MATCH(tblRuns[[#This Row],[Line]],tblLines[Line],0)),""))</f>
        <v>14500</v>
      </c>
      <c r="K57" s="35">
        <f>IF(tblRuns[[#This Row],[Date]]="","",tblRuns[[#This Row],[Scheduled (min)]]-tblRuns[[#This Row],[Downtime (min)]])</f>
        <v>400</v>
      </c>
      <c r="L57" s="35">
        <f>IF(tblRuns[[#This Row],[Date]]="","",IF(ISNUMBER(tblRuns[[#This Row],[Cycle (s/unit)]]),tblRuns[[#This Row],[Scheduled (min)]]*60/tblRuns[[#This Row],[Cycle (s/unit)]],""))</f>
        <v>18000</v>
      </c>
      <c r="M57" s="35">
        <f>IF(tblRuns[[#This Row],[Date]]="","",IF(tblRuns[[#This Row],[Scheduled (min)]]&gt;0,tblRuns[[#This Row],[Good (units)]]/(tblRuns[[#This Row],[Scheduled (min)]]/60),""))</f>
        <v>1865.06666666667</v>
      </c>
      <c r="N57" s="39">
        <f>IF(tblRuns[[#This Row],[Date]]="","",IF(tblRuns[[#This Row],[Scheduled (min)]]&gt;0,tblRuns[[#This Row],[Run (min)]]/tblRuns[[#This Row],[Scheduled (min)]],""))</f>
        <v>0.888888888888889</v>
      </c>
      <c r="O57" s="39">
        <f>IF(tblRuns[[#This Row],[Date]]="","",IF(tblRuns[[#This Row],[Total (units)]]&gt;0,tblRuns[[#This Row],[Good (units)]]/tblRuns[[#This Row],[Total (units)]],""))</f>
        <v>0.990581403583316</v>
      </c>
      <c r="P57" s="39">
        <f>IF(tblRuns[[#This Row],[Date]]="","",IF(N(tblRuns[[#This Row],[Theoretical (units)]])&gt;0,tblRuns[[#This Row],[Good (units)]]/tblRuns[[#This Row],[Theoretical (units)]],""))</f>
        <v>0.777111111111111</v>
      </c>
      <c r="Q57" s="35">
        <f>IF(tblRuns[[#This Row],[Date]]="","",IF(ISNUMBER(tblRuns[[#This Row],[Cycle (s/unit)]]),tblRuns[[#This Row],[Downtime (min)]]*60/tblRuns[[#This Row],[Cycle (s/unit)]],""))</f>
        <v>2000</v>
      </c>
      <c r="R57" s="35">
        <f>IF(tblRuns[[#This Row],[Date]]="","",IF(ISNUMBER(tblRuns[[#This Row],[Cycle (s/unit)]]),tblRuns[[#This Row],[Run (min)]]*60/tblRuns[[#This Row],[Cycle (s/unit)]]-tblRuns[[#This Row],[Total (units)]],""))</f>
        <v>1879</v>
      </c>
      <c r="S57" s="35">
        <f>IF(tblRuns[[#This Row],[Date]]="","",tblRuns[[#This Row],[Total (units)]]-tblRuns[[#This Row],[Good (units)]])</f>
        <v>133</v>
      </c>
      <c r="T57" s="39">
        <f>IF(tblRuns[[#This Row],[Date]]="","",IF(N(tblRuns[[#This Row],[Demand (units)]])&gt;0,tblRuns[[#This Row],[Good (units)]]/tblRuns[[#This Row],[Demand (units)]],""))</f>
        <v>0.964689655172414</v>
      </c>
      <c r="U57" s="40" t="str">
        <f>IF(NOT(ISNUMBER(tblRuns[[#This Row],[Demand coverage]])),"",IF(tblRuns[[#This Row],[Demand coverage]]&gt;=TargetCov,"On target",IF(tblRuns[[#This Row],[Demand coverage]]&gt;=TargetCov*(1-0.05),"Near target","Below target")))</f>
        <v>Near target</v>
      </c>
      <c r="V57" s="41">
        <f>IF(tblRuns[[#This Row],[Date]]="","",IF(AND(tblRuns[[#This Row],[Date]]&gt;=FFrom,tblRuns[[#This Row],[Date]]&lt;=FTo,OR(DashLine="",tblRuns[[#This Row],[Line]]=DashLine)),tblRuns[[#This Row],[Date]],""))</f>
        <v>46289</v>
      </c>
      <c r="W5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7" s="43" t="s">
        <v>109</v>
      </c>
    </row>
    <row r="58" spans="2:24" x14ac:dyDescent="0.25">
      <c r="B58" s="37">
        <v>46289</v>
      </c>
      <c r="C58" s="28" t="s">
        <v>85</v>
      </c>
      <c r="D58" s="28" t="s">
        <v>78</v>
      </c>
      <c r="E58" s="34">
        <v>450</v>
      </c>
      <c r="F58" s="34">
        <v>85</v>
      </c>
      <c r="G58" s="34">
        <v>6798</v>
      </c>
      <c r="H58" s="34">
        <v>6763</v>
      </c>
      <c r="I58" s="38">
        <f>IF(tblRuns[[#This Row],[Date]]="","",IFERROR(INDEX(tblLines[Bottleneck cycle (s/unit)],MATCH(tblRuns[[#This Row],[Line]],tblLines[Line],0)),""))</f>
        <v>3</v>
      </c>
      <c r="J58" s="35">
        <f>IF(tblRuns[[#This Row],[Date]]="","",IFERROR(INDEX(tblLines[Demand per shift (units)],MATCH(tblRuns[[#This Row],[Line]],tblLines[Line],0)),""))</f>
        <v>6600</v>
      </c>
      <c r="K58" s="35">
        <f>IF(tblRuns[[#This Row],[Date]]="","",tblRuns[[#This Row],[Scheduled (min)]]-tblRuns[[#This Row],[Downtime (min)]])</f>
        <v>365</v>
      </c>
      <c r="L58" s="35">
        <f>IF(tblRuns[[#This Row],[Date]]="","",IF(ISNUMBER(tblRuns[[#This Row],[Cycle (s/unit)]]),tblRuns[[#This Row],[Scheduled (min)]]*60/tblRuns[[#This Row],[Cycle (s/unit)]],""))</f>
        <v>9000</v>
      </c>
      <c r="M58" s="35">
        <f>IF(tblRuns[[#This Row],[Date]]="","",IF(tblRuns[[#This Row],[Scheduled (min)]]&gt;0,tblRuns[[#This Row],[Good (units)]]/(tblRuns[[#This Row],[Scheduled (min)]]/60),""))</f>
        <v>901.733333333333</v>
      </c>
      <c r="N58" s="39">
        <f>IF(tblRuns[[#This Row],[Date]]="","",IF(tblRuns[[#This Row],[Scheduled (min)]]&gt;0,tblRuns[[#This Row],[Run (min)]]/tblRuns[[#This Row],[Scheduled (min)]],""))</f>
        <v>0.811111111111111</v>
      </c>
      <c r="O58" s="39">
        <f>IF(tblRuns[[#This Row],[Date]]="","",IF(tblRuns[[#This Row],[Total (units)]]&gt;0,tblRuns[[#This Row],[Good (units)]]/tblRuns[[#This Row],[Total (units)]],""))</f>
        <v>0.994851426890262</v>
      </c>
      <c r="P58" s="39">
        <f>IF(tblRuns[[#This Row],[Date]]="","",IF(N(tblRuns[[#This Row],[Theoretical (units)]])&gt;0,tblRuns[[#This Row],[Good (units)]]/tblRuns[[#This Row],[Theoretical (units)]],""))</f>
        <v>0.751444444444445</v>
      </c>
      <c r="Q58" s="35">
        <f>IF(tblRuns[[#This Row],[Date]]="","",IF(ISNUMBER(tblRuns[[#This Row],[Cycle (s/unit)]]),tblRuns[[#This Row],[Downtime (min)]]*60/tblRuns[[#This Row],[Cycle (s/unit)]],""))</f>
        <v>1700</v>
      </c>
      <c r="R58" s="35">
        <f>IF(tblRuns[[#This Row],[Date]]="","",IF(ISNUMBER(tblRuns[[#This Row],[Cycle (s/unit)]]),tblRuns[[#This Row],[Run (min)]]*60/tblRuns[[#This Row],[Cycle (s/unit)]]-tblRuns[[#This Row],[Total (units)]],""))</f>
        <v>502</v>
      </c>
      <c r="S58" s="35">
        <f>IF(tblRuns[[#This Row],[Date]]="","",tblRuns[[#This Row],[Total (units)]]-tblRuns[[#This Row],[Good (units)]])</f>
        <v>35</v>
      </c>
      <c r="T58" s="39">
        <f>IF(tblRuns[[#This Row],[Date]]="","",IF(N(tblRuns[[#This Row],[Demand (units)]])&gt;0,tblRuns[[#This Row],[Good (units)]]/tblRuns[[#This Row],[Demand (units)]],""))</f>
        <v>1.02469696969697</v>
      </c>
      <c r="U58" s="40" t="str">
        <f>IF(NOT(ISNUMBER(tblRuns[[#This Row],[Demand coverage]])),"",IF(tblRuns[[#This Row],[Demand coverage]]&gt;=TargetCov,"On target",IF(tblRuns[[#This Row],[Demand coverage]]&gt;=TargetCov*(1-0.05),"Near target","Below target")))</f>
        <v>On target</v>
      </c>
      <c r="V58" s="41">
        <f>IF(tblRuns[[#This Row],[Date]]="","",IF(AND(tblRuns[[#This Row],[Date]]&gt;=FFrom,tblRuns[[#This Row],[Date]]&lt;=FTo,OR(DashLine="",tblRuns[[#This Row],[Line]]=DashLine)),tblRuns[[#This Row],[Date]],""))</f>
        <v>46289</v>
      </c>
      <c r="W5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8" s="43" t="s">
        <v>109</v>
      </c>
    </row>
    <row r="59" spans="2:24" x14ac:dyDescent="0.25">
      <c r="B59" s="37">
        <v>46289</v>
      </c>
      <c r="C59" s="28" t="s">
        <v>85</v>
      </c>
      <c r="D59" s="28" t="s">
        <v>80</v>
      </c>
      <c r="E59" s="34">
        <v>450</v>
      </c>
      <c r="F59" s="34">
        <v>55</v>
      </c>
      <c r="G59" s="34">
        <v>4819</v>
      </c>
      <c r="H59" s="34">
        <v>4697</v>
      </c>
      <c r="I59" s="38">
        <f>IF(tblRuns[[#This Row],[Date]]="","",IFERROR(INDEX(tblLines[Bottleneck cycle (s/unit)],MATCH(tblRuns[[#This Row],[Line]],tblLines[Line],0)),""))</f>
        <v>4</v>
      </c>
      <c r="J59" s="35">
        <f>IF(tblRuns[[#This Row],[Date]]="","",IFERROR(INDEX(tblLines[Demand per shift (units)],MATCH(tblRuns[[#This Row],[Line]],tblLines[Line],0)),""))</f>
        <v>5100</v>
      </c>
      <c r="K59" s="35">
        <f>IF(tblRuns[[#This Row],[Date]]="","",tblRuns[[#This Row],[Scheduled (min)]]-tblRuns[[#This Row],[Downtime (min)]])</f>
        <v>395</v>
      </c>
      <c r="L59" s="35">
        <f>IF(tblRuns[[#This Row],[Date]]="","",IF(ISNUMBER(tblRuns[[#This Row],[Cycle (s/unit)]]),tblRuns[[#This Row],[Scheduled (min)]]*60/tblRuns[[#This Row],[Cycle (s/unit)]],""))</f>
        <v>6750</v>
      </c>
      <c r="M59" s="35">
        <f>IF(tblRuns[[#This Row],[Date]]="","",IF(tblRuns[[#This Row],[Scheduled (min)]]&gt;0,tblRuns[[#This Row],[Good (units)]]/(tblRuns[[#This Row],[Scheduled (min)]]/60),""))</f>
        <v>626.266666666667</v>
      </c>
      <c r="N59" s="39">
        <f>IF(tblRuns[[#This Row],[Date]]="","",IF(tblRuns[[#This Row],[Scheduled (min)]]&gt;0,tblRuns[[#This Row],[Run (min)]]/tblRuns[[#This Row],[Scheduled (min)]],""))</f>
        <v>0.877777777777778</v>
      </c>
      <c r="O59" s="39">
        <f>IF(tblRuns[[#This Row],[Date]]="","",IF(tblRuns[[#This Row],[Total (units)]]&gt;0,tblRuns[[#This Row],[Good (units)]]/tblRuns[[#This Row],[Total (units)]],""))</f>
        <v>0.974683544303797</v>
      </c>
      <c r="P59" s="39">
        <f>IF(tblRuns[[#This Row],[Date]]="","",IF(N(tblRuns[[#This Row],[Theoretical (units)]])&gt;0,tblRuns[[#This Row],[Good (units)]]/tblRuns[[#This Row],[Theoretical (units)]],""))</f>
        <v>0.695851851851852</v>
      </c>
      <c r="Q59" s="35">
        <f>IF(tblRuns[[#This Row],[Date]]="","",IF(ISNUMBER(tblRuns[[#This Row],[Cycle (s/unit)]]),tblRuns[[#This Row],[Downtime (min)]]*60/tblRuns[[#This Row],[Cycle (s/unit)]],""))</f>
        <v>825</v>
      </c>
      <c r="R59" s="35">
        <f>IF(tblRuns[[#This Row],[Date]]="","",IF(ISNUMBER(tblRuns[[#This Row],[Cycle (s/unit)]]),tblRuns[[#This Row],[Run (min)]]*60/tblRuns[[#This Row],[Cycle (s/unit)]]-tblRuns[[#This Row],[Total (units)]],""))</f>
        <v>1106</v>
      </c>
      <c r="S59" s="35">
        <f>IF(tblRuns[[#This Row],[Date]]="","",tblRuns[[#This Row],[Total (units)]]-tblRuns[[#This Row],[Good (units)]])</f>
        <v>122</v>
      </c>
      <c r="T59" s="39">
        <f>IF(tblRuns[[#This Row],[Date]]="","",IF(N(tblRuns[[#This Row],[Demand (units)]])&gt;0,tblRuns[[#This Row],[Good (units)]]/tblRuns[[#This Row],[Demand (units)]],""))</f>
        <v>0.920980392156863</v>
      </c>
      <c r="U59" s="40" t="str">
        <f>IF(NOT(ISNUMBER(tblRuns[[#This Row],[Demand coverage]])),"",IF(tblRuns[[#This Row],[Demand coverage]]&gt;=TargetCov,"On target",IF(tblRuns[[#This Row],[Demand coverage]]&gt;=TargetCov*(1-0.05),"Near target","Below target")))</f>
        <v>Below target</v>
      </c>
      <c r="V59" s="41">
        <f>IF(tblRuns[[#This Row],[Date]]="","",IF(AND(tblRuns[[#This Row],[Date]]&gt;=FFrom,tblRuns[[#This Row],[Date]]&lt;=FTo,OR(DashLine="",tblRuns[[#This Row],[Line]]=DashLine)),tblRuns[[#This Row],[Date]],""))</f>
        <v>46289</v>
      </c>
      <c r="W5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59" s="43" t="s">
        <v>109</v>
      </c>
    </row>
    <row r="60" spans="2:24" x14ac:dyDescent="0.25">
      <c r="B60" s="37">
        <v>46290</v>
      </c>
      <c r="C60" s="28" t="s">
        <v>83</v>
      </c>
      <c r="D60" s="28" t="s">
        <v>76</v>
      </c>
      <c r="E60" s="34">
        <v>450</v>
      </c>
      <c r="F60" s="34">
        <v>30</v>
      </c>
      <c r="G60" s="34">
        <v>15157</v>
      </c>
      <c r="H60" s="34">
        <v>14898</v>
      </c>
      <c r="I60" s="38">
        <f>IF(tblRuns[[#This Row],[Date]]="","",IFERROR(INDEX(tblLines[Bottleneck cycle (s/unit)],MATCH(tblRuns[[#This Row],[Line]],tblLines[Line],0)),""))</f>
        <v>1.5</v>
      </c>
      <c r="J60" s="35">
        <f>IF(tblRuns[[#This Row],[Date]]="","",IFERROR(INDEX(tblLines[Demand per shift (units)],MATCH(tblRuns[[#This Row],[Line]],tblLines[Line],0)),""))</f>
        <v>14500</v>
      </c>
      <c r="K60" s="35">
        <f>IF(tblRuns[[#This Row],[Date]]="","",tblRuns[[#This Row],[Scheduled (min)]]-tblRuns[[#This Row],[Downtime (min)]])</f>
        <v>420</v>
      </c>
      <c r="L60" s="35">
        <f>IF(tblRuns[[#This Row],[Date]]="","",IF(ISNUMBER(tblRuns[[#This Row],[Cycle (s/unit)]]),tblRuns[[#This Row],[Scheduled (min)]]*60/tblRuns[[#This Row],[Cycle (s/unit)]],""))</f>
        <v>18000</v>
      </c>
      <c r="M60" s="35">
        <f>IF(tblRuns[[#This Row],[Date]]="","",IF(tblRuns[[#This Row],[Scheduled (min)]]&gt;0,tblRuns[[#This Row],[Good (units)]]/(tblRuns[[#This Row],[Scheduled (min)]]/60),""))</f>
        <v>1986.4</v>
      </c>
      <c r="N60" s="39">
        <f>IF(tblRuns[[#This Row],[Date]]="","",IF(tblRuns[[#This Row],[Scheduled (min)]]&gt;0,tblRuns[[#This Row],[Run (min)]]/tblRuns[[#This Row],[Scheduled (min)]],""))</f>
        <v>0.933333333333333</v>
      </c>
      <c r="O60" s="39">
        <f>IF(tblRuns[[#This Row],[Date]]="","",IF(tblRuns[[#This Row],[Total (units)]]&gt;0,tblRuns[[#This Row],[Good (units)]]/tblRuns[[#This Row],[Total (units)]],""))</f>
        <v>0.982912185788745</v>
      </c>
      <c r="P60" s="39">
        <f>IF(tblRuns[[#This Row],[Date]]="","",IF(N(tblRuns[[#This Row],[Theoretical (units)]])&gt;0,tblRuns[[#This Row],[Good (units)]]/tblRuns[[#This Row],[Theoretical (units)]],""))</f>
        <v>0.827666666666667</v>
      </c>
      <c r="Q60" s="35">
        <f>IF(tblRuns[[#This Row],[Date]]="","",IF(ISNUMBER(tblRuns[[#This Row],[Cycle (s/unit)]]),tblRuns[[#This Row],[Downtime (min)]]*60/tblRuns[[#This Row],[Cycle (s/unit)]],""))</f>
        <v>1200</v>
      </c>
      <c r="R60" s="35">
        <f>IF(tblRuns[[#This Row],[Date]]="","",IF(ISNUMBER(tblRuns[[#This Row],[Cycle (s/unit)]]),tblRuns[[#This Row],[Run (min)]]*60/tblRuns[[#This Row],[Cycle (s/unit)]]-tblRuns[[#This Row],[Total (units)]],""))</f>
        <v>1643</v>
      </c>
      <c r="S60" s="35">
        <f>IF(tblRuns[[#This Row],[Date]]="","",tblRuns[[#This Row],[Total (units)]]-tblRuns[[#This Row],[Good (units)]])</f>
        <v>259</v>
      </c>
      <c r="T60" s="39">
        <f>IF(tblRuns[[#This Row],[Date]]="","",IF(N(tblRuns[[#This Row],[Demand (units)]])&gt;0,tblRuns[[#This Row],[Good (units)]]/tblRuns[[#This Row],[Demand (units)]],""))</f>
        <v>1.02744827586207</v>
      </c>
      <c r="U60" s="40" t="str">
        <f>IF(NOT(ISNUMBER(tblRuns[[#This Row],[Demand coverage]])),"",IF(tblRuns[[#This Row],[Demand coverage]]&gt;=TargetCov,"On target",IF(tblRuns[[#This Row],[Demand coverage]]&gt;=TargetCov*(1-0.05),"Near target","Below target")))</f>
        <v>On target</v>
      </c>
      <c r="V60" s="41">
        <f>IF(tblRuns[[#This Row],[Date]]="","",IF(AND(tblRuns[[#This Row],[Date]]&gt;=FFrom,tblRuns[[#This Row],[Date]]&lt;=FTo,OR(DashLine="",tblRuns[[#This Row],[Line]]=DashLine)),tblRuns[[#This Row],[Date]],""))</f>
        <v>46290</v>
      </c>
      <c r="W6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0" s="43" t="s">
        <v>109</v>
      </c>
    </row>
    <row r="61" spans="2:24" x14ac:dyDescent="0.25">
      <c r="B61" s="37">
        <v>46290</v>
      </c>
      <c r="C61" s="28" t="s">
        <v>83</v>
      </c>
      <c r="D61" s="28" t="s">
        <v>78</v>
      </c>
      <c r="E61" s="34">
        <v>450</v>
      </c>
      <c r="F61" s="34">
        <v>95</v>
      </c>
      <c r="G61" s="34">
        <v>6575</v>
      </c>
      <c r="H61" s="34">
        <v>6523</v>
      </c>
      <c r="I61" s="38">
        <f>IF(tblRuns[[#This Row],[Date]]="","",IFERROR(INDEX(tblLines[Bottleneck cycle (s/unit)],MATCH(tblRuns[[#This Row],[Line]],tblLines[Line],0)),""))</f>
        <v>3</v>
      </c>
      <c r="J61" s="35">
        <f>IF(tblRuns[[#This Row],[Date]]="","",IFERROR(INDEX(tblLines[Demand per shift (units)],MATCH(tblRuns[[#This Row],[Line]],tblLines[Line],0)),""))</f>
        <v>6600</v>
      </c>
      <c r="K61" s="35">
        <f>IF(tblRuns[[#This Row],[Date]]="","",tblRuns[[#This Row],[Scheduled (min)]]-tblRuns[[#This Row],[Downtime (min)]])</f>
        <v>355</v>
      </c>
      <c r="L61" s="35">
        <f>IF(tblRuns[[#This Row],[Date]]="","",IF(ISNUMBER(tblRuns[[#This Row],[Cycle (s/unit)]]),tblRuns[[#This Row],[Scheduled (min)]]*60/tblRuns[[#This Row],[Cycle (s/unit)]],""))</f>
        <v>9000</v>
      </c>
      <c r="M61" s="35">
        <f>IF(tblRuns[[#This Row],[Date]]="","",IF(tblRuns[[#This Row],[Scheduled (min)]]&gt;0,tblRuns[[#This Row],[Good (units)]]/(tblRuns[[#This Row],[Scheduled (min)]]/60),""))</f>
        <v>869.733333333333</v>
      </c>
      <c r="N61" s="39">
        <f>IF(tblRuns[[#This Row],[Date]]="","",IF(tblRuns[[#This Row],[Scheduled (min)]]&gt;0,tblRuns[[#This Row],[Run (min)]]/tblRuns[[#This Row],[Scheduled (min)]],""))</f>
        <v>0.788888888888889</v>
      </c>
      <c r="O61" s="39">
        <f>IF(tblRuns[[#This Row],[Date]]="","",IF(tblRuns[[#This Row],[Total (units)]]&gt;0,tblRuns[[#This Row],[Good (units)]]/tblRuns[[#This Row],[Total (units)]],""))</f>
        <v>0.992091254752852</v>
      </c>
      <c r="P61" s="39">
        <f>IF(tblRuns[[#This Row],[Date]]="","",IF(N(tblRuns[[#This Row],[Theoretical (units)]])&gt;0,tblRuns[[#This Row],[Good (units)]]/tblRuns[[#This Row],[Theoretical (units)]],""))</f>
        <v>0.724777777777778</v>
      </c>
      <c r="Q61" s="35">
        <f>IF(tblRuns[[#This Row],[Date]]="","",IF(ISNUMBER(tblRuns[[#This Row],[Cycle (s/unit)]]),tblRuns[[#This Row],[Downtime (min)]]*60/tblRuns[[#This Row],[Cycle (s/unit)]],""))</f>
        <v>1900</v>
      </c>
      <c r="R61" s="35">
        <f>IF(tblRuns[[#This Row],[Date]]="","",IF(ISNUMBER(tblRuns[[#This Row],[Cycle (s/unit)]]),tblRuns[[#This Row],[Run (min)]]*60/tblRuns[[#This Row],[Cycle (s/unit)]]-tblRuns[[#This Row],[Total (units)]],""))</f>
        <v>525</v>
      </c>
      <c r="S61" s="35">
        <f>IF(tblRuns[[#This Row],[Date]]="","",tblRuns[[#This Row],[Total (units)]]-tblRuns[[#This Row],[Good (units)]])</f>
        <v>52</v>
      </c>
      <c r="T61" s="39">
        <f>IF(tblRuns[[#This Row],[Date]]="","",IF(N(tblRuns[[#This Row],[Demand (units)]])&gt;0,tblRuns[[#This Row],[Good (units)]]/tblRuns[[#This Row],[Demand (units)]],""))</f>
        <v>0.988333333333333</v>
      </c>
      <c r="U61" s="40" t="str">
        <f>IF(NOT(ISNUMBER(tblRuns[[#This Row],[Demand coverage]])),"",IF(tblRuns[[#This Row],[Demand coverage]]&gt;=TargetCov,"On target",IF(tblRuns[[#This Row],[Demand coverage]]&gt;=TargetCov*(1-0.05),"Near target","Below target")))</f>
        <v>Near target</v>
      </c>
      <c r="V61" s="41">
        <f>IF(tblRuns[[#This Row],[Date]]="","",IF(AND(tblRuns[[#This Row],[Date]]&gt;=FFrom,tblRuns[[#This Row],[Date]]&lt;=FTo,OR(DashLine="",tblRuns[[#This Row],[Line]]=DashLine)),tblRuns[[#This Row],[Date]],""))</f>
        <v>46290</v>
      </c>
      <c r="W6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1" s="43" t="s">
        <v>109</v>
      </c>
    </row>
    <row r="62" spans="2:24" x14ac:dyDescent="0.25">
      <c r="B62" s="37">
        <v>46290</v>
      </c>
      <c r="C62" s="28" t="s">
        <v>83</v>
      </c>
      <c r="D62" s="28" t="s">
        <v>80</v>
      </c>
      <c r="E62" s="34">
        <v>450</v>
      </c>
      <c r="F62" s="34">
        <v>20</v>
      </c>
      <c r="G62" s="34">
        <v>5199</v>
      </c>
      <c r="H62" s="34">
        <v>5106</v>
      </c>
      <c r="I62" s="38">
        <f>IF(tblRuns[[#This Row],[Date]]="","",IFERROR(INDEX(tblLines[Bottleneck cycle (s/unit)],MATCH(tblRuns[[#This Row],[Line]],tblLines[Line],0)),""))</f>
        <v>4</v>
      </c>
      <c r="J62" s="35">
        <f>IF(tblRuns[[#This Row],[Date]]="","",IFERROR(INDEX(tblLines[Demand per shift (units)],MATCH(tblRuns[[#This Row],[Line]],tblLines[Line],0)),""))</f>
        <v>5100</v>
      </c>
      <c r="K62" s="35">
        <f>IF(tblRuns[[#This Row],[Date]]="","",tblRuns[[#This Row],[Scheduled (min)]]-tblRuns[[#This Row],[Downtime (min)]])</f>
        <v>430</v>
      </c>
      <c r="L62" s="35">
        <f>IF(tblRuns[[#This Row],[Date]]="","",IF(ISNUMBER(tblRuns[[#This Row],[Cycle (s/unit)]]),tblRuns[[#This Row],[Scheduled (min)]]*60/tblRuns[[#This Row],[Cycle (s/unit)]],""))</f>
        <v>6750</v>
      </c>
      <c r="M62" s="35">
        <f>IF(tblRuns[[#This Row],[Date]]="","",IF(tblRuns[[#This Row],[Scheduled (min)]]&gt;0,tblRuns[[#This Row],[Good (units)]]/(tblRuns[[#This Row],[Scheduled (min)]]/60),""))</f>
        <v>680.8</v>
      </c>
      <c r="N62" s="39">
        <f>IF(tblRuns[[#This Row],[Date]]="","",IF(tblRuns[[#This Row],[Scheduled (min)]]&gt;0,tblRuns[[#This Row],[Run (min)]]/tblRuns[[#This Row],[Scheduled (min)]],""))</f>
        <v>0.955555555555556</v>
      </c>
      <c r="O62" s="39">
        <f>IF(tblRuns[[#This Row],[Date]]="","",IF(tblRuns[[#This Row],[Total (units)]]&gt;0,tblRuns[[#This Row],[Good (units)]]/tblRuns[[#This Row],[Total (units)]],""))</f>
        <v>0.982111944604732</v>
      </c>
      <c r="P62" s="39">
        <f>IF(tblRuns[[#This Row],[Date]]="","",IF(N(tblRuns[[#This Row],[Theoretical (units)]])&gt;0,tblRuns[[#This Row],[Good (units)]]/tblRuns[[#This Row],[Theoretical (units)]],""))</f>
        <v>0.756444444444445</v>
      </c>
      <c r="Q62" s="35">
        <f>IF(tblRuns[[#This Row],[Date]]="","",IF(ISNUMBER(tblRuns[[#This Row],[Cycle (s/unit)]]),tblRuns[[#This Row],[Downtime (min)]]*60/tblRuns[[#This Row],[Cycle (s/unit)]],""))</f>
        <v>300</v>
      </c>
      <c r="R62" s="35">
        <f>IF(tblRuns[[#This Row],[Date]]="","",IF(ISNUMBER(tblRuns[[#This Row],[Cycle (s/unit)]]),tblRuns[[#This Row],[Run (min)]]*60/tblRuns[[#This Row],[Cycle (s/unit)]]-tblRuns[[#This Row],[Total (units)]],""))</f>
        <v>1251</v>
      </c>
      <c r="S62" s="35">
        <f>IF(tblRuns[[#This Row],[Date]]="","",tblRuns[[#This Row],[Total (units)]]-tblRuns[[#This Row],[Good (units)]])</f>
        <v>93</v>
      </c>
      <c r="T62" s="39">
        <f>IF(tblRuns[[#This Row],[Date]]="","",IF(N(tblRuns[[#This Row],[Demand (units)]])&gt;0,tblRuns[[#This Row],[Good (units)]]/tblRuns[[#This Row],[Demand (units)]],""))</f>
        <v>1.00117647058824</v>
      </c>
      <c r="U62" s="40" t="str">
        <f>IF(NOT(ISNUMBER(tblRuns[[#This Row],[Demand coverage]])),"",IF(tblRuns[[#This Row],[Demand coverage]]&gt;=TargetCov,"On target",IF(tblRuns[[#This Row],[Demand coverage]]&gt;=TargetCov*(1-0.05),"Near target","Below target")))</f>
        <v>On target</v>
      </c>
      <c r="V62" s="41">
        <f>IF(tblRuns[[#This Row],[Date]]="","",IF(AND(tblRuns[[#This Row],[Date]]&gt;=FFrom,tblRuns[[#This Row],[Date]]&lt;=FTo,OR(DashLine="",tblRuns[[#This Row],[Line]]=DashLine)),tblRuns[[#This Row],[Date]],""))</f>
        <v>46290</v>
      </c>
      <c r="W6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2" s="43" t="s">
        <v>109</v>
      </c>
    </row>
    <row r="63" spans="2:24" x14ac:dyDescent="0.25">
      <c r="B63" s="37">
        <v>46290</v>
      </c>
      <c r="C63" s="28" t="s">
        <v>85</v>
      </c>
      <c r="D63" s="28" t="s">
        <v>76</v>
      </c>
      <c r="E63" s="34">
        <v>450</v>
      </c>
      <c r="F63" s="34">
        <v>30</v>
      </c>
      <c r="G63" s="34">
        <v>15061</v>
      </c>
      <c r="H63" s="34">
        <v>14799</v>
      </c>
      <c r="I63" s="38">
        <f>IF(tblRuns[[#This Row],[Date]]="","",IFERROR(INDEX(tblLines[Bottleneck cycle (s/unit)],MATCH(tblRuns[[#This Row],[Line]],tblLines[Line],0)),""))</f>
        <v>1.5</v>
      </c>
      <c r="J63" s="35">
        <f>IF(tblRuns[[#This Row],[Date]]="","",IFERROR(INDEX(tblLines[Demand per shift (units)],MATCH(tblRuns[[#This Row],[Line]],tblLines[Line],0)),""))</f>
        <v>14500</v>
      </c>
      <c r="K63" s="35">
        <f>IF(tblRuns[[#This Row],[Date]]="","",tblRuns[[#This Row],[Scheduled (min)]]-tblRuns[[#This Row],[Downtime (min)]])</f>
        <v>420</v>
      </c>
      <c r="L63" s="35">
        <f>IF(tblRuns[[#This Row],[Date]]="","",IF(ISNUMBER(tblRuns[[#This Row],[Cycle (s/unit)]]),tblRuns[[#This Row],[Scheduled (min)]]*60/tblRuns[[#This Row],[Cycle (s/unit)]],""))</f>
        <v>18000</v>
      </c>
      <c r="M63" s="35">
        <f>IF(tblRuns[[#This Row],[Date]]="","",IF(tblRuns[[#This Row],[Scheduled (min)]]&gt;0,tblRuns[[#This Row],[Good (units)]]/(tblRuns[[#This Row],[Scheduled (min)]]/60),""))</f>
        <v>1973.2</v>
      </c>
      <c r="N63" s="39">
        <f>IF(tblRuns[[#This Row],[Date]]="","",IF(tblRuns[[#This Row],[Scheduled (min)]]&gt;0,tblRuns[[#This Row],[Run (min)]]/tblRuns[[#This Row],[Scheduled (min)]],""))</f>
        <v>0.933333333333333</v>
      </c>
      <c r="O63" s="39">
        <f>IF(tblRuns[[#This Row],[Date]]="","",IF(tblRuns[[#This Row],[Total (units)]]&gt;0,tblRuns[[#This Row],[Good (units)]]/tblRuns[[#This Row],[Total (units)]],""))</f>
        <v>0.982604076754532</v>
      </c>
      <c r="P63" s="39">
        <f>IF(tblRuns[[#This Row],[Date]]="","",IF(N(tblRuns[[#This Row],[Theoretical (units)]])&gt;0,tblRuns[[#This Row],[Good (units)]]/tblRuns[[#This Row],[Theoretical (units)]],""))</f>
        <v>0.822166666666667</v>
      </c>
      <c r="Q63" s="35">
        <f>IF(tblRuns[[#This Row],[Date]]="","",IF(ISNUMBER(tblRuns[[#This Row],[Cycle (s/unit)]]),tblRuns[[#This Row],[Downtime (min)]]*60/tblRuns[[#This Row],[Cycle (s/unit)]],""))</f>
        <v>1200</v>
      </c>
      <c r="R63" s="35">
        <f>IF(tblRuns[[#This Row],[Date]]="","",IF(ISNUMBER(tblRuns[[#This Row],[Cycle (s/unit)]]),tblRuns[[#This Row],[Run (min)]]*60/tblRuns[[#This Row],[Cycle (s/unit)]]-tblRuns[[#This Row],[Total (units)]],""))</f>
        <v>1739</v>
      </c>
      <c r="S63" s="35">
        <f>IF(tblRuns[[#This Row],[Date]]="","",tblRuns[[#This Row],[Total (units)]]-tblRuns[[#This Row],[Good (units)]])</f>
        <v>262</v>
      </c>
      <c r="T63" s="39">
        <f>IF(tblRuns[[#This Row],[Date]]="","",IF(N(tblRuns[[#This Row],[Demand (units)]])&gt;0,tblRuns[[#This Row],[Good (units)]]/tblRuns[[#This Row],[Demand (units)]],""))</f>
        <v>1.02062068965517</v>
      </c>
      <c r="U63" s="40" t="str">
        <f>IF(NOT(ISNUMBER(tblRuns[[#This Row],[Demand coverage]])),"",IF(tblRuns[[#This Row],[Demand coverage]]&gt;=TargetCov,"On target",IF(tblRuns[[#This Row],[Demand coverage]]&gt;=TargetCov*(1-0.05),"Near target","Below target")))</f>
        <v>On target</v>
      </c>
      <c r="V63" s="41">
        <f>IF(tblRuns[[#This Row],[Date]]="","",IF(AND(tblRuns[[#This Row],[Date]]&gt;=FFrom,tblRuns[[#This Row],[Date]]&lt;=FTo,OR(DashLine="",tblRuns[[#This Row],[Line]]=DashLine)),tblRuns[[#This Row],[Date]],""))</f>
        <v>46290</v>
      </c>
      <c r="W6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3" s="43" t="s">
        <v>109</v>
      </c>
    </row>
    <row r="64" spans="2:24" x14ac:dyDescent="0.25">
      <c r="B64" s="37">
        <v>46290</v>
      </c>
      <c r="C64" s="28" t="s">
        <v>85</v>
      </c>
      <c r="D64" s="28" t="s">
        <v>78</v>
      </c>
      <c r="E64" s="34">
        <v>450</v>
      </c>
      <c r="F64" s="34">
        <v>130</v>
      </c>
      <c r="G64" s="34">
        <v>5821</v>
      </c>
      <c r="H64" s="34">
        <v>5786</v>
      </c>
      <c r="I64" s="38">
        <f>IF(tblRuns[[#This Row],[Date]]="","",IFERROR(INDEX(tblLines[Bottleneck cycle (s/unit)],MATCH(tblRuns[[#This Row],[Line]],tblLines[Line],0)),""))</f>
        <v>3</v>
      </c>
      <c r="J64" s="35">
        <f>IF(tblRuns[[#This Row],[Date]]="","",IFERROR(INDEX(tblLines[Demand per shift (units)],MATCH(tblRuns[[#This Row],[Line]],tblLines[Line],0)),""))</f>
        <v>6600</v>
      </c>
      <c r="K64" s="35">
        <f>IF(tblRuns[[#This Row],[Date]]="","",tblRuns[[#This Row],[Scheduled (min)]]-tblRuns[[#This Row],[Downtime (min)]])</f>
        <v>320</v>
      </c>
      <c r="L64" s="35">
        <f>IF(tblRuns[[#This Row],[Date]]="","",IF(ISNUMBER(tblRuns[[#This Row],[Cycle (s/unit)]]),tblRuns[[#This Row],[Scheduled (min)]]*60/tblRuns[[#This Row],[Cycle (s/unit)]],""))</f>
        <v>9000</v>
      </c>
      <c r="M64" s="35">
        <f>IF(tblRuns[[#This Row],[Date]]="","",IF(tblRuns[[#This Row],[Scheduled (min)]]&gt;0,tblRuns[[#This Row],[Good (units)]]/(tblRuns[[#This Row],[Scheduled (min)]]/60),""))</f>
        <v>771.466666666667</v>
      </c>
      <c r="N64" s="39">
        <f>IF(tblRuns[[#This Row],[Date]]="","",IF(tblRuns[[#This Row],[Scheduled (min)]]&gt;0,tblRuns[[#This Row],[Run (min)]]/tblRuns[[#This Row],[Scheduled (min)]],""))</f>
        <v>0.711111111111111</v>
      </c>
      <c r="O64" s="39">
        <f>IF(tblRuns[[#This Row],[Date]]="","",IF(tblRuns[[#This Row],[Total (units)]]&gt;0,tblRuns[[#This Row],[Good (units)]]/tblRuns[[#This Row],[Total (units)]],""))</f>
        <v>0.993987287407662</v>
      </c>
      <c r="P64" s="39">
        <f>IF(tblRuns[[#This Row],[Date]]="","",IF(N(tblRuns[[#This Row],[Theoretical (units)]])&gt;0,tblRuns[[#This Row],[Good (units)]]/tblRuns[[#This Row],[Theoretical (units)]],""))</f>
        <v>0.642888888888889</v>
      </c>
      <c r="Q64" s="35">
        <f>IF(tblRuns[[#This Row],[Date]]="","",IF(ISNUMBER(tblRuns[[#This Row],[Cycle (s/unit)]]),tblRuns[[#This Row],[Downtime (min)]]*60/tblRuns[[#This Row],[Cycle (s/unit)]],""))</f>
        <v>2600</v>
      </c>
      <c r="R64" s="35">
        <f>IF(tblRuns[[#This Row],[Date]]="","",IF(ISNUMBER(tblRuns[[#This Row],[Cycle (s/unit)]]),tblRuns[[#This Row],[Run (min)]]*60/tblRuns[[#This Row],[Cycle (s/unit)]]-tblRuns[[#This Row],[Total (units)]],""))</f>
        <v>579</v>
      </c>
      <c r="S64" s="35">
        <f>IF(tblRuns[[#This Row],[Date]]="","",tblRuns[[#This Row],[Total (units)]]-tblRuns[[#This Row],[Good (units)]])</f>
        <v>35</v>
      </c>
      <c r="T64" s="39">
        <f>IF(tblRuns[[#This Row],[Date]]="","",IF(N(tblRuns[[#This Row],[Demand (units)]])&gt;0,tblRuns[[#This Row],[Good (units)]]/tblRuns[[#This Row],[Demand (units)]],""))</f>
        <v>0.876666666666667</v>
      </c>
      <c r="U64" s="40" t="str">
        <f>IF(NOT(ISNUMBER(tblRuns[[#This Row],[Demand coverage]])),"",IF(tblRuns[[#This Row],[Demand coverage]]&gt;=TargetCov,"On target",IF(tblRuns[[#This Row],[Demand coverage]]&gt;=TargetCov*(1-0.05),"Near target","Below target")))</f>
        <v>Below target</v>
      </c>
      <c r="V64" s="41">
        <f>IF(tblRuns[[#This Row],[Date]]="","",IF(AND(tblRuns[[#This Row],[Date]]&gt;=FFrom,tblRuns[[#This Row],[Date]]&lt;=FTo,OR(DashLine="",tblRuns[[#This Row],[Line]]=DashLine)),tblRuns[[#This Row],[Date]],""))</f>
        <v>46290</v>
      </c>
      <c r="W6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4" s="43" t="s">
        <v>109</v>
      </c>
    </row>
    <row r="65" spans="2:24" x14ac:dyDescent="0.25">
      <c r="B65" s="37">
        <v>46290</v>
      </c>
      <c r="C65" s="28" t="s">
        <v>85</v>
      </c>
      <c r="D65" s="28" t="s">
        <v>80</v>
      </c>
      <c r="E65" s="34">
        <v>450</v>
      </c>
      <c r="F65" s="34">
        <v>30</v>
      </c>
      <c r="G65" s="34">
        <v>4953</v>
      </c>
      <c r="H65" s="34">
        <v>4855</v>
      </c>
      <c r="I65" s="38">
        <f>IF(tblRuns[[#This Row],[Date]]="","",IFERROR(INDEX(tblLines[Bottleneck cycle (s/unit)],MATCH(tblRuns[[#This Row],[Line]],tblLines[Line],0)),""))</f>
        <v>4</v>
      </c>
      <c r="J65" s="35">
        <f>IF(tblRuns[[#This Row],[Date]]="","",IFERROR(INDEX(tblLines[Demand per shift (units)],MATCH(tblRuns[[#This Row],[Line]],tblLines[Line],0)),""))</f>
        <v>5100</v>
      </c>
      <c r="K65" s="35">
        <f>IF(tblRuns[[#This Row],[Date]]="","",tblRuns[[#This Row],[Scheduled (min)]]-tblRuns[[#This Row],[Downtime (min)]])</f>
        <v>420</v>
      </c>
      <c r="L65" s="35">
        <f>IF(tblRuns[[#This Row],[Date]]="","",IF(ISNUMBER(tblRuns[[#This Row],[Cycle (s/unit)]]),tblRuns[[#This Row],[Scheduled (min)]]*60/tblRuns[[#This Row],[Cycle (s/unit)]],""))</f>
        <v>6750</v>
      </c>
      <c r="M65" s="35">
        <f>IF(tblRuns[[#This Row],[Date]]="","",IF(tblRuns[[#This Row],[Scheduled (min)]]&gt;0,tblRuns[[#This Row],[Good (units)]]/(tblRuns[[#This Row],[Scheduled (min)]]/60),""))</f>
        <v>647.333333333333</v>
      </c>
      <c r="N65" s="39">
        <f>IF(tblRuns[[#This Row],[Date]]="","",IF(tblRuns[[#This Row],[Scheduled (min)]]&gt;0,tblRuns[[#This Row],[Run (min)]]/tblRuns[[#This Row],[Scheduled (min)]],""))</f>
        <v>0.933333333333333</v>
      </c>
      <c r="O65" s="39">
        <f>IF(tblRuns[[#This Row],[Date]]="","",IF(tblRuns[[#This Row],[Total (units)]]&gt;0,tblRuns[[#This Row],[Good (units)]]/tblRuns[[#This Row],[Total (units)]],""))</f>
        <v>0.980214011710075</v>
      </c>
      <c r="P65" s="39">
        <f>IF(tblRuns[[#This Row],[Date]]="","",IF(N(tblRuns[[#This Row],[Theoretical (units)]])&gt;0,tblRuns[[#This Row],[Good (units)]]/tblRuns[[#This Row],[Theoretical (units)]],""))</f>
        <v>0.719259259259259</v>
      </c>
      <c r="Q65" s="35">
        <f>IF(tblRuns[[#This Row],[Date]]="","",IF(ISNUMBER(tblRuns[[#This Row],[Cycle (s/unit)]]),tblRuns[[#This Row],[Downtime (min)]]*60/tblRuns[[#This Row],[Cycle (s/unit)]],""))</f>
        <v>450</v>
      </c>
      <c r="R65" s="35">
        <f>IF(tblRuns[[#This Row],[Date]]="","",IF(ISNUMBER(tblRuns[[#This Row],[Cycle (s/unit)]]),tblRuns[[#This Row],[Run (min)]]*60/tblRuns[[#This Row],[Cycle (s/unit)]]-tblRuns[[#This Row],[Total (units)]],""))</f>
        <v>1347</v>
      </c>
      <c r="S65" s="35">
        <f>IF(tblRuns[[#This Row],[Date]]="","",tblRuns[[#This Row],[Total (units)]]-tblRuns[[#This Row],[Good (units)]])</f>
        <v>98</v>
      </c>
      <c r="T65" s="39">
        <f>IF(tblRuns[[#This Row],[Date]]="","",IF(N(tblRuns[[#This Row],[Demand (units)]])&gt;0,tblRuns[[#This Row],[Good (units)]]/tblRuns[[#This Row],[Demand (units)]],""))</f>
        <v>0.951960784313725</v>
      </c>
      <c r="U65" s="40" t="str">
        <f>IF(NOT(ISNUMBER(tblRuns[[#This Row],[Demand coverage]])),"",IF(tblRuns[[#This Row],[Demand coverage]]&gt;=TargetCov,"On target",IF(tblRuns[[#This Row],[Demand coverage]]&gt;=TargetCov*(1-0.05),"Near target","Below target")))</f>
        <v>Near target</v>
      </c>
      <c r="V65" s="41">
        <f>IF(tblRuns[[#This Row],[Date]]="","",IF(AND(tblRuns[[#This Row],[Date]]&gt;=FFrom,tblRuns[[#This Row],[Date]]&lt;=FTo,OR(DashLine="",tblRuns[[#This Row],[Line]]=DashLine)),tblRuns[[#This Row],[Date]],""))</f>
        <v>46290</v>
      </c>
      <c r="W6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5" s="43" t="s">
        <v>109</v>
      </c>
    </row>
    <row r="66" spans="2:24" x14ac:dyDescent="0.25">
      <c r="B66" s="37">
        <v>46293</v>
      </c>
      <c r="C66" s="28" t="s">
        <v>83</v>
      </c>
      <c r="D66" s="28" t="s">
        <v>76</v>
      </c>
      <c r="E66" s="34">
        <v>450</v>
      </c>
      <c r="F66" s="34">
        <v>20</v>
      </c>
      <c r="G66" s="34">
        <v>15601</v>
      </c>
      <c r="H66" s="34">
        <v>15416</v>
      </c>
      <c r="I66" s="38">
        <f>IF(tblRuns[[#This Row],[Date]]="","",IFERROR(INDEX(tblLines[Bottleneck cycle (s/unit)],MATCH(tblRuns[[#This Row],[Line]],tblLines[Line],0)),""))</f>
        <v>1.5</v>
      </c>
      <c r="J66" s="35">
        <f>IF(tblRuns[[#This Row],[Date]]="","",IFERROR(INDEX(tblLines[Demand per shift (units)],MATCH(tblRuns[[#This Row],[Line]],tblLines[Line],0)),""))</f>
        <v>14500</v>
      </c>
      <c r="K66" s="35">
        <f>IF(tblRuns[[#This Row],[Date]]="","",tblRuns[[#This Row],[Scheduled (min)]]-tblRuns[[#This Row],[Downtime (min)]])</f>
        <v>430</v>
      </c>
      <c r="L66" s="35">
        <f>IF(tblRuns[[#This Row],[Date]]="","",IF(ISNUMBER(tblRuns[[#This Row],[Cycle (s/unit)]]),tblRuns[[#This Row],[Scheduled (min)]]*60/tblRuns[[#This Row],[Cycle (s/unit)]],""))</f>
        <v>18000</v>
      </c>
      <c r="M66" s="35">
        <f>IF(tblRuns[[#This Row],[Date]]="","",IF(tblRuns[[#This Row],[Scheduled (min)]]&gt;0,tblRuns[[#This Row],[Good (units)]]/(tblRuns[[#This Row],[Scheduled (min)]]/60),""))</f>
        <v>2055.46666666667</v>
      </c>
      <c r="N66" s="39">
        <f>IF(tblRuns[[#This Row],[Date]]="","",IF(tblRuns[[#This Row],[Scheduled (min)]]&gt;0,tblRuns[[#This Row],[Run (min)]]/tblRuns[[#This Row],[Scheduled (min)]],""))</f>
        <v>0.955555555555556</v>
      </c>
      <c r="O66" s="39">
        <f>IF(tblRuns[[#This Row],[Date]]="","",IF(tblRuns[[#This Row],[Total (units)]]&gt;0,tblRuns[[#This Row],[Good (units)]]/tblRuns[[#This Row],[Total (units)]],""))</f>
        <v>0.988141785782963</v>
      </c>
      <c r="P66" s="39">
        <f>IF(tblRuns[[#This Row],[Date]]="","",IF(N(tblRuns[[#This Row],[Theoretical (units)]])&gt;0,tblRuns[[#This Row],[Good (units)]]/tblRuns[[#This Row],[Theoretical (units)]],""))</f>
        <v>0.856444444444445</v>
      </c>
      <c r="Q66" s="35">
        <f>IF(tblRuns[[#This Row],[Date]]="","",IF(ISNUMBER(tblRuns[[#This Row],[Cycle (s/unit)]]),tblRuns[[#This Row],[Downtime (min)]]*60/tblRuns[[#This Row],[Cycle (s/unit)]],""))</f>
        <v>800</v>
      </c>
      <c r="R66" s="35">
        <f>IF(tblRuns[[#This Row],[Date]]="","",IF(ISNUMBER(tblRuns[[#This Row],[Cycle (s/unit)]]),tblRuns[[#This Row],[Run (min)]]*60/tblRuns[[#This Row],[Cycle (s/unit)]]-tblRuns[[#This Row],[Total (units)]],""))</f>
        <v>1599</v>
      </c>
      <c r="S66" s="35">
        <f>IF(tblRuns[[#This Row],[Date]]="","",tblRuns[[#This Row],[Total (units)]]-tblRuns[[#This Row],[Good (units)]])</f>
        <v>185</v>
      </c>
      <c r="T66" s="39">
        <f>IF(tblRuns[[#This Row],[Date]]="","",IF(N(tblRuns[[#This Row],[Demand (units)]])&gt;0,tblRuns[[#This Row],[Good (units)]]/tblRuns[[#This Row],[Demand (units)]],""))</f>
        <v>1.0631724137931</v>
      </c>
      <c r="U66" s="40" t="str">
        <f>IF(NOT(ISNUMBER(tblRuns[[#This Row],[Demand coverage]])),"",IF(tblRuns[[#This Row],[Demand coverage]]&gt;=TargetCov,"On target",IF(tblRuns[[#This Row],[Demand coverage]]&gt;=TargetCov*(1-0.05),"Near target","Below target")))</f>
        <v>On target</v>
      </c>
      <c r="V66" s="41">
        <f>IF(tblRuns[[#This Row],[Date]]="","",IF(AND(tblRuns[[#This Row],[Date]]&gt;=FFrom,tblRuns[[#This Row],[Date]]&lt;=FTo,OR(DashLine="",tblRuns[[#This Row],[Line]]=DashLine)),tblRuns[[#This Row],[Date]],""))</f>
        <v>46293</v>
      </c>
      <c r="W6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6" s="43" t="s">
        <v>109</v>
      </c>
    </row>
    <row r="67" spans="2:24" x14ac:dyDescent="0.25">
      <c r="B67" s="37">
        <v>46293</v>
      </c>
      <c r="C67" s="28" t="s">
        <v>83</v>
      </c>
      <c r="D67" s="28" t="s">
        <v>78</v>
      </c>
      <c r="E67" s="34">
        <v>450</v>
      </c>
      <c r="F67" s="34">
        <v>120</v>
      </c>
      <c r="G67" s="34">
        <v>6076</v>
      </c>
      <c r="H67" s="34">
        <v>6038</v>
      </c>
      <c r="I67" s="38">
        <f>IF(tblRuns[[#This Row],[Date]]="","",IFERROR(INDEX(tblLines[Bottleneck cycle (s/unit)],MATCH(tblRuns[[#This Row],[Line]],tblLines[Line],0)),""))</f>
        <v>3</v>
      </c>
      <c r="J67" s="35">
        <f>IF(tblRuns[[#This Row],[Date]]="","",IFERROR(INDEX(tblLines[Demand per shift (units)],MATCH(tblRuns[[#This Row],[Line]],tblLines[Line],0)),""))</f>
        <v>6600</v>
      </c>
      <c r="K67" s="35">
        <f>IF(tblRuns[[#This Row],[Date]]="","",tblRuns[[#This Row],[Scheduled (min)]]-tblRuns[[#This Row],[Downtime (min)]])</f>
        <v>330</v>
      </c>
      <c r="L67" s="35">
        <f>IF(tblRuns[[#This Row],[Date]]="","",IF(ISNUMBER(tblRuns[[#This Row],[Cycle (s/unit)]]),tblRuns[[#This Row],[Scheduled (min)]]*60/tblRuns[[#This Row],[Cycle (s/unit)]],""))</f>
        <v>9000</v>
      </c>
      <c r="M67" s="35">
        <f>IF(tblRuns[[#This Row],[Date]]="","",IF(tblRuns[[#This Row],[Scheduled (min)]]&gt;0,tblRuns[[#This Row],[Good (units)]]/(tblRuns[[#This Row],[Scheduled (min)]]/60),""))</f>
        <v>805.066666666667</v>
      </c>
      <c r="N67" s="39">
        <f>IF(tblRuns[[#This Row],[Date]]="","",IF(tblRuns[[#This Row],[Scheduled (min)]]&gt;0,tblRuns[[#This Row],[Run (min)]]/tblRuns[[#This Row],[Scheduled (min)]],""))</f>
        <v>0.733333333333333</v>
      </c>
      <c r="O67" s="39">
        <f>IF(tblRuns[[#This Row],[Date]]="","",IF(tblRuns[[#This Row],[Total (units)]]&gt;0,tblRuns[[#This Row],[Good (units)]]/tblRuns[[#This Row],[Total (units)]],""))</f>
        <v>0.993745885450955</v>
      </c>
      <c r="P67" s="39">
        <f>IF(tblRuns[[#This Row],[Date]]="","",IF(N(tblRuns[[#This Row],[Theoretical (units)]])&gt;0,tblRuns[[#This Row],[Good (units)]]/tblRuns[[#This Row],[Theoretical (units)]],""))</f>
        <v>0.670888888888889</v>
      </c>
      <c r="Q67" s="35">
        <f>IF(tblRuns[[#This Row],[Date]]="","",IF(ISNUMBER(tblRuns[[#This Row],[Cycle (s/unit)]]),tblRuns[[#This Row],[Downtime (min)]]*60/tblRuns[[#This Row],[Cycle (s/unit)]],""))</f>
        <v>2400</v>
      </c>
      <c r="R67" s="35">
        <f>IF(tblRuns[[#This Row],[Date]]="","",IF(ISNUMBER(tblRuns[[#This Row],[Cycle (s/unit)]]),tblRuns[[#This Row],[Run (min)]]*60/tblRuns[[#This Row],[Cycle (s/unit)]]-tblRuns[[#This Row],[Total (units)]],""))</f>
        <v>524</v>
      </c>
      <c r="S67" s="35">
        <f>IF(tblRuns[[#This Row],[Date]]="","",tblRuns[[#This Row],[Total (units)]]-tblRuns[[#This Row],[Good (units)]])</f>
        <v>38</v>
      </c>
      <c r="T67" s="39">
        <f>IF(tblRuns[[#This Row],[Date]]="","",IF(N(tblRuns[[#This Row],[Demand (units)]])&gt;0,tblRuns[[#This Row],[Good (units)]]/tblRuns[[#This Row],[Demand (units)]],""))</f>
        <v>0.914848484848485</v>
      </c>
      <c r="U67" s="40" t="str">
        <f>IF(NOT(ISNUMBER(tblRuns[[#This Row],[Demand coverage]])),"",IF(tblRuns[[#This Row],[Demand coverage]]&gt;=TargetCov,"On target",IF(tblRuns[[#This Row],[Demand coverage]]&gt;=TargetCov*(1-0.05),"Near target","Below target")))</f>
        <v>Below target</v>
      </c>
      <c r="V67" s="41">
        <f>IF(tblRuns[[#This Row],[Date]]="","",IF(AND(tblRuns[[#This Row],[Date]]&gt;=FFrom,tblRuns[[#This Row],[Date]]&lt;=FTo,OR(DashLine="",tblRuns[[#This Row],[Line]]=DashLine)),tblRuns[[#This Row],[Date]],""))</f>
        <v>46293</v>
      </c>
      <c r="W6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7" s="43" t="s">
        <v>109</v>
      </c>
    </row>
    <row r="68" spans="2:24" x14ac:dyDescent="0.25">
      <c r="B68" s="37">
        <v>46293</v>
      </c>
      <c r="C68" s="28" t="s">
        <v>83</v>
      </c>
      <c r="D68" s="28" t="s">
        <v>80</v>
      </c>
      <c r="E68" s="34">
        <v>450</v>
      </c>
      <c r="F68" s="34">
        <v>15</v>
      </c>
      <c r="G68" s="34">
        <v>6180</v>
      </c>
      <c r="H68" s="34">
        <v>6018</v>
      </c>
      <c r="I68" s="38">
        <f>IF(tblRuns[[#This Row],[Date]]="","",IFERROR(INDEX(tblLines[Bottleneck cycle (s/unit)],MATCH(tblRuns[[#This Row],[Line]],tblLines[Line],0)),""))</f>
        <v>4</v>
      </c>
      <c r="J68" s="35">
        <f>IF(tblRuns[[#This Row],[Date]]="","",IFERROR(INDEX(tblLines[Demand per shift (units)],MATCH(tblRuns[[#This Row],[Line]],tblLines[Line],0)),""))</f>
        <v>5100</v>
      </c>
      <c r="K68" s="35">
        <f>IF(tblRuns[[#This Row],[Date]]="","",tblRuns[[#This Row],[Scheduled (min)]]-tblRuns[[#This Row],[Downtime (min)]])</f>
        <v>435</v>
      </c>
      <c r="L68" s="35">
        <f>IF(tblRuns[[#This Row],[Date]]="","",IF(ISNUMBER(tblRuns[[#This Row],[Cycle (s/unit)]]),tblRuns[[#This Row],[Scheduled (min)]]*60/tblRuns[[#This Row],[Cycle (s/unit)]],""))</f>
        <v>6750</v>
      </c>
      <c r="M68" s="35">
        <f>IF(tblRuns[[#This Row],[Date]]="","",IF(tblRuns[[#This Row],[Scheduled (min)]]&gt;0,tblRuns[[#This Row],[Good (units)]]/(tblRuns[[#This Row],[Scheduled (min)]]/60),""))</f>
        <v>802.4</v>
      </c>
      <c r="N68" s="39">
        <f>IF(tblRuns[[#This Row],[Date]]="","",IF(tblRuns[[#This Row],[Scheduled (min)]]&gt;0,tblRuns[[#This Row],[Run (min)]]/tblRuns[[#This Row],[Scheduled (min)]],""))</f>
        <v>0.966666666666667</v>
      </c>
      <c r="O68" s="39">
        <f>IF(tblRuns[[#This Row],[Date]]="","",IF(tblRuns[[#This Row],[Total (units)]]&gt;0,tblRuns[[#This Row],[Good (units)]]/tblRuns[[#This Row],[Total (units)]],""))</f>
        <v>0.97378640776699</v>
      </c>
      <c r="P68" s="39">
        <f>IF(tblRuns[[#This Row],[Date]]="","",IF(N(tblRuns[[#This Row],[Theoretical (units)]])&gt;0,tblRuns[[#This Row],[Good (units)]]/tblRuns[[#This Row],[Theoretical (units)]],""))</f>
        <v>0.891555555555556</v>
      </c>
      <c r="Q68" s="35">
        <f>IF(tblRuns[[#This Row],[Date]]="","",IF(ISNUMBER(tblRuns[[#This Row],[Cycle (s/unit)]]),tblRuns[[#This Row],[Downtime (min)]]*60/tblRuns[[#This Row],[Cycle (s/unit)]],""))</f>
        <v>225</v>
      </c>
      <c r="R68" s="35">
        <f>IF(tblRuns[[#This Row],[Date]]="","",IF(ISNUMBER(tblRuns[[#This Row],[Cycle (s/unit)]]),tblRuns[[#This Row],[Run (min)]]*60/tblRuns[[#This Row],[Cycle (s/unit)]]-tblRuns[[#This Row],[Total (units)]],""))</f>
        <v>345</v>
      </c>
      <c r="S68" s="35">
        <f>IF(tblRuns[[#This Row],[Date]]="","",tblRuns[[#This Row],[Total (units)]]-tblRuns[[#This Row],[Good (units)]])</f>
        <v>162</v>
      </c>
      <c r="T68" s="39">
        <f>IF(tblRuns[[#This Row],[Date]]="","",IF(N(tblRuns[[#This Row],[Demand (units)]])&gt;0,tblRuns[[#This Row],[Good (units)]]/tblRuns[[#This Row],[Demand (units)]],""))</f>
        <v>1.18</v>
      </c>
      <c r="U68" s="40" t="str">
        <f>IF(NOT(ISNUMBER(tblRuns[[#This Row],[Demand coverage]])),"",IF(tblRuns[[#This Row],[Demand coverage]]&gt;=TargetCov,"On target",IF(tblRuns[[#This Row],[Demand coverage]]&gt;=TargetCov*(1-0.05),"Near target","Below target")))</f>
        <v>On target</v>
      </c>
      <c r="V68" s="41">
        <f>IF(tblRuns[[#This Row],[Date]]="","",IF(AND(tblRuns[[#This Row],[Date]]&gt;=FFrom,tblRuns[[#This Row],[Date]]&lt;=FTo,OR(DashLine="",tblRuns[[#This Row],[Line]]=DashLine)),tblRuns[[#This Row],[Date]],""))</f>
        <v>46293</v>
      </c>
      <c r="W6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8" s="43" t="s">
        <v>112</v>
      </c>
    </row>
    <row r="69" spans="2:24" x14ac:dyDescent="0.25">
      <c r="B69" s="37">
        <v>46293</v>
      </c>
      <c r="C69" s="28" t="s">
        <v>85</v>
      </c>
      <c r="D69" s="28" t="s">
        <v>76</v>
      </c>
      <c r="E69" s="34">
        <v>450</v>
      </c>
      <c r="F69" s="34">
        <v>5</v>
      </c>
      <c r="G69" s="34">
        <v>16224</v>
      </c>
      <c r="H69" s="34">
        <v>16082</v>
      </c>
      <c r="I69" s="38">
        <f>IF(tblRuns[[#This Row],[Date]]="","",IFERROR(INDEX(tblLines[Bottleneck cycle (s/unit)],MATCH(tblRuns[[#This Row],[Line]],tblLines[Line],0)),""))</f>
        <v>1.5</v>
      </c>
      <c r="J69" s="35">
        <f>IF(tblRuns[[#This Row],[Date]]="","",IFERROR(INDEX(tblLines[Demand per shift (units)],MATCH(tblRuns[[#This Row],[Line]],tblLines[Line],0)),""))</f>
        <v>14500</v>
      </c>
      <c r="K69" s="35">
        <f>IF(tblRuns[[#This Row],[Date]]="","",tblRuns[[#This Row],[Scheduled (min)]]-tblRuns[[#This Row],[Downtime (min)]])</f>
        <v>445</v>
      </c>
      <c r="L69" s="35">
        <f>IF(tblRuns[[#This Row],[Date]]="","",IF(ISNUMBER(tblRuns[[#This Row],[Cycle (s/unit)]]),tblRuns[[#This Row],[Scheduled (min)]]*60/tblRuns[[#This Row],[Cycle (s/unit)]],""))</f>
        <v>18000</v>
      </c>
      <c r="M69" s="35">
        <f>IF(tblRuns[[#This Row],[Date]]="","",IF(tblRuns[[#This Row],[Scheduled (min)]]&gt;0,tblRuns[[#This Row],[Good (units)]]/(tblRuns[[#This Row],[Scheduled (min)]]/60),""))</f>
        <v>2144.26666666667</v>
      </c>
      <c r="N69" s="39">
        <f>IF(tblRuns[[#This Row],[Date]]="","",IF(tblRuns[[#This Row],[Scheduled (min)]]&gt;0,tblRuns[[#This Row],[Run (min)]]/tblRuns[[#This Row],[Scheduled (min)]],""))</f>
        <v>0.988888888888889</v>
      </c>
      <c r="O69" s="39">
        <f>IF(tblRuns[[#This Row],[Date]]="","",IF(tblRuns[[#This Row],[Total (units)]]&gt;0,tblRuns[[#This Row],[Good (units)]]/tblRuns[[#This Row],[Total (units)]],""))</f>
        <v>0.991247534516765</v>
      </c>
      <c r="P69" s="39">
        <f>IF(tblRuns[[#This Row],[Date]]="","",IF(N(tblRuns[[#This Row],[Theoretical (units)]])&gt;0,tblRuns[[#This Row],[Good (units)]]/tblRuns[[#This Row],[Theoretical (units)]],""))</f>
        <v>0.893444444444445</v>
      </c>
      <c r="Q69" s="35">
        <f>IF(tblRuns[[#This Row],[Date]]="","",IF(ISNUMBER(tblRuns[[#This Row],[Cycle (s/unit)]]),tblRuns[[#This Row],[Downtime (min)]]*60/tblRuns[[#This Row],[Cycle (s/unit)]],""))</f>
        <v>200</v>
      </c>
      <c r="R69" s="35">
        <f>IF(tblRuns[[#This Row],[Date]]="","",IF(ISNUMBER(tblRuns[[#This Row],[Cycle (s/unit)]]),tblRuns[[#This Row],[Run (min)]]*60/tblRuns[[#This Row],[Cycle (s/unit)]]-tblRuns[[#This Row],[Total (units)]],""))</f>
        <v>1576</v>
      </c>
      <c r="S69" s="35">
        <f>IF(tblRuns[[#This Row],[Date]]="","",tblRuns[[#This Row],[Total (units)]]-tblRuns[[#This Row],[Good (units)]])</f>
        <v>142</v>
      </c>
      <c r="T69" s="39">
        <f>IF(tblRuns[[#This Row],[Date]]="","",IF(N(tblRuns[[#This Row],[Demand (units)]])&gt;0,tblRuns[[#This Row],[Good (units)]]/tblRuns[[#This Row],[Demand (units)]],""))</f>
        <v>1.10910344827586</v>
      </c>
      <c r="U69" s="40" t="str">
        <f>IF(NOT(ISNUMBER(tblRuns[[#This Row],[Demand coverage]])),"",IF(tblRuns[[#This Row],[Demand coverage]]&gt;=TargetCov,"On target",IF(tblRuns[[#This Row],[Demand coverage]]&gt;=TargetCov*(1-0.05),"Near target","Below target")))</f>
        <v>On target</v>
      </c>
      <c r="V69" s="41">
        <f>IF(tblRuns[[#This Row],[Date]]="","",IF(AND(tblRuns[[#This Row],[Date]]&gt;=FFrom,tblRuns[[#This Row],[Date]]&lt;=FTo,OR(DashLine="",tblRuns[[#This Row],[Line]]=DashLine)),tblRuns[[#This Row],[Date]],""))</f>
        <v>46293</v>
      </c>
      <c r="W6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69" s="43" t="s">
        <v>109</v>
      </c>
    </row>
    <row r="70" spans="2:24" x14ac:dyDescent="0.25">
      <c r="B70" s="37">
        <v>46293</v>
      </c>
      <c r="C70" s="28" t="s">
        <v>85</v>
      </c>
      <c r="D70" s="28" t="s">
        <v>78</v>
      </c>
      <c r="E70" s="34">
        <v>450</v>
      </c>
      <c r="F70" s="34">
        <v>135</v>
      </c>
      <c r="G70" s="34">
        <v>5755</v>
      </c>
      <c r="H70" s="34">
        <v>5740</v>
      </c>
      <c r="I70" s="38">
        <f>IF(tblRuns[[#This Row],[Date]]="","",IFERROR(INDEX(tblLines[Bottleneck cycle (s/unit)],MATCH(tblRuns[[#This Row],[Line]],tblLines[Line],0)),""))</f>
        <v>3</v>
      </c>
      <c r="J70" s="35">
        <f>IF(tblRuns[[#This Row],[Date]]="","",IFERROR(INDEX(tblLines[Demand per shift (units)],MATCH(tblRuns[[#This Row],[Line]],tblLines[Line],0)),""))</f>
        <v>6600</v>
      </c>
      <c r="K70" s="35">
        <f>IF(tblRuns[[#This Row],[Date]]="","",tblRuns[[#This Row],[Scheduled (min)]]-tblRuns[[#This Row],[Downtime (min)]])</f>
        <v>315</v>
      </c>
      <c r="L70" s="35">
        <f>IF(tblRuns[[#This Row],[Date]]="","",IF(ISNUMBER(tblRuns[[#This Row],[Cycle (s/unit)]]),tblRuns[[#This Row],[Scheduled (min)]]*60/tblRuns[[#This Row],[Cycle (s/unit)]],""))</f>
        <v>9000</v>
      </c>
      <c r="M70" s="35">
        <f>IF(tblRuns[[#This Row],[Date]]="","",IF(tblRuns[[#This Row],[Scheduled (min)]]&gt;0,tblRuns[[#This Row],[Good (units)]]/(tblRuns[[#This Row],[Scheduled (min)]]/60),""))</f>
        <v>765.333333333333</v>
      </c>
      <c r="N70" s="39">
        <f>IF(tblRuns[[#This Row],[Date]]="","",IF(tblRuns[[#This Row],[Scheduled (min)]]&gt;0,tblRuns[[#This Row],[Run (min)]]/tblRuns[[#This Row],[Scheduled (min)]],""))</f>
        <v>0.7</v>
      </c>
      <c r="O70" s="39">
        <f>IF(tblRuns[[#This Row],[Date]]="","",IF(tblRuns[[#This Row],[Total (units)]]&gt;0,tblRuns[[#This Row],[Good (units)]]/tblRuns[[#This Row],[Total (units)]],""))</f>
        <v>0.997393570807993</v>
      </c>
      <c r="P70" s="39">
        <f>IF(tblRuns[[#This Row],[Date]]="","",IF(N(tblRuns[[#This Row],[Theoretical (units)]])&gt;0,tblRuns[[#This Row],[Good (units)]]/tblRuns[[#This Row],[Theoretical (units)]],""))</f>
        <v>0.637777777777778</v>
      </c>
      <c r="Q70" s="35">
        <f>IF(tblRuns[[#This Row],[Date]]="","",IF(ISNUMBER(tblRuns[[#This Row],[Cycle (s/unit)]]),tblRuns[[#This Row],[Downtime (min)]]*60/tblRuns[[#This Row],[Cycle (s/unit)]],""))</f>
        <v>2700</v>
      </c>
      <c r="R70" s="35">
        <f>IF(tblRuns[[#This Row],[Date]]="","",IF(ISNUMBER(tblRuns[[#This Row],[Cycle (s/unit)]]),tblRuns[[#This Row],[Run (min)]]*60/tblRuns[[#This Row],[Cycle (s/unit)]]-tblRuns[[#This Row],[Total (units)]],""))</f>
        <v>545</v>
      </c>
      <c r="S70" s="35">
        <f>IF(tblRuns[[#This Row],[Date]]="","",tblRuns[[#This Row],[Total (units)]]-tblRuns[[#This Row],[Good (units)]])</f>
        <v>15</v>
      </c>
      <c r="T70" s="39">
        <f>IF(tblRuns[[#This Row],[Date]]="","",IF(N(tblRuns[[#This Row],[Demand (units)]])&gt;0,tblRuns[[#This Row],[Good (units)]]/tblRuns[[#This Row],[Demand (units)]],""))</f>
        <v>0.86969696969697</v>
      </c>
      <c r="U70" s="40" t="str">
        <f>IF(NOT(ISNUMBER(tblRuns[[#This Row],[Demand coverage]])),"",IF(tblRuns[[#This Row],[Demand coverage]]&gt;=TargetCov,"On target",IF(tblRuns[[#This Row],[Demand coverage]]&gt;=TargetCov*(1-0.05),"Near target","Below target")))</f>
        <v>Below target</v>
      </c>
      <c r="V70" s="41">
        <f>IF(tblRuns[[#This Row],[Date]]="","",IF(AND(tblRuns[[#This Row],[Date]]&gt;=FFrom,tblRuns[[#This Row],[Date]]&lt;=FTo,OR(DashLine="",tblRuns[[#This Row],[Line]]=DashLine)),tblRuns[[#This Row],[Date]],""))</f>
        <v>46293</v>
      </c>
      <c r="W7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0" s="43" t="s">
        <v>109</v>
      </c>
    </row>
    <row r="71" spans="2:24" x14ac:dyDescent="0.25">
      <c r="B71" s="37">
        <v>46293</v>
      </c>
      <c r="C71" s="28" t="s">
        <v>85</v>
      </c>
      <c r="D71" s="28" t="s">
        <v>80</v>
      </c>
      <c r="E71" s="34">
        <v>450</v>
      </c>
      <c r="F71" s="34">
        <v>55</v>
      </c>
      <c r="G71" s="34">
        <v>5550</v>
      </c>
      <c r="H71" s="34">
        <v>5393</v>
      </c>
      <c r="I71" s="38">
        <f>IF(tblRuns[[#This Row],[Date]]="","",IFERROR(INDEX(tblLines[Bottleneck cycle (s/unit)],MATCH(tblRuns[[#This Row],[Line]],tblLines[Line],0)),""))</f>
        <v>4</v>
      </c>
      <c r="J71" s="35">
        <f>IF(tblRuns[[#This Row],[Date]]="","",IFERROR(INDEX(tblLines[Demand per shift (units)],MATCH(tblRuns[[#This Row],[Line]],tblLines[Line],0)),""))</f>
        <v>5100</v>
      </c>
      <c r="K71" s="35">
        <f>IF(tblRuns[[#This Row],[Date]]="","",tblRuns[[#This Row],[Scheduled (min)]]-tblRuns[[#This Row],[Downtime (min)]])</f>
        <v>395</v>
      </c>
      <c r="L71" s="35">
        <f>IF(tblRuns[[#This Row],[Date]]="","",IF(ISNUMBER(tblRuns[[#This Row],[Cycle (s/unit)]]),tblRuns[[#This Row],[Scheduled (min)]]*60/tblRuns[[#This Row],[Cycle (s/unit)]],""))</f>
        <v>6750</v>
      </c>
      <c r="M71" s="35">
        <f>IF(tblRuns[[#This Row],[Date]]="","",IF(tblRuns[[#This Row],[Scheduled (min)]]&gt;0,tblRuns[[#This Row],[Good (units)]]/(tblRuns[[#This Row],[Scheduled (min)]]/60),""))</f>
        <v>719.066666666667</v>
      </c>
      <c r="N71" s="39">
        <f>IF(tblRuns[[#This Row],[Date]]="","",IF(tblRuns[[#This Row],[Scheduled (min)]]&gt;0,tblRuns[[#This Row],[Run (min)]]/tblRuns[[#This Row],[Scheduled (min)]],""))</f>
        <v>0.877777777777778</v>
      </c>
      <c r="O71" s="39">
        <f>IF(tblRuns[[#This Row],[Date]]="","",IF(tblRuns[[#This Row],[Total (units)]]&gt;0,tblRuns[[#This Row],[Good (units)]]/tblRuns[[#This Row],[Total (units)]],""))</f>
        <v>0.971711711711712</v>
      </c>
      <c r="P71" s="39">
        <f>IF(tblRuns[[#This Row],[Date]]="","",IF(N(tblRuns[[#This Row],[Theoretical (units)]])&gt;0,tblRuns[[#This Row],[Good (units)]]/tblRuns[[#This Row],[Theoretical (units)]],""))</f>
        <v>0.798962962962963</v>
      </c>
      <c r="Q71" s="35">
        <f>IF(tblRuns[[#This Row],[Date]]="","",IF(ISNUMBER(tblRuns[[#This Row],[Cycle (s/unit)]]),tblRuns[[#This Row],[Downtime (min)]]*60/tblRuns[[#This Row],[Cycle (s/unit)]],""))</f>
        <v>825</v>
      </c>
      <c r="R71" s="35">
        <f>IF(tblRuns[[#This Row],[Date]]="","",IF(ISNUMBER(tblRuns[[#This Row],[Cycle (s/unit)]]),tblRuns[[#This Row],[Run (min)]]*60/tblRuns[[#This Row],[Cycle (s/unit)]]-tblRuns[[#This Row],[Total (units)]],""))</f>
        <v>375</v>
      </c>
      <c r="S71" s="35">
        <f>IF(tblRuns[[#This Row],[Date]]="","",tblRuns[[#This Row],[Total (units)]]-tblRuns[[#This Row],[Good (units)]])</f>
        <v>157</v>
      </c>
      <c r="T71" s="39">
        <f>IF(tblRuns[[#This Row],[Date]]="","",IF(N(tblRuns[[#This Row],[Demand (units)]])&gt;0,tblRuns[[#This Row],[Good (units)]]/tblRuns[[#This Row],[Demand (units)]],""))</f>
        <v>1.05745098039216</v>
      </c>
      <c r="U71" s="40" t="str">
        <f>IF(NOT(ISNUMBER(tblRuns[[#This Row],[Demand coverage]])),"",IF(tblRuns[[#This Row],[Demand coverage]]&gt;=TargetCov,"On target",IF(tblRuns[[#This Row],[Demand coverage]]&gt;=TargetCov*(1-0.05),"Near target","Below target")))</f>
        <v>On target</v>
      </c>
      <c r="V71" s="41">
        <f>IF(tblRuns[[#This Row],[Date]]="","",IF(AND(tblRuns[[#This Row],[Date]]&gt;=FFrom,tblRuns[[#This Row],[Date]]&lt;=FTo,OR(DashLine="",tblRuns[[#This Row],[Line]]=DashLine)),tblRuns[[#This Row],[Date]],""))</f>
        <v>46293</v>
      </c>
      <c r="W7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1" s="43" t="s">
        <v>109</v>
      </c>
    </row>
    <row r="72" spans="2:24" x14ac:dyDescent="0.25">
      <c r="B72" s="37">
        <v>46294</v>
      </c>
      <c r="C72" s="28" t="s">
        <v>83</v>
      </c>
      <c r="D72" s="28" t="s">
        <v>76</v>
      </c>
      <c r="E72" s="34">
        <v>450</v>
      </c>
      <c r="F72" s="34">
        <v>50</v>
      </c>
      <c r="G72" s="34">
        <v>14938</v>
      </c>
      <c r="H72" s="34">
        <v>14619</v>
      </c>
      <c r="I72" s="38">
        <f>IF(tblRuns[[#This Row],[Date]]="","",IFERROR(INDEX(tblLines[Bottleneck cycle (s/unit)],MATCH(tblRuns[[#This Row],[Line]],tblLines[Line],0)),""))</f>
        <v>1.5</v>
      </c>
      <c r="J72" s="35">
        <f>IF(tblRuns[[#This Row],[Date]]="","",IFERROR(INDEX(tblLines[Demand per shift (units)],MATCH(tblRuns[[#This Row],[Line]],tblLines[Line],0)),""))</f>
        <v>14500</v>
      </c>
      <c r="K72" s="35">
        <f>IF(tblRuns[[#This Row],[Date]]="","",tblRuns[[#This Row],[Scheduled (min)]]-tblRuns[[#This Row],[Downtime (min)]])</f>
        <v>400</v>
      </c>
      <c r="L72" s="35">
        <f>IF(tblRuns[[#This Row],[Date]]="","",IF(ISNUMBER(tblRuns[[#This Row],[Cycle (s/unit)]]),tblRuns[[#This Row],[Scheduled (min)]]*60/tblRuns[[#This Row],[Cycle (s/unit)]],""))</f>
        <v>18000</v>
      </c>
      <c r="M72" s="35">
        <f>IF(tblRuns[[#This Row],[Date]]="","",IF(tblRuns[[#This Row],[Scheduled (min)]]&gt;0,tblRuns[[#This Row],[Good (units)]]/(tblRuns[[#This Row],[Scheduled (min)]]/60),""))</f>
        <v>1949.2</v>
      </c>
      <c r="N72" s="39">
        <f>IF(tblRuns[[#This Row],[Date]]="","",IF(tblRuns[[#This Row],[Scheduled (min)]]&gt;0,tblRuns[[#This Row],[Run (min)]]/tblRuns[[#This Row],[Scheduled (min)]],""))</f>
        <v>0.888888888888889</v>
      </c>
      <c r="O72" s="39">
        <f>IF(tblRuns[[#This Row],[Date]]="","",IF(tblRuns[[#This Row],[Total (units)]]&gt;0,tblRuns[[#This Row],[Good (units)]]/tblRuns[[#This Row],[Total (units)]],""))</f>
        <v>0.978645066273932</v>
      </c>
      <c r="P72" s="39">
        <f>IF(tblRuns[[#This Row],[Date]]="","",IF(N(tblRuns[[#This Row],[Theoretical (units)]])&gt;0,tblRuns[[#This Row],[Good (units)]]/tblRuns[[#This Row],[Theoretical (units)]],""))</f>
        <v>0.812166666666667</v>
      </c>
      <c r="Q72" s="35">
        <f>IF(tblRuns[[#This Row],[Date]]="","",IF(ISNUMBER(tblRuns[[#This Row],[Cycle (s/unit)]]),tblRuns[[#This Row],[Downtime (min)]]*60/tblRuns[[#This Row],[Cycle (s/unit)]],""))</f>
        <v>2000</v>
      </c>
      <c r="R72" s="35">
        <f>IF(tblRuns[[#This Row],[Date]]="","",IF(ISNUMBER(tblRuns[[#This Row],[Cycle (s/unit)]]),tblRuns[[#This Row],[Run (min)]]*60/tblRuns[[#This Row],[Cycle (s/unit)]]-tblRuns[[#This Row],[Total (units)]],""))</f>
        <v>1062</v>
      </c>
      <c r="S72" s="35">
        <f>IF(tblRuns[[#This Row],[Date]]="","",tblRuns[[#This Row],[Total (units)]]-tblRuns[[#This Row],[Good (units)]])</f>
        <v>319</v>
      </c>
      <c r="T72" s="39">
        <f>IF(tblRuns[[#This Row],[Date]]="","",IF(N(tblRuns[[#This Row],[Demand (units)]])&gt;0,tblRuns[[#This Row],[Good (units)]]/tblRuns[[#This Row],[Demand (units)]],""))</f>
        <v>1.00820689655172</v>
      </c>
      <c r="U72" s="40" t="str">
        <f>IF(NOT(ISNUMBER(tblRuns[[#This Row],[Demand coverage]])),"",IF(tblRuns[[#This Row],[Demand coverage]]&gt;=TargetCov,"On target",IF(tblRuns[[#This Row],[Demand coverage]]&gt;=TargetCov*(1-0.05),"Near target","Below target")))</f>
        <v>On target</v>
      </c>
      <c r="V72" s="41">
        <f>IF(tblRuns[[#This Row],[Date]]="","",IF(AND(tblRuns[[#This Row],[Date]]&gt;=FFrom,tblRuns[[#This Row],[Date]]&lt;=FTo,OR(DashLine="",tblRuns[[#This Row],[Line]]=DashLine)),tblRuns[[#This Row],[Date]],""))</f>
        <v>46294</v>
      </c>
      <c r="W7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2" s="43" t="s">
        <v>109</v>
      </c>
    </row>
    <row r="73" spans="2:24" x14ac:dyDescent="0.25">
      <c r="B73" s="37">
        <v>46294</v>
      </c>
      <c r="C73" s="28" t="s">
        <v>83</v>
      </c>
      <c r="D73" s="28" t="s">
        <v>78</v>
      </c>
      <c r="E73" s="34">
        <v>450</v>
      </c>
      <c r="F73" s="34">
        <v>175</v>
      </c>
      <c r="G73" s="34">
        <v>5241</v>
      </c>
      <c r="H73" s="34">
        <v>5218</v>
      </c>
      <c r="I73" s="38">
        <f>IF(tblRuns[[#This Row],[Date]]="","",IFERROR(INDEX(tblLines[Bottleneck cycle (s/unit)],MATCH(tblRuns[[#This Row],[Line]],tblLines[Line],0)),""))</f>
        <v>3</v>
      </c>
      <c r="J73" s="35">
        <f>IF(tblRuns[[#This Row],[Date]]="","",IFERROR(INDEX(tblLines[Demand per shift (units)],MATCH(tblRuns[[#This Row],[Line]],tblLines[Line],0)),""))</f>
        <v>6600</v>
      </c>
      <c r="K73" s="35">
        <f>IF(tblRuns[[#This Row],[Date]]="","",tblRuns[[#This Row],[Scheduled (min)]]-tblRuns[[#This Row],[Downtime (min)]])</f>
        <v>275</v>
      </c>
      <c r="L73" s="35">
        <f>IF(tblRuns[[#This Row],[Date]]="","",IF(ISNUMBER(tblRuns[[#This Row],[Cycle (s/unit)]]),tblRuns[[#This Row],[Scheduled (min)]]*60/tblRuns[[#This Row],[Cycle (s/unit)]],""))</f>
        <v>9000</v>
      </c>
      <c r="M73" s="35">
        <f>IF(tblRuns[[#This Row],[Date]]="","",IF(tblRuns[[#This Row],[Scheduled (min)]]&gt;0,tblRuns[[#This Row],[Good (units)]]/(tblRuns[[#This Row],[Scheduled (min)]]/60),""))</f>
        <v>695.733333333333</v>
      </c>
      <c r="N73" s="39">
        <f>IF(tblRuns[[#This Row],[Date]]="","",IF(tblRuns[[#This Row],[Scheduled (min)]]&gt;0,tblRuns[[#This Row],[Run (min)]]/tblRuns[[#This Row],[Scheduled (min)]],""))</f>
        <v>0.611111111111111</v>
      </c>
      <c r="O73" s="39">
        <f>IF(tblRuns[[#This Row],[Date]]="","",IF(tblRuns[[#This Row],[Total (units)]]&gt;0,tblRuns[[#This Row],[Good (units)]]/tblRuns[[#This Row],[Total (units)]],""))</f>
        <v>0.995611524518222</v>
      </c>
      <c r="P73" s="39">
        <f>IF(tblRuns[[#This Row],[Date]]="","",IF(N(tblRuns[[#This Row],[Theoretical (units)]])&gt;0,tblRuns[[#This Row],[Good (units)]]/tblRuns[[#This Row],[Theoretical (units)]],""))</f>
        <v>0.579777777777778</v>
      </c>
      <c r="Q73" s="35">
        <f>IF(tblRuns[[#This Row],[Date]]="","",IF(ISNUMBER(tblRuns[[#This Row],[Cycle (s/unit)]]),tblRuns[[#This Row],[Downtime (min)]]*60/tblRuns[[#This Row],[Cycle (s/unit)]],""))</f>
        <v>3500</v>
      </c>
      <c r="R73" s="35">
        <f>IF(tblRuns[[#This Row],[Date]]="","",IF(ISNUMBER(tblRuns[[#This Row],[Cycle (s/unit)]]),tblRuns[[#This Row],[Run (min)]]*60/tblRuns[[#This Row],[Cycle (s/unit)]]-tblRuns[[#This Row],[Total (units)]],""))</f>
        <v>259</v>
      </c>
      <c r="S73" s="35">
        <f>IF(tblRuns[[#This Row],[Date]]="","",tblRuns[[#This Row],[Total (units)]]-tblRuns[[#This Row],[Good (units)]])</f>
        <v>23</v>
      </c>
      <c r="T73" s="39">
        <f>IF(tblRuns[[#This Row],[Date]]="","",IF(N(tblRuns[[#This Row],[Demand (units)]])&gt;0,tblRuns[[#This Row],[Good (units)]]/tblRuns[[#This Row],[Demand (units)]],""))</f>
        <v>0.790606060606061</v>
      </c>
      <c r="U73" s="40" t="str">
        <f>IF(NOT(ISNUMBER(tblRuns[[#This Row],[Demand coverage]])),"",IF(tblRuns[[#This Row],[Demand coverage]]&gt;=TargetCov,"On target",IF(tblRuns[[#This Row],[Demand coverage]]&gt;=TargetCov*(1-0.05),"Near target","Below target")))</f>
        <v>Below target</v>
      </c>
      <c r="V73" s="41">
        <f>IF(tblRuns[[#This Row],[Date]]="","",IF(AND(tblRuns[[#This Row],[Date]]&gt;=FFrom,tblRuns[[#This Row],[Date]]&lt;=FTo,OR(DashLine="",tblRuns[[#This Row],[Line]]=DashLine)),tblRuns[[#This Row],[Date]],""))</f>
        <v>46294</v>
      </c>
      <c r="W7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3" s="43" t="s">
        <v>110</v>
      </c>
    </row>
    <row r="74" spans="2:24" x14ac:dyDescent="0.25">
      <c r="B74" s="37">
        <v>46294</v>
      </c>
      <c r="C74" s="28" t="s">
        <v>83</v>
      </c>
      <c r="D74" s="28" t="s">
        <v>80</v>
      </c>
      <c r="E74" s="34">
        <v>450</v>
      </c>
      <c r="F74" s="34">
        <v>45</v>
      </c>
      <c r="G74" s="34">
        <v>5375</v>
      </c>
      <c r="H74" s="34">
        <v>5213</v>
      </c>
      <c r="I74" s="38">
        <f>IF(tblRuns[[#This Row],[Date]]="","",IFERROR(INDEX(tblLines[Bottleneck cycle (s/unit)],MATCH(tblRuns[[#This Row],[Line]],tblLines[Line],0)),""))</f>
        <v>4</v>
      </c>
      <c r="J74" s="35">
        <f>IF(tblRuns[[#This Row],[Date]]="","",IFERROR(INDEX(tblLines[Demand per shift (units)],MATCH(tblRuns[[#This Row],[Line]],tblLines[Line],0)),""))</f>
        <v>5100</v>
      </c>
      <c r="K74" s="35">
        <f>IF(tblRuns[[#This Row],[Date]]="","",tblRuns[[#This Row],[Scheduled (min)]]-tblRuns[[#This Row],[Downtime (min)]])</f>
        <v>405</v>
      </c>
      <c r="L74" s="35">
        <f>IF(tblRuns[[#This Row],[Date]]="","",IF(ISNUMBER(tblRuns[[#This Row],[Cycle (s/unit)]]),tblRuns[[#This Row],[Scheduled (min)]]*60/tblRuns[[#This Row],[Cycle (s/unit)]],""))</f>
        <v>6750</v>
      </c>
      <c r="M74" s="35">
        <f>IF(tblRuns[[#This Row],[Date]]="","",IF(tblRuns[[#This Row],[Scheduled (min)]]&gt;0,tblRuns[[#This Row],[Good (units)]]/(tblRuns[[#This Row],[Scheduled (min)]]/60),""))</f>
        <v>695.066666666667</v>
      </c>
      <c r="N74" s="39">
        <f>IF(tblRuns[[#This Row],[Date]]="","",IF(tblRuns[[#This Row],[Scheduled (min)]]&gt;0,tblRuns[[#This Row],[Run (min)]]/tblRuns[[#This Row],[Scheduled (min)]],""))</f>
        <v>0.9</v>
      </c>
      <c r="O74" s="39">
        <f>IF(tblRuns[[#This Row],[Date]]="","",IF(tblRuns[[#This Row],[Total (units)]]&gt;0,tblRuns[[#This Row],[Good (units)]]/tblRuns[[#This Row],[Total (units)]],""))</f>
        <v>0.969860465116279</v>
      </c>
      <c r="P74" s="39">
        <f>IF(tblRuns[[#This Row],[Date]]="","",IF(N(tblRuns[[#This Row],[Theoretical (units)]])&gt;0,tblRuns[[#This Row],[Good (units)]]/tblRuns[[#This Row],[Theoretical (units)]],""))</f>
        <v>0.772296296296296</v>
      </c>
      <c r="Q74" s="35">
        <f>IF(tblRuns[[#This Row],[Date]]="","",IF(ISNUMBER(tblRuns[[#This Row],[Cycle (s/unit)]]),tblRuns[[#This Row],[Downtime (min)]]*60/tblRuns[[#This Row],[Cycle (s/unit)]],""))</f>
        <v>675</v>
      </c>
      <c r="R74" s="35">
        <f>IF(tblRuns[[#This Row],[Date]]="","",IF(ISNUMBER(tblRuns[[#This Row],[Cycle (s/unit)]]),tblRuns[[#This Row],[Run (min)]]*60/tblRuns[[#This Row],[Cycle (s/unit)]]-tblRuns[[#This Row],[Total (units)]],""))</f>
        <v>700</v>
      </c>
      <c r="S74" s="35">
        <f>IF(tblRuns[[#This Row],[Date]]="","",tblRuns[[#This Row],[Total (units)]]-tblRuns[[#This Row],[Good (units)]])</f>
        <v>162</v>
      </c>
      <c r="T74" s="39">
        <f>IF(tblRuns[[#This Row],[Date]]="","",IF(N(tblRuns[[#This Row],[Demand (units)]])&gt;0,tblRuns[[#This Row],[Good (units)]]/tblRuns[[#This Row],[Demand (units)]],""))</f>
        <v>1.0221568627451</v>
      </c>
      <c r="U74" s="40" t="str">
        <f>IF(NOT(ISNUMBER(tblRuns[[#This Row],[Demand coverage]])),"",IF(tblRuns[[#This Row],[Demand coverage]]&gt;=TargetCov,"On target",IF(tblRuns[[#This Row],[Demand coverage]]&gt;=TargetCov*(1-0.05),"Near target","Below target")))</f>
        <v>On target</v>
      </c>
      <c r="V74" s="41">
        <f>IF(tblRuns[[#This Row],[Date]]="","",IF(AND(tblRuns[[#This Row],[Date]]&gt;=FFrom,tblRuns[[#This Row],[Date]]&lt;=FTo,OR(DashLine="",tblRuns[[#This Row],[Line]]=DashLine)),tblRuns[[#This Row],[Date]],""))</f>
        <v>46294</v>
      </c>
      <c r="W7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4" s="43" t="s">
        <v>109</v>
      </c>
    </row>
    <row r="75" spans="2:24" x14ac:dyDescent="0.25">
      <c r="B75" s="37">
        <v>46294</v>
      </c>
      <c r="C75" s="28" t="s">
        <v>85</v>
      </c>
      <c r="D75" s="28" t="s">
        <v>76</v>
      </c>
      <c r="E75" s="34">
        <v>450</v>
      </c>
      <c r="F75" s="34">
        <v>45</v>
      </c>
      <c r="G75" s="34">
        <v>14891</v>
      </c>
      <c r="H75" s="34">
        <v>14522</v>
      </c>
      <c r="I75" s="38">
        <f>IF(tblRuns[[#This Row],[Date]]="","",IFERROR(INDEX(tblLines[Bottleneck cycle (s/unit)],MATCH(tblRuns[[#This Row],[Line]],tblLines[Line],0)),""))</f>
        <v>1.5</v>
      </c>
      <c r="J75" s="35">
        <f>IF(tblRuns[[#This Row],[Date]]="","",IFERROR(INDEX(tblLines[Demand per shift (units)],MATCH(tblRuns[[#This Row],[Line]],tblLines[Line],0)),""))</f>
        <v>14500</v>
      </c>
      <c r="K75" s="35">
        <f>IF(tblRuns[[#This Row],[Date]]="","",tblRuns[[#This Row],[Scheduled (min)]]-tblRuns[[#This Row],[Downtime (min)]])</f>
        <v>405</v>
      </c>
      <c r="L75" s="35">
        <f>IF(tblRuns[[#This Row],[Date]]="","",IF(ISNUMBER(tblRuns[[#This Row],[Cycle (s/unit)]]),tblRuns[[#This Row],[Scheduled (min)]]*60/tblRuns[[#This Row],[Cycle (s/unit)]],""))</f>
        <v>18000</v>
      </c>
      <c r="M75" s="35">
        <f>IF(tblRuns[[#This Row],[Date]]="","",IF(tblRuns[[#This Row],[Scheduled (min)]]&gt;0,tblRuns[[#This Row],[Good (units)]]/(tblRuns[[#This Row],[Scheduled (min)]]/60),""))</f>
        <v>1936.26666666667</v>
      </c>
      <c r="N75" s="39">
        <f>IF(tblRuns[[#This Row],[Date]]="","",IF(tblRuns[[#This Row],[Scheduled (min)]]&gt;0,tblRuns[[#This Row],[Run (min)]]/tblRuns[[#This Row],[Scheduled (min)]],""))</f>
        <v>0.9</v>
      </c>
      <c r="O75" s="39">
        <f>IF(tblRuns[[#This Row],[Date]]="","",IF(tblRuns[[#This Row],[Total (units)]]&gt;0,tblRuns[[#This Row],[Good (units)]]/tblRuns[[#This Row],[Total (units)]],""))</f>
        <v>0.97521993150225</v>
      </c>
      <c r="P75" s="39">
        <f>IF(tblRuns[[#This Row],[Date]]="","",IF(N(tblRuns[[#This Row],[Theoretical (units)]])&gt;0,tblRuns[[#This Row],[Good (units)]]/tblRuns[[#This Row],[Theoretical (units)]],""))</f>
        <v>0.806777777777778</v>
      </c>
      <c r="Q75" s="35">
        <f>IF(tblRuns[[#This Row],[Date]]="","",IF(ISNUMBER(tblRuns[[#This Row],[Cycle (s/unit)]]),tblRuns[[#This Row],[Downtime (min)]]*60/tblRuns[[#This Row],[Cycle (s/unit)]],""))</f>
        <v>1800</v>
      </c>
      <c r="R75" s="35">
        <f>IF(tblRuns[[#This Row],[Date]]="","",IF(ISNUMBER(tblRuns[[#This Row],[Cycle (s/unit)]]),tblRuns[[#This Row],[Run (min)]]*60/tblRuns[[#This Row],[Cycle (s/unit)]]-tblRuns[[#This Row],[Total (units)]],""))</f>
        <v>1309</v>
      </c>
      <c r="S75" s="35">
        <f>IF(tblRuns[[#This Row],[Date]]="","",tblRuns[[#This Row],[Total (units)]]-tblRuns[[#This Row],[Good (units)]])</f>
        <v>369</v>
      </c>
      <c r="T75" s="39">
        <f>IF(tblRuns[[#This Row],[Date]]="","",IF(N(tblRuns[[#This Row],[Demand (units)]])&gt;0,tblRuns[[#This Row],[Good (units)]]/tblRuns[[#This Row],[Demand (units)]],""))</f>
        <v>1.00151724137931</v>
      </c>
      <c r="U75" s="40" t="str">
        <f>IF(NOT(ISNUMBER(tblRuns[[#This Row],[Demand coverage]])),"",IF(tblRuns[[#This Row],[Demand coverage]]&gt;=TargetCov,"On target",IF(tblRuns[[#This Row],[Demand coverage]]&gt;=TargetCov*(1-0.05),"Near target","Below target")))</f>
        <v>On target</v>
      </c>
      <c r="V75" s="41">
        <f>IF(tblRuns[[#This Row],[Date]]="","",IF(AND(tblRuns[[#This Row],[Date]]&gt;=FFrom,tblRuns[[#This Row],[Date]]&lt;=FTo,OR(DashLine="",tblRuns[[#This Row],[Line]]=DashLine)),tblRuns[[#This Row],[Date]],""))</f>
        <v>46294</v>
      </c>
      <c r="W7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5" s="43" t="s">
        <v>109</v>
      </c>
    </row>
    <row r="76" spans="2:24" x14ac:dyDescent="0.25">
      <c r="B76" s="37">
        <v>46294</v>
      </c>
      <c r="C76" s="28" t="s">
        <v>85</v>
      </c>
      <c r="D76" s="28" t="s">
        <v>78</v>
      </c>
      <c r="E76" s="34">
        <v>450</v>
      </c>
      <c r="F76" s="34">
        <v>80</v>
      </c>
      <c r="G76" s="34">
        <v>7089</v>
      </c>
      <c r="H76" s="34">
        <v>7067</v>
      </c>
      <c r="I76" s="38">
        <f>IF(tblRuns[[#This Row],[Date]]="","",IFERROR(INDEX(tblLines[Bottleneck cycle (s/unit)],MATCH(tblRuns[[#This Row],[Line]],tblLines[Line],0)),""))</f>
        <v>3</v>
      </c>
      <c r="J76" s="35">
        <f>IF(tblRuns[[#This Row],[Date]]="","",IFERROR(INDEX(tblLines[Demand per shift (units)],MATCH(tblRuns[[#This Row],[Line]],tblLines[Line],0)),""))</f>
        <v>6600</v>
      </c>
      <c r="K76" s="35">
        <f>IF(tblRuns[[#This Row],[Date]]="","",tblRuns[[#This Row],[Scheduled (min)]]-tblRuns[[#This Row],[Downtime (min)]])</f>
        <v>370</v>
      </c>
      <c r="L76" s="35">
        <f>IF(tblRuns[[#This Row],[Date]]="","",IF(ISNUMBER(tblRuns[[#This Row],[Cycle (s/unit)]]),tblRuns[[#This Row],[Scheduled (min)]]*60/tblRuns[[#This Row],[Cycle (s/unit)]],""))</f>
        <v>9000</v>
      </c>
      <c r="M76" s="35">
        <f>IF(tblRuns[[#This Row],[Date]]="","",IF(tblRuns[[#This Row],[Scheduled (min)]]&gt;0,tblRuns[[#This Row],[Good (units)]]/(tblRuns[[#This Row],[Scheduled (min)]]/60),""))</f>
        <v>942.266666666667</v>
      </c>
      <c r="N76" s="39">
        <f>IF(tblRuns[[#This Row],[Date]]="","",IF(tblRuns[[#This Row],[Scheduled (min)]]&gt;0,tblRuns[[#This Row],[Run (min)]]/tblRuns[[#This Row],[Scheduled (min)]],""))</f>
        <v>0.822222222222222</v>
      </c>
      <c r="O76" s="39">
        <f>IF(tblRuns[[#This Row],[Date]]="","",IF(tblRuns[[#This Row],[Total (units)]]&gt;0,tblRuns[[#This Row],[Good (units)]]/tblRuns[[#This Row],[Total (units)]],""))</f>
        <v>0.996896600366765</v>
      </c>
      <c r="P76" s="39">
        <f>IF(tblRuns[[#This Row],[Date]]="","",IF(N(tblRuns[[#This Row],[Theoretical (units)]])&gt;0,tblRuns[[#This Row],[Good (units)]]/tblRuns[[#This Row],[Theoretical (units)]],""))</f>
        <v>0.785222222222222</v>
      </c>
      <c r="Q76" s="35">
        <f>IF(tblRuns[[#This Row],[Date]]="","",IF(ISNUMBER(tblRuns[[#This Row],[Cycle (s/unit)]]),tblRuns[[#This Row],[Downtime (min)]]*60/tblRuns[[#This Row],[Cycle (s/unit)]],""))</f>
        <v>1600</v>
      </c>
      <c r="R76" s="35">
        <f>IF(tblRuns[[#This Row],[Date]]="","",IF(ISNUMBER(tblRuns[[#This Row],[Cycle (s/unit)]]),tblRuns[[#This Row],[Run (min)]]*60/tblRuns[[#This Row],[Cycle (s/unit)]]-tblRuns[[#This Row],[Total (units)]],""))</f>
        <v>311</v>
      </c>
      <c r="S76" s="35">
        <f>IF(tblRuns[[#This Row],[Date]]="","",tblRuns[[#This Row],[Total (units)]]-tblRuns[[#This Row],[Good (units)]])</f>
        <v>22</v>
      </c>
      <c r="T76" s="39">
        <f>IF(tblRuns[[#This Row],[Date]]="","",IF(N(tblRuns[[#This Row],[Demand (units)]])&gt;0,tblRuns[[#This Row],[Good (units)]]/tblRuns[[#This Row],[Demand (units)]],""))</f>
        <v>1.07075757575758</v>
      </c>
      <c r="U76" s="40" t="str">
        <f>IF(NOT(ISNUMBER(tblRuns[[#This Row],[Demand coverage]])),"",IF(tblRuns[[#This Row],[Demand coverage]]&gt;=TargetCov,"On target",IF(tblRuns[[#This Row],[Demand coverage]]&gt;=TargetCov*(1-0.05),"Near target","Below target")))</f>
        <v>On target</v>
      </c>
      <c r="V76" s="41">
        <f>IF(tblRuns[[#This Row],[Date]]="","",IF(AND(tblRuns[[#This Row],[Date]]&gt;=FFrom,tblRuns[[#This Row],[Date]]&lt;=FTo,OR(DashLine="",tblRuns[[#This Row],[Line]]=DashLine)),tblRuns[[#This Row],[Date]],""))</f>
        <v>46294</v>
      </c>
      <c r="W7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6" s="43" t="s">
        <v>109</v>
      </c>
    </row>
    <row r="77" spans="2:24" x14ac:dyDescent="0.25">
      <c r="B77" s="37">
        <v>46294</v>
      </c>
      <c r="C77" s="28" t="s">
        <v>85</v>
      </c>
      <c r="D77" s="28" t="s">
        <v>80</v>
      </c>
      <c r="E77" s="34">
        <v>450</v>
      </c>
      <c r="F77" s="34">
        <v>45</v>
      </c>
      <c r="G77" s="34">
        <v>5475</v>
      </c>
      <c r="H77" s="34">
        <v>5326</v>
      </c>
      <c r="I77" s="38">
        <f>IF(tblRuns[[#This Row],[Date]]="","",IFERROR(INDEX(tblLines[Bottleneck cycle (s/unit)],MATCH(tblRuns[[#This Row],[Line]],tblLines[Line],0)),""))</f>
        <v>4</v>
      </c>
      <c r="J77" s="35">
        <f>IF(tblRuns[[#This Row],[Date]]="","",IFERROR(INDEX(tblLines[Demand per shift (units)],MATCH(tblRuns[[#This Row],[Line]],tblLines[Line],0)),""))</f>
        <v>5100</v>
      </c>
      <c r="K77" s="35">
        <f>IF(tblRuns[[#This Row],[Date]]="","",tblRuns[[#This Row],[Scheduled (min)]]-tblRuns[[#This Row],[Downtime (min)]])</f>
        <v>405</v>
      </c>
      <c r="L77" s="35">
        <f>IF(tblRuns[[#This Row],[Date]]="","",IF(ISNUMBER(tblRuns[[#This Row],[Cycle (s/unit)]]),tblRuns[[#This Row],[Scheduled (min)]]*60/tblRuns[[#This Row],[Cycle (s/unit)]],""))</f>
        <v>6750</v>
      </c>
      <c r="M77" s="35">
        <f>IF(tblRuns[[#This Row],[Date]]="","",IF(tblRuns[[#This Row],[Scheduled (min)]]&gt;0,tblRuns[[#This Row],[Good (units)]]/(tblRuns[[#This Row],[Scheduled (min)]]/60),""))</f>
        <v>710.133333333333</v>
      </c>
      <c r="N77" s="39">
        <f>IF(tblRuns[[#This Row],[Date]]="","",IF(tblRuns[[#This Row],[Scheduled (min)]]&gt;0,tblRuns[[#This Row],[Run (min)]]/tblRuns[[#This Row],[Scheduled (min)]],""))</f>
        <v>0.9</v>
      </c>
      <c r="O77" s="39">
        <f>IF(tblRuns[[#This Row],[Date]]="","",IF(tblRuns[[#This Row],[Total (units)]]&gt;0,tblRuns[[#This Row],[Good (units)]]/tblRuns[[#This Row],[Total (units)]],""))</f>
        <v>0.972785388127854</v>
      </c>
      <c r="P77" s="39">
        <f>IF(tblRuns[[#This Row],[Date]]="","",IF(N(tblRuns[[#This Row],[Theoretical (units)]])&gt;0,tblRuns[[#This Row],[Good (units)]]/tblRuns[[#This Row],[Theoretical (units)]],""))</f>
        <v>0.789037037037037</v>
      </c>
      <c r="Q77" s="35">
        <f>IF(tblRuns[[#This Row],[Date]]="","",IF(ISNUMBER(tblRuns[[#This Row],[Cycle (s/unit)]]),tblRuns[[#This Row],[Downtime (min)]]*60/tblRuns[[#This Row],[Cycle (s/unit)]],""))</f>
        <v>675</v>
      </c>
      <c r="R77" s="35">
        <f>IF(tblRuns[[#This Row],[Date]]="","",IF(ISNUMBER(tblRuns[[#This Row],[Cycle (s/unit)]]),tblRuns[[#This Row],[Run (min)]]*60/tblRuns[[#This Row],[Cycle (s/unit)]]-tblRuns[[#This Row],[Total (units)]],""))</f>
        <v>600</v>
      </c>
      <c r="S77" s="35">
        <f>IF(tblRuns[[#This Row],[Date]]="","",tblRuns[[#This Row],[Total (units)]]-tblRuns[[#This Row],[Good (units)]])</f>
        <v>149</v>
      </c>
      <c r="T77" s="39">
        <f>IF(tblRuns[[#This Row],[Date]]="","",IF(N(tblRuns[[#This Row],[Demand (units)]])&gt;0,tblRuns[[#This Row],[Good (units)]]/tblRuns[[#This Row],[Demand (units)]],""))</f>
        <v>1.0443137254902</v>
      </c>
      <c r="U77" s="40" t="str">
        <f>IF(NOT(ISNUMBER(tblRuns[[#This Row],[Demand coverage]])),"",IF(tblRuns[[#This Row],[Demand coverage]]&gt;=TargetCov,"On target",IF(tblRuns[[#This Row],[Demand coverage]]&gt;=TargetCov*(1-0.05),"Near target","Below target")))</f>
        <v>On target</v>
      </c>
      <c r="V77" s="41">
        <f>IF(tblRuns[[#This Row],[Date]]="","",IF(AND(tblRuns[[#This Row],[Date]]&gt;=FFrom,tblRuns[[#This Row],[Date]]&lt;=FTo,OR(DashLine="",tblRuns[[#This Row],[Line]]=DashLine)),tblRuns[[#This Row],[Date]],""))</f>
        <v>46294</v>
      </c>
      <c r="W7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7" s="43" t="s">
        <v>109</v>
      </c>
    </row>
    <row r="78" spans="2:24" x14ac:dyDescent="0.25">
      <c r="B78" s="37">
        <v>46295</v>
      </c>
      <c r="C78" s="28" t="s">
        <v>83</v>
      </c>
      <c r="D78" s="28" t="s">
        <v>76</v>
      </c>
      <c r="E78" s="34">
        <v>450</v>
      </c>
      <c r="F78" s="34">
        <v>5</v>
      </c>
      <c r="G78" s="34">
        <v>16625</v>
      </c>
      <c r="H78" s="34">
        <v>16305</v>
      </c>
      <c r="I78" s="38">
        <f>IF(tblRuns[[#This Row],[Date]]="","",IFERROR(INDEX(tblLines[Bottleneck cycle (s/unit)],MATCH(tblRuns[[#This Row],[Line]],tblLines[Line],0)),""))</f>
        <v>1.5</v>
      </c>
      <c r="J78" s="35">
        <f>IF(tblRuns[[#This Row],[Date]]="","",IFERROR(INDEX(tblLines[Demand per shift (units)],MATCH(tblRuns[[#This Row],[Line]],tblLines[Line],0)),""))</f>
        <v>14500</v>
      </c>
      <c r="K78" s="35">
        <f>IF(tblRuns[[#This Row],[Date]]="","",tblRuns[[#This Row],[Scheduled (min)]]-tblRuns[[#This Row],[Downtime (min)]])</f>
        <v>445</v>
      </c>
      <c r="L78" s="35">
        <f>IF(tblRuns[[#This Row],[Date]]="","",IF(ISNUMBER(tblRuns[[#This Row],[Cycle (s/unit)]]),tblRuns[[#This Row],[Scheduled (min)]]*60/tblRuns[[#This Row],[Cycle (s/unit)]],""))</f>
        <v>18000</v>
      </c>
      <c r="M78" s="35">
        <f>IF(tblRuns[[#This Row],[Date]]="","",IF(tblRuns[[#This Row],[Scheduled (min)]]&gt;0,tblRuns[[#This Row],[Good (units)]]/(tblRuns[[#This Row],[Scheduled (min)]]/60),""))</f>
        <v>2174</v>
      </c>
      <c r="N78" s="39">
        <f>IF(tblRuns[[#This Row],[Date]]="","",IF(tblRuns[[#This Row],[Scheduled (min)]]&gt;0,tblRuns[[#This Row],[Run (min)]]/tblRuns[[#This Row],[Scheduled (min)]],""))</f>
        <v>0.988888888888889</v>
      </c>
      <c r="O78" s="39">
        <f>IF(tblRuns[[#This Row],[Date]]="","",IF(tblRuns[[#This Row],[Total (units)]]&gt;0,tblRuns[[#This Row],[Good (units)]]/tblRuns[[#This Row],[Total (units)]],""))</f>
        <v>0.980751879699248</v>
      </c>
      <c r="P78" s="39">
        <f>IF(tblRuns[[#This Row],[Date]]="","",IF(N(tblRuns[[#This Row],[Theoretical (units)]])&gt;0,tblRuns[[#This Row],[Good (units)]]/tblRuns[[#This Row],[Theoretical (units)]],""))</f>
        <v>0.905833333333333</v>
      </c>
      <c r="Q78" s="35">
        <f>IF(tblRuns[[#This Row],[Date]]="","",IF(ISNUMBER(tblRuns[[#This Row],[Cycle (s/unit)]]),tblRuns[[#This Row],[Downtime (min)]]*60/tblRuns[[#This Row],[Cycle (s/unit)]],""))</f>
        <v>200</v>
      </c>
      <c r="R78" s="35">
        <f>IF(tblRuns[[#This Row],[Date]]="","",IF(ISNUMBER(tblRuns[[#This Row],[Cycle (s/unit)]]),tblRuns[[#This Row],[Run (min)]]*60/tblRuns[[#This Row],[Cycle (s/unit)]]-tblRuns[[#This Row],[Total (units)]],""))</f>
        <v>1175</v>
      </c>
      <c r="S78" s="35">
        <f>IF(tblRuns[[#This Row],[Date]]="","",tblRuns[[#This Row],[Total (units)]]-tblRuns[[#This Row],[Good (units)]])</f>
        <v>320</v>
      </c>
      <c r="T78" s="39">
        <f>IF(tblRuns[[#This Row],[Date]]="","",IF(N(tblRuns[[#This Row],[Demand (units)]])&gt;0,tblRuns[[#This Row],[Good (units)]]/tblRuns[[#This Row],[Demand (units)]],""))</f>
        <v>1.12448275862069</v>
      </c>
      <c r="U78" s="40" t="str">
        <f>IF(NOT(ISNUMBER(tblRuns[[#This Row],[Demand coverage]])),"",IF(tblRuns[[#This Row],[Demand coverage]]&gt;=TargetCov,"On target",IF(tblRuns[[#This Row],[Demand coverage]]&gt;=TargetCov*(1-0.05),"Near target","Below target")))</f>
        <v>On target</v>
      </c>
      <c r="V78" s="41">
        <f>IF(tblRuns[[#This Row],[Date]]="","",IF(AND(tblRuns[[#This Row],[Date]]&gt;=FFrom,tblRuns[[#This Row],[Date]]&lt;=FTo,OR(DashLine="",tblRuns[[#This Row],[Line]]=DashLine)),tblRuns[[#This Row],[Date]],""))</f>
        <v>46295</v>
      </c>
      <c r="W7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8" s="43" t="s">
        <v>109</v>
      </c>
    </row>
    <row r="79" spans="2:24" x14ac:dyDescent="0.25">
      <c r="B79" s="37">
        <v>46295</v>
      </c>
      <c r="C79" s="28" t="s">
        <v>83</v>
      </c>
      <c r="D79" s="28" t="s">
        <v>78</v>
      </c>
      <c r="E79" s="34">
        <v>450</v>
      </c>
      <c r="F79" s="34">
        <v>75</v>
      </c>
      <c r="G79" s="34">
        <v>6834</v>
      </c>
      <c r="H79" s="34">
        <v>6812</v>
      </c>
      <c r="I79" s="38">
        <f>IF(tblRuns[[#This Row],[Date]]="","",IFERROR(INDEX(tblLines[Bottleneck cycle (s/unit)],MATCH(tblRuns[[#This Row],[Line]],tblLines[Line],0)),""))</f>
        <v>3</v>
      </c>
      <c r="J79" s="35">
        <f>IF(tblRuns[[#This Row],[Date]]="","",IFERROR(INDEX(tblLines[Demand per shift (units)],MATCH(tblRuns[[#This Row],[Line]],tblLines[Line],0)),""))</f>
        <v>6600</v>
      </c>
      <c r="K79" s="35">
        <f>IF(tblRuns[[#This Row],[Date]]="","",tblRuns[[#This Row],[Scheduled (min)]]-tblRuns[[#This Row],[Downtime (min)]])</f>
        <v>375</v>
      </c>
      <c r="L79" s="35">
        <f>IF(tblRuns[[#This Row],[Date]]="","",IF(ISNUMBER(tblRuns[[#This Row],[Cycle (s/unit)]]),tblRuns[[#This Row],[Scheduled (min)]]*60/tblRuns[[#This Row],[Cycle (s/unit)]],""))</f>
        <v>9000</v>
      </c>
      <c r="M79" s="35">
        <f>IF(tblRuns[[#This Row],[Date]]="","",IF(tblRuns[[#This Row],[Scheduled (min)]]&gt;0,tblRuns[[#This Row],[Good (units)]]/(tblRuns[[#This Row],[Scheduled (min)]]/60),""))</f>
        <v>908.266666666667</v>
      </c>
      <c r="N79" s="39">
        <f>IF(tblRuns[[#This Row],[Date]]="","",IF(tblRuns[[#This Row],[Scheduled (min)]]&gt;0,tblRuns[[#This Row],[Run (min)]]/tblRuns[[#This Row],[Scheduled (min)]],""))</f>
        <v>0.833333333333333</v>
      </c>
      <c r="O79" s="39">
        <f>IF(tblRuns[[#This Row],[Date]]="","",IF(tblRuns[[#This Row],[Total (units)]]&gt;0,tblRuns[[#This Row],[Good (units)]]/tblRuns[[#This Row],[Total (units)]],""))</f>
        <v>0.996780801872988</v>
      </c>
      <c r="P79" s="39">
        <f>IF(tblRuns[[#This Row],[Date]]="","",IF(N(tblRuns[[#This Row],[Theoretical (units)]])&gt;0,tblRuns[[#This Row],[Good (units)]]/tblRuns[[#This Row],[Theoretical (units)]],""))</f>
        <v>0.756888888888889</v>
      </c>
      <c r="Q79" s="35">
        <f>IF(tblRuns[[#This Row],[Date]]="","",IF(ISNUMBER(tblRuns[[#This Row],[Cycle (s/unit)]]),tblRuns[[#This Row],[Downtime (min)]]*60/tblRuns[[#This Row],[Cycle (s/unit)]],""))</f>
        <v>1500</v>
      </c>
      <c r="R79" s="35">
        <f>IF(tblRuns[[#This Row],[Date]]="","",IF(ISNUMBER(tblRuns[[#This Row],[Cycle (s/unit)]]),tblRuns[[#This Row],[Run (min)]]*60/tblRuns[[#This Row],[Cycle (s/unit)]]-tblRuns[[#This Row],[Total (units)]],""))</f>
        <v>666</v>
      </c>
      <c r="S79" s="35">
        <f>IF(tblRuns[[#This Row],[Date]]="","",tblRuns[[#This Row],[Total (units)]]-tblRuns[[#This Row],[Good (units)]])</f>
        <v>22</v>
      </c>
      <c r="T79" s="39">
        <f>IF(tblRuns[[#This Row],[Date]]="","",IF(N(tblRuns[[#This Row],[Demand (units)]])&gt;0,tblRuns[[#This Row],[Good (units)]]/tblRuns[[#This Row],[Demand (units)]],""))</f>
        <v>1.03212121212121</v>
      </c>
      <c r="U79" s="40" t="str">
        <f>IF(NOT(ISNUMBER(tblRuns[[#This Row],[Demand coverage]])),"",IF(tblRuns[[#This Row],[Demand coverage]]&gt;=TargetCov,"On target",IF(tblRuns[[#This Row],[Demand coverage]]&gt;=TargetCov*(1-0.05),"Near target","Below target")))</f>
        <v>On target</v>
      </c>
      <c r="V79" s="41">
        <f>IF(tblRuns[[#This Row],[Date]]="","",IF(AND(tblRuns[[#This Row],[Date]]&gt;=FFrom,tblRuns[[#This Row],[Date]]&lt;=FTo,OR(DashLine="",tblRuns[[#This Row],[Line]]=DashLine)),tblRuns[[#This Row],[Date]],""))</f>
        <v>46295</v>
      </c>
      <c r="W7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79" s="43" t="s">
        <v>109</v>
      </c>
    </row>
    <row r="80" spans="2:24" x14ac:dyDescent="0.25">
      <c r="B80" s="37">
        <v>46295</v>
      </c>
      <c r="C80" s="28" t="s">
        <v>83</v>
      </c>
      <c r="D80" s="28" t="s">
        <v>80</v>
      </c>
      <c r="E80" s="34">
        <v>450</v>
      </c>
      <c r="F80" s="34">
        <v>45</v>
      </c>
      <c r="G80" s="34">
        <v>5745</v>
      </c>
      <c r="H80" s="34">
        <v>5572</v>
      </c>
      <c r="I80" s="38">
        <f>IF(tblRuns[[#This Row],[Date]]="","",IFERROR(INDEX(tblLines[Bottleneck cycle (s/unit)],MATCH(tblRuns[[#This Row],[Line]],tblLines[Line],0)),""))</f>
        <v>4</v>
      </c>
      <c r="J80" s="35">
        <f>IF(tblRuns[[#This Row],[Date]]="","",IFERROR(INDEX(tblLines[Demand per shift (units)],MATCH(tblRuns[[#This Row],[Line]],tblLines[Line],0)),""))</f>
        <v>5100</v>
      </c>
      <c r="K80" s="35">
        <f>IF(tblRuns[[#This Row],[Date]]="","",tblRuns[[#This Row],[Scheduled (min)]]-tblRuns[[#This Row],[Downtime (min)]])</f>
        <v>405</v>
      </c>
      <c r="L80" s="35">
        <f>IF(tblRuns[[#This Row],[Date]]="","",IF(ISNUMBER(tblRuns[[#This Row],[Cycle (s/unit)]]),tblRuns[[#This Row],[Scheduled (min)]]*60/tblRuns[[#This Row],[Cycle (s/unit)]],""))</f>
        <v>6750</v>
      </c>
      <c r="M80" s="35">
        <f>IF(tblRuns[[#This Row],[Date]]="","",IF(tblRuns[[#This Row],[Scheduled (min)]]&gt;0,tblRuns[[#This Row],[Good (units)]]/(tblRuns[[#This Row],[Scheduled (min)]]/60),""))</f>
        <v>742.933333333333</v>
      </c>
      <c r="N80" s="39">
        <f>IF(tblRuns[[#This Row],[Date]]="","",IF(tblRuns[[#This Row],[Scheduled (min)]]&gt;0,tblRuns[[#This Row],[Run (min)]]/tblRuns[[#This Row],[Scheduled (min)]],""))</f>
        <v>0.9</v>
      </c>
      <c r="O80" s="39">
        <f>IF(tblRuns[[#This Row],[Date]]="","",IF(tblRuns[[#This Row],[Total (units)]]&gt;0,tblRuns[[#This Row],[Good (units)]]/tblRuns[[#This Row],[Total (units)]],""))</f>
        <v>0.969886858137511</v>
      </c>
      <c r="P80" s="39">
        <f>IF(tblRuns[[#This Row],[Date]]="","",IF(N(tblRuns[[#This Row],[Theoretical (units)]])&gt;0,tblRuns[[#This Row],[Good (units)]]/tblRuns[[#This Row],[Theoretical (units)]],""))</f>
        <v>0.825481481481482</v>
      </c>
      <c r="Q80" s="35">
        <f>IF(tblRuns[[#This Row],[Date]]="","",IF(ISNUMBER(tblRuns[[#This Row],[Cycle (s/unit)]]),tblRuns[[#This Row],[Downtime (min)]]*60/tblRuns[[#This Row],[Cycle (s/unit)]],""))</f>
        <v>675</v>
      </c>
      <c r="R80" s="35">
        <f>IF(tblRuns[[#This Row],[Date]]="","",IF(ISNUMBER(tblRuns[[#This Row],[Cycle (s/unit)]]),tblRuns[[#This Row],[Run (min)]]*60/tblRuns[[#This Row],[Cycle (s/unit)]]-tblRuns[[#This Row],[Total (units)]],""))</f>
        <v>330</v>
      </c>
      <c r="S80" s="35">
        <f>IF(tblRuns[[#This Row],[Date]]="","",tblRuns[[#This Row],[Total (units)]]-tblRuns[[#This Row],[Good (units)]])</f>
        <v>173</v>
      </c>
      <c r="T80" s="39">
        <f>IF(tblRuns[[#This Row],[Date]]="","",IF(N(tblRuns[[#This Row],[Demand (units)]])&gt;0,tblRuns[[#This Row],[Good (units)]]/tblRuns[[#This Row],[Demand (units)]],""))</f>
        <v>1.09254901960784</v>
      </c>
      <c r="U80" s="40" t="str">
        <f>IF(NOT(ISNUMBER(tblRuns[[#This Row],[Demand coverage]])),"",IF(tblRuns[[#This Row],[Demand coverage]]&gt;=TargetCov,"On target",IF(tblRuns[[#This Row],[Demand coverage]]&gt;=TargetCov*(1-0.05),"Near target","Below target")))</f>
        <v>On target</v>
      </c>
      <c r="V80" s="41">
        <f>IF(tblRuns[[#This Row],[Date]]="","",IF(AND(tblRuns[[#This Row],[Date]]&gt;=FFrom,tblRuns[[#This Row],[Date]]&lt;=FTo,OR(DashLine="",tblRuns[[#This Row],[Line]]=DashLine)),tblRuns[[#This Row],[Date]],""))</f>
        <v>46295</v>
      </c>
      <c r="W8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0" s="43" t="s">
        <v>109</v>
      </c>
    </row>
    <row r="81" spans="2:24" x14ac:dyDescent="0.25">
      <c r="B81" s="37">
        <v>46295</v>
      </c>
      <c r="C81" s="28" t="s">
        <v>85</v>
      </c>
      <c r="D81" s="28" t="s">
        <v>76</v>
      </c>
      <c r="E81" s="34">
        <v>450</v>
      </c>
      <c r="F81" s="34">
        <v>30</v>
      </c>
      <c r="G81" s="34">
        <v>14794</v>
      </c>
      <c r="H81" s="34">
        <v>14475</v>
      </c>
      <c r="I81" s="38">
        <f>IF(tblRuns[[#This Row],[Date]]="","",IFERROR(INDEX(tblLines[Bottleneck cycle (s/unit)],MATCH(tblRuns[[#This Row],[Line]],tblLines[Line],0)),""))</f>
        <v>1.5</v>
      </c>
      <c r="J81" s="35">
        <f>IF(tblRuns[[#This Row],[Date]]="","",IFERROR(INDEX(tblLines[Demand per shift (units)],MATCH(tblRuns[[#This Row],[Line]],tblLines[Line],0)),""))</f>
        <v>14500</v>
      </c>
      <c r="K81" s="35">
        <f>IF(tblRuns[[#This Row],[Date]]="","",tblRuns[[#This Row],[Scheduled (min)]]-tblRuns[[#This Row],[Downtime (min)]])</f>
        <v>420</v>
      </c>
      <c r="L81" s="35">
        <f>IF(tblRuns[[#This Row],[Date]]="","",IF(ISNUMBER(tblRuns[[#This Row],[Cycle (s/unit)]]),tblRuns[[#This Row],[Scheduled (min)]]*60/tblRuns[[#This Row],[Cycle (s/unit)]],""))</f>
        <v>18000</v>
      </c>
      <c r="M81" s="35">
        <f>IF(tblRuns[[#This Row],[Date]]="","",IF(tblRuns[[#This Row],[Scheduled (min)]]&gt;0,tblRuns[[#This Row],[Good (units)]]/(tblRuns[[#This Row],[Scheduled (min)]]/60),""))</f>
        <v>1930</v>
      </c>
      <c r="N81" s="39">
        <f>IF(tblRuns[[#This Row],[Date]]="","",IF(tblRuns[[#This Row],[Scheduled (min)]]&gt;0,tblRuns[[#This Row],[Run (min)]]/tblRuns[[#This Row],[Scheduled (min)]],""))</f>
        <v>0.933333333333333</v>
      </c>
      <c r="O81" s="39">
        <f>IF(tblRuns[[#This Row],[Date]]="","",IF(tblRuns[[#This Row],[Total (units)]]&gt;0,tblRuns[[#This Row],[Good (units)]]/tblRuns[[#This Row],[Total (units)]],""))</f>
        <v>0.978437204272002</v>
      </c>
      <c r="P81" s="39">
        <f>IF(tblRuns[[#This Row],[Date]]="","",IF(N(tblRuns[[#This Row],[Theoretical (units)]])&gt;0,tblRuns[[#This Row],[Good (units)]]/tblRuns[[#This Row],[Theoretical (units)]],""))</f>
        <v>0.804166666666667</v>
      </c>
      <c r="Q81" s="35">
        <f>IF(tblRuns[[#This Row],[Date]]="","",IF(ISNUMBER(tblRuns[[#This Row],[Cycle (s/unit)]]),tblRuns[[#This Row],[Downtime (min)]]*60/tblRuns[[#This Row],[Cycle (s/unit)]],""))</f>
        <v>1200</v>
      </c>
      <c r="R81" s="35">
        <f>IF(tblRuns[[#This Row],[Date]]="","",IF(ISNUMBER(tblRuns[[#This Row],[Cycle (s/unit)]]),tblRuns[[#This Row],[Run (min)]]*60/tblRuns[[#This Row],[Cycle (s/unit)]]-tblRuns[[#This Row],[Total (units)]],""))</f>
        <v>2006</v>
      </c>
      <c r="S81" s="35">
        <f>IF(tblRuns[[#This Row],[Date]]="","",tblRuns[[#This Row],[Total (units)]]-tblRuns[[#This Row],[Good (units)]])</f>
        <v>319</v>
      </c>
      <c r="T81" s="39">
        <f>IF(tblRuns[[#This Row],[Date]]="","",IF(N(tblRuns[[#This Row],[Demand (units)]])&gt;0,tblRuns[[#This Row],[Good (units)]]/tblRuns[[#This Row],[Demand (units)]],""))</f>
        <v>0.998275862068966</v>
      </c>
      <c r="U81" s="40" t="str">
        <f>IF(NOT(ISNUMBER(tblRuns[[#This Row],[Demand coverage]])),"",IF(tblRuns[[#This Row],[Demand coverage]]&gt;=TargetCov,"On target",IF(tblRuns[[#This Row],[Demand coverage]]&gt;=TargetCov*(1-0.05),"Near target","Below target")))</f>
        <v>Near target</v>
      </c>
      <c r="V81" s="41">
        <f>IF(tblRuns[[#This Row],[Date]]="","",IF(AND(tblRuns[[#This Row],[Date]]&gt;=FFrom,tblRuns[[#This Row],[Date]]&lt;=FTo,OR(DashLine="",tblRuns[[#This Row],[Line]]=DashLine)),tblRuns[[#This Row],[Date]],""))</f>
        <v>46295</v>
      </c>
      <c r="W8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1" s="43" t="s">
        <v>109</v>
      </c>
    </row>
    <row r="82" spans="2:24" x14ac:dyDescent="0.25">
      <c r="B82" s="37">
        <v>46295</v>
      </c>
      <c r="C82" s="28" t="s">
        <v>85</v>
      </c>
      <c r="D82" s="28" t="s">
        <v>78</v>
      </c>
      <c r="E82" s="34">
        <v>450</v>
      </c>
      <c r="F82" s="34">
        <v>60</v>
      </c>
      <c r="G82" s="34">
        <v>7033</v>
      </c>
      <c r="H82" s="34">
        <v>6997</v>
      </c>
      <c r="I82" s="38">
        <f>IF(tblRuns[[#This Row],[Date]]="","",IFERROR(INDEX(tblLines[Bottleneck cycle (s/unit)],MATCH(tblRuns[[#This Row],[Line]],tblLines[Line],0)),""))</f>
        <v>3</v>
      </c>
      <c r="J82" s="35">
        <f>IF(tblRuns[[#This Row],[Date]]="","",IFERROR(INDEX(tblLines[Demand per shift (units)],MATCH(tblRuns[[#This Row],[Line]],tblLines[Line],0)),""))</f>
        <v>6600</v>
      </c>
      <c r="K82" s="35">
        <f>IF(tblRuns[[#This Row],[Date]]="","",tblRuns[[#This Row],[Scheduled (min)]]-tblRuns[[#This Row],[Downtime (min)]])</f>
        <v>390</v>
      </c>
      <c r="L82" s="35">
        <f>IF(tblRuns[[#This Row],[Date]]="","",IF(ISNUMBER(tblRuns[[#This Row],[Cycle (s/unit)]]),tblRuns[[#This Row],[Scheduled (min)]]*60/tblRuns[[#This Row],[Cycle (s/unit)]],""))</f>
        <v>9000</v>
      </c>
      <c r="M82" s="35">
        <f>IF(tblRuns[[#This Row],[Date]]="","",IF(tblRuns[[#This Row],[Scheduled (min)]]&gt;0,tblRuns[[#This Row],[Good (units)]]/(tblRuns[[#This Row],[Scheduled (min)]]/60),""))</f>
        <v>932.933333333333</v>
      </c>
      <c r="N82" s="39">
        <f>IF(tblRuns[[#This Row],[Date]]="","",IF(tblRuns[[#This Row],[Scheduled (min)]]&gt;0,tblRuns[[#This Row],[Run (min)]]/tblRuns[[#This Row],[Scheduled (min)]],""))</f>
        <v>0.866666666666667</v>
      </c>
      <c r="O82" s="39">
        <f>IF(tblRuns[[#This Row],[Date]]="","",IF(tblRuns[[#This Row],[Total (units)]]&gt;0,tblRuns[[#This Row],[Good (units)]]/tblRuns[[#This Row],[Total (units)]],""))</f>
        <v>0.994881273994028</v>
      </c>
      <c r="P82" s="39">
        <f>IF(tblRuns[[#This Row],[Date]]="","",IF(N(tblRuns[[#This Row],[Theoretical (units)]])&gt;0,tblRuns[[#This Row],[Good (units)]]/tblRuns[[#This Row],[Theoretical (units)]],""))</f>
        <v>0.777444444444445</v>
      </c>
      <c r="Q82" s="35">
        <f>IF(tblRuns[[#This Row],[Date]]="","",IF(ISNUMBER(tblRuns[[#This Row],[Cycle (s/unit)]]),tblRuns[[#This Row],[Downtime (min)]]*60/tblRuns[[#This Row],[Cycle (s/unit)]],""))</f>
        <v>1200</v>
      </c>
      <c r="R82" s="35">
        <f>IF(tblRuns[[#This Row],[Date]]="","",IF(ISNUMBER(tblRuns[[#This Row],[Cycle (s/unit)]]),tblRuns[[#This Row],[Run (min)]]*60/tblRuns[[#This Row],[Cycle (s/unit)]]-tblRuns[[#This Row],[Total (units)]],""))</f>
        <v>767</v>
      </c>
      <c r="S82" s="35">
        <f>IF(tblRuns[[#This Row],[Date]]="","",tblRuns[[#This Row],[Total (units)]]-tblRuns[[#This Row],[Good (units)]])</f>
        <v>36</v>
      </c>
      <c r="T82" s="39">
        <f>IF(tblRuns[[#This Row],[Date]]="","",IF(N(tblRuns[[#This Row],[Demand (units)]])&gt;0,tblRuns[[#This Row],[Good (units)]]/tblRuns[[#This Row],[Demand (units)]],""))</f>
        <v>1.06015151515152</v>
      </c>
      <c r="U82" s="40" t="str">
        <f>IF(NOT(ISNUMBER(tblRuns[[#This Row],[Demand coverage]])),"",IF(tblRuns[[#This Row],[Demand coverage]]&gt;=TargetCov,"On target",IF(tblRuns[[#This Row],[Demand coverage]]&gt;=TargetCov*(1-0.05),"Near target","Below target")))</f>
        <v>On target</v>
      </c>
      <c r="V82" s="41">
        <f>IF(tblRuns[[#This Row],[Date]]="","",IF(AND(tblRuns[[#This Row],[Date]]&gt;=FFrom,tblRuns[[#This Row],[Date]]&lt;=FTo,OR(DashLine="",tblRuns[[#This Row],[Line]]=DashLine)),tblRuns[[#This Row],[Date]],""))</f>
        <v>46295</v>
      </c>
      <c r="W8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2" s="43" t="s">
        <v>109</v>
      </c>
    </row>
    <row r="83" spans="2:24" x14ac:dyDescent="0.25">
      <c r="B83" s="37">
        <v>46295</v>
      </c>
      <c r="C83" s="28" t="s">
        <v>85</v>
      </c>
      <c r="D83" s="28" t="s">
        <v>80</v>
      </c>
      <c r="E83" s="34">
        <v>450</v>
      </c>
      <c r="F83" s="34">
        <v>70</v>
      </c>
      <c r="G83" s="34">
        <v>5262</v>
      </c>
      <c r="H83" s="34">
        <v>5178</v>
      </c>
      <c r="I83" s="38">
        <f>IF(tblRuns[[#This Row],[Date]]="","",IFERROR(INDEX(tblLines[Bottleneck cycle (s/unit)],MATCH(tblRuns[[#This Row],[Line]],tblLines[Line],0)),""))</f>
        <v>4</v>
      </c>
      <c r="J83" s="35">
        <f>IF(tblRuns[[#This Row],[Date]]="","",IFERROR(INDEX(tblLines[Demand per shift (units)],MATCH(tblRuns[[#This Row],[Line]],tblLines[Line],0)),""))</f>
        <v>5100</v>
      </c>
      <c r="K83" s="35">
        <f>IF(tblRuns[[#This Row],[Date]]="","",tblRuns[[#This Row],[Scheduled (min)]]-tblRuns[[#This Row],[Downtime (min)]])</f>
        <v>380</v>
      </c>
      <c r="L83" s="35">
        <f>IF(tblRuns[[#This Row],[Date]]="","",IF(ISNUMBER(tblRuns[[#This Row],[Cycle (s/unit)]]),tblRuns[[#This Row],[Scheduled (min)]]*60/tblRuns[[#This Row],[Cycle (s/unit)]],""))</f>
        <v>6750</v>
      </c>
      <c r="M83" s="35">
        <f>IF(tblRuns[[#This Row],[Date]]="","",IF(tblRuns[[#This Row],[Scheduled (min)]]&gt;0,tblRuns[[#This Row],[Good (units)]]/(tblRuns[[#This Row],[Scheduled (min)]]/60),""))</f>
        <v>690.4</v>
      </c>
      <c r="N83" s="39">
        <f>IF(tblRuns[[#This Row],[Date]]="","",IF(tblRuns[[#This Row],[Scheduled (min)]]&gt;0,tblRuns[[#This Row],[Run (min)]]/tblRuns[[#This Row],[Scheduled (min)]],""))</f>
        <v>0.844444444444444</v>
      </c>
      <c r="O83" s="39">
        <f>IF(tblRuns[[#This Row],[Date]]="","",IF(tblRuns[[#This Row],[Total (units)]]&gt;0,tblRuns[[#This Row],[Good (units)]]/tblRuns[[#This Row],[Total (units)]],""))</f>
        <v>0.984036488027366</v>
      </c>
      <c r="P83" s="39">
        <f>IF(tblRuns[[#This Row],[Date]]="","",IF(N(tblRuns[[#This Row],[Theoretical (units)]])&gt;0,tblRuns[[#This Row],[Good (units)]]/tblRuns[[#This Row],[Theoretical (units)]],""))</f>
        <v>0.767111111111111</v>
      </c>
      <c r="Q83" s="35">
        <f>IF(tblRuns[[#This Row],[Date]]="","",IF(ISNUMBER(tblRuns[[#This Row],[Cycle (s/unit)]]),tblRuns[[#This Row],[Downtime (min)]]*60/tblRuns[[#This Row],[Cycle (s/unit)]],""))</f>
        <v>1050</v>
      </c>
      <c r="R83" s="35">
        <f>IF(tblRuns[[#This Row],[Date]]="","",IF(ISNUMBER(tblRuns[[#This Row],[Cycle (s/unit)]]),tblRuns[[#This Row],[Run (min)]]*60/tblRuns[[#This Row],[Cycle (s/unit)]]-tblRuns[[#This Row],[Total (units)]],""))</f>
        <v>438</v>
      </c>
      <c r="S83" s="35">
        <f>IF(tblRuns[[#This Row],[Date]]="","",tblRuns[[#This Row],[Total (units)]]-tblRuns[[#This Row],[Good (units)]])</f>
        <v>84</v>
      </c>
      <c r="T83" s="39">
        <f>IF(tblRuns[[#This Row],[Date]]="","",IF(N(tblRuns[[#This Row],[Demand (units)]])&gt;0,tblRuns[[#This Row],[Good (units)]]/tblRuns[[#This Row],[Demand (units)]],""))</f>
        <v>1.01529411764706</v>
      </c>
      <c r="U83" s="40" t="str">
        <f>IF(NOT(ISNUMBER(tblRuns[[#This Row],[Demand coverage]])),"",IF(tblRuns[[#This Row],[Demand coverage]]&gt;=TargetCov,"On target",IF(tblRuns[[#This Row],[Demand coverage]]&gt;=TargetCov*(1-0.05),"Near target","Below target")))</f>
        <v>On target</v>
      </c>
      <c r="V83" s="41">
        <f>IF(tblRuns[[#This Row],[Date]]="","",IF(AND(tblRuns[[#This Row],[Date]]&gt;=FFrom,tblRuns[[#This Row],[Date]]&lt;=FTo,OR(DashLine="",tblRuns[[#This Row],[Line]]=DashLine)),tblRuns[[#This Row],[Date]],""))</f>
        <v>46295</v>
      </c>
      <c r="W8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3" s="43" t="s">
        <v>109</v>
      </c>
    </row>
    <row r="84" spans="2:24" x14ac:dyDescent="0.25">
      <c r="B84" s="37">
        <v>46296</v>
      </c>
      <c r="C84" s="28" t="s">
        <v>83</v>
      </c>
      <c r="D84" s="28" t="s">
        <v>76</v>
      </c>
      <c r="E84" s="34">
        <v>450</v>
      </c>
      <c r="F84" s="34">
        <v>25</v>
      </c>
      <c r="G84" s="34">
        <v>16006</v>
      </c>
      <c r="H84" s="34">
        <v>15797</v>
      </c>
      <c r="I84" s="38">
        <f>IF(tblRuns[[#This Row],[Date]]="","",IFERROR(INDEX(tblLines[Bottleneck cycle (s/unit)],MATCH(tblRuns[[#This Row],[Line]],tblLines[Line],0)),""))</f>
        <v>1.5</v>
      </c>
      <c r="J84" s="35">
        <f>IF(tblRuns[[#This Row],[Date]]="","",IFERROR(INDEX(tblLines[Demand per shift (units)],MATCH(tblRuns[[#This Row],[Line]],tblLines[Line],0)),""))</f>
        <v>14500</v>
      </c>
      <c r="K84" s="35">
        <f>IF(tblRuns[[#This Row],[Date]]="","",tblRuns[[#This Row],[Scheduled (min)]]-tblRuns[[#This Row],[Downtime (min)]])</f>
        <v>425</v>
      </c>
      <c r="L84" s="35">
        <f>IF(tblRuns[[#This Row],[Date]]="","",IF(ISNUMBER(tblRuns[[#This Row],[Cycle (s/unit)]]),tblRuns[[#This Row],[Scheduled (min)]]*60/tblRuns[[#This Row],[Cycle (s/unit)]],""))</f>
        <v>18000</v>
      </c>
      <c r="M84" s="35">
        <f>IF(tblRuns[[#This Row],[Date]]="","",IF(tblRuns[[#This Row],[Scheduled (min)]]&gt;0,tblRuns[[#This Row],[Good (units)]]/(tblRuns[[#This Row],[Scheduled (min)]]/60),""))</f>
        <v>2106.26666666667</v>
      </c>
      <c r="N84" s="39">
        <f>IF(tblRuns[[#This Row],[Date]]="","",IF(tblRuns[[#This Row],[Scheduled (min)]]&gt;0,tblRuns[[#This Row],[Run (min)]]/tblRuns[[#This Row],[Scheduled (min)]],""))</f>
        <v>0.944444444444444</v>
      </c>
      <c r="O84" s="39">
        <f>IF(tblRuns[[#This Row],[Date]]="","",IF(tblRuns[[#This Row],[Total (units)]]&gt;0,tblRuns[[#This Row],[Good (units)]]/tblRuns[[#This Row],[Total (units)]],""))</f>
        <v>0.986942396601275</v>
      </c>
      <c r="P84" s="39">
        <f>IF(tblRuns[[#This Row],[Date]]="","",IF(N(tblRuns[[#This Row],[Theoretical (units)]])&gt;0,tblRuns[[#This Row],[Good (units)]]/tblRuns[[#This Row],[Theoretical (units)]],""))</f>
        <v>0.877611111111111</v>
      </c>
      <c r="Q84" s="35">
        <f>IF(tblRuns[[#This Row],[Date]]="","",IF(ISNUMBER(tblRuns[[#This Row],[Cycle (s/unit)]]),tblRuns[[#This Row],[Downtime (min)]]*60/tblRuns[[#This Row],[Cycle (s/unit)]],""))</f>
        <v>1000</v>
      </c>
      <c r="R84" s="35">
        <f>IF(tblRuns[[#This Row],[Date]]="","",IF(ISNUMBER(tblRuns[[#This Row],[Cycle (s/unit)]]),tblRuns[[#This Row],[Run (min)]]*60/tblRuns[[#This Row],[Cycle (s/unit)]]-tblRuns[[#This Row],[Total (units)]],""))</f>
        <v>994</v>
      </c>
      <c r="S84" s="35">
        <f>IF(tblRuns[[#This Row],[Date]]="","",tblRuns[[#This Row],[Total (units)]]-tblRuns[[#This Row],[Good (units)]])</f>
        <v>209</v>
      </c>
      <c r="T84" s="39">
        <f>IF(tblRuns[[#This Row],[Date]]="","",IF(N(tblRuns[[#This Row],[Demand (units)]])&gt;0,tblRuns[[#This Row],[Good (units)]]/tblRuns[[#This Row],[Demand (units)]],""))</f>
        <v>1.08944827586207</v>
      </c>
      <c r="U84" s="40" t="str">
        <f>IF(NOT(ISNUMBER(tblRuns[[#This Row],[Demand coverage]])),"",IF(tblRuns[[#This Row],[Demand coverage]]&gt;=TargetCov,"On target",IF(tblRuns[[#This Row],[Demand coverage]]&gt;=TargetCov*(1-0.05),"Near target","Below target")))</f>
        <v>On target</v>
      </c>
      <c r="V84" s="41">
        <f>IF(tblRuns[[#This Row],[Date]]="","",IF(AND(tblRuns[[#This Row],[Date]]&gt;=FFrom,tblRuns[[#This Row],[Date]]&lt;=FTo,OR(DashLine="",tblRuns[[#This Row],[Line]]=DashLine)),tblRuns[[#This Row],[Date]],""))</f>
        <v>46296</v>
      </c>
      <c r="W8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4" s="43" t="s">
        <v>109</v>
      </c>
    </row>
    <row r="85" spans="2:24" x14ac:dyDescent="0.25">
      <c r="B85" s="37">
        <v>46296</v>
      </c>
      <c r="C85" s="28" t="s">
        <v>83</v>
      </c>
      <c r="D85" s="28" t="s">
        <v>78</v>
      </c>
      <c r="E85" s="34">
        <v>450</v>
      </c>
      <c r="F85" s="34">
        <v>135</v>
      </c>
      <c r="G85" s="34">
        <v>5858</v>
      </c>
      <c r="H85" s="34">
        <v>5821</v>
      </c>
      <c r="I85" s="38">
        <f>IF(tblRuns[[#This Row],[Date]]="","",IFERROR(INDEX(tblLines[Bottleneck cycle (s/unit)],MATCH(tblRuns[[#This Row],[Line]],tblLines[Line],0)),""))</f>
        <v>3</v>
      </c>
      <c r="J85" s="35">
        <f>IF(tblRuns[[#This Row],[Date]]="","",IFERROR(INDEX(tblLines[Demand per shift (units)],MATCH(tblRuns[[#This Row],[Line]],tblLines[Line],0)),""))</f>
        <v>6600</v>
      </c>
      <c r="K85" s="35">
        <f>IF(tblRuns[[#This Row],[Date]]="","",tblRuns[[#This Row],[Scheduled (min)]]-tblRuns[[#This Row],[Downtime (min)]])</f>
        <v>315</v>
      </c>
      <c r="L85" s="35">
        <f>IF(tblRuns[[#This Row],[Date]]="","",IF(ISNUMBER(tblRuns[[#This Row],[Cycle (s/unit)]]),tblRuns[[#This Row],[Scheduled (min)]]*60/tblRuns[[#This Row],[Cycle (s/unit)]],""))</f>
        <v>9000</v>
      </c>
      <c r="M85" s="35">
        <f>IF(tblRuns[[#This Row],[Date]]="","",IF(tblRuns[[#This Row],[Scheduled (min)]]&gt;0,tblRuns[[#This Row],[Good (units)]]/(tblRuns[[#This Row],[Scheduled (min)]]/60),""))</f>
        <v>776.133333333333</v>
      </c>
      <c r="N85" s="39">
        <f>IF(tblRuns[[#This Row],[Date]]="","",IF(tblRuns[[#This Row],[Scheduled (min)]]&gt;0,tblRuns[[#This Row],[Run (min)]]/tblRuns[[#This Row],[Scheduled (min)]],""))</f>
        <v>0.7</v>
      </c>
      <c r="O85" s="39">
        <f>IF(tblRuns[[#This Row],[Date]]="","",IF(tblRuns[[#This Row],[Total (units)]]&gt;0,tblRuns[[#This Row],[Good (units)]]/tblRuns[[#This Row],[Total (units)]],""))</f>
        <v>0.993683851143735</v>
      </c>
      <c r="P85" s="39">
        <f>IF(tblRuns[[#This Row],[Date]]="","",IF(N(tblRuns[[#This Row],[Theoretical (units)]])&gt;0,tblRuns[[#This Row],[Good (units)]]/tblRuns[[#This Row],[Theoretical (units)]],""))</f>
        <v>0.646777777777778</v>
      </c>
      <c r="Q85" s="35">
        <f>IF(tblRuns[[#This Row],[Date]]="","",IF(ISNUMBER(tblRuns[[#This Row],[Cycle (s/unit)]]),tblRuns[[#This Row],[Downtime (min)]]*60/tblRuns[[#This Row],[Cycle (s/unit)]],""))</f>
        <v>2700</v>
      </c>
      <c r="R85" s="35">
        <f>IF(tblRuns[[#This Row],[Date]]="","",IF(ISNUMBER(tblRuns[[#This Row],[Cycle (s/unit)]]),tblRuns[[#This Row],[Run (min)]]*60/tblRuns[[#This Row],[Cycle (s/unit)]]-tblRuns[[#This Row],[Total (units)]],""))</f>
        <v>442</v>
      </c>
      <c r="S85" s="35">
        <f>IF(tblRuns[[#This Row],[Date]]="","",tblRuns[[#This Row],[Total (units)]]-tblRuns[[#This Row],[Good (units)]])</f>
        <v>37</v>
      </c>
      <c r="T85" s="39">
        <f>IF(tblRuns[[#This Row],[Date]]="","",IF(N(tblRuns[[#This Row],[Demand (units)]])&gt;0,tblRuns[[#This Row],[Good (units)]]/tblRuns[[#This Row],[Demand (units)]],""))</f>
        <v>0.881969696969697</v>
      </c>
      <c r="U85" s="40" t="str">
        <f>IF(NOT(ISNUMBER(tblRuns[[#This Row],[Demand coverage]])),"",IF(tblRuns[[#This Row],[Demand coverage]]&gt;=TargetCov,"On target",IF(tblRuns[[#This Row],[Demand coverage]]&gt;=TargetCov*(1-0.05),"Near target","Below target")))</f>
        <v>Below target</v>
      </c>
      <c r="V85" s="41">
        <f>IF(tblRuns[[#This Row],[Date]]="","",IF(AND(tblRuns[[#This Row],[Date]]&gt;=FFrom,tblRuns[[#This Row],[Date]]&lt;=FTo,OR(DashLine="",tblRuns[[#This Row],[Line]]=DashLine)),tblRuns[[#This Row],[Date]],""))</f>
        <v>46296</v>
      </c>
      <c r="W8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5" s="43" t="s">
        <v>109</v>
      </c>
    </row>
    <row r="86" spans="2:24" x14ac:dyDescent="0.25">
      <c r="B86" s="37">
        <v>46296</v>
      </c>
      <c r="C86" s="28" t="s">
        <v>83</v>
      </c>
      <c r="D86" s="28" t="s">
        <v>80</v>
      </c>
      <c r="E86" s="34">
        <v>450</v>
      </c>
      <c r="F86" s="34">
        <v>60</v>
      </c>
      <c r="G86" s="34">
        <v>5385</v>
      </c>
      <c r="H86" s="34">
        <v>5258</v>
      </c>
      <c r="I86" s="38">
        <f>IF(tblRuns[[#This Row],[Date]]="","",IFERROR(INDEX(tblLines[Bottleneck cycle (s/unit)],MATCH(tblRuns[[#This Row],[Line]],tblLines[Line],0)),""))</f>
        <v>4</v>
      </c>
      <c r="J86" s="35">
        <f>IF(tblRuns[[#This Row],[Date]]="","",IFERROR(INDEX(tblLines[Demand per shift (units)],MATCH(tblRuns[[#This Row],[Line]],tblLines[Line],0)),""))</f>
        <v>5100</v>
      </c>
      <c r="K86" s="35">
        <f>IF(tblRuns[[#This Row],[Date]]="","",tblRuns[[#This Row],[Scheduled (min)]]-tblRuns[[#This Row],[Downtime (min)]])</f>
        <v>390</v>
      </c>
      <c r="L86" s="35">
        <f>IF(tblRuns[[#This Row],[Date]]="","",IF(ISNUMBER(tblRuns[[#This Row],[Cycle (s/unit)]]),tblRuns[[#This Row],[Scheduled (min)]]*60/tblRuns[[#This Row],[Cycle (s/unit)]],""))</f>
        <v>6750</v>
      </c>
      <c r="M86" s="35">
        <f>IF(tblRuns[[#This Row],[Date]]="","",IF(tblRuns[[#This Row],[Scheduled (min)]]&gt;0,tblRuns[[#This Row],[Good (units)]]/(tblRuns[[#This Row],[Scheduled (min)]]/60),""))</f>
        <v>701.066666666667</v>
      </c>
      <c r="N86" s="39">
        <f>IF(tblRuns[[#This Row],[Date]]="","",IF(tblRuns[[#This Row],[Scheduled (min)]]&gt;0,tblRuns[[#This Row],[Run (min)]]/tblRuns[[#This Row],[Scheduled (min)]],""))</f>
        <v>0.866666666666667</v>
      </c>
      <c r="O86" s="39">
        <f>IF(tblRuns[[#This Row],[Date]]="","",IF(tblRuns[[#This Row],[Total (units)]]&gt;0,tblRuns[[#This Row],[Good (units)]]/tblRuns[[#This Row],[Total (units)]],""))</f>
        <v>0.976415970287837</v>
      </c>
      <c r="P86" s="39">
        <f>IF(tblRuns[[#This Row],[Date]]="","",IF(N(tblRuns[[#This Row],[Theoretical (units)]])&gt;0,tblRuns[[#This Row],[Good (units)]]/tblRuns[[#This Row],[Theoretical (units)]],""))</f>
        <v>0.778962962962963</v>
      </c>
      <c r="Q86" s="35">
        <f>IF(tblRuns[[#This Row],[Date]]="","",IF(ISNUMBER(tblRuns[[#This Row],[Cycle (s/unit)]]),tblRuns[[#This Row],[Downtime (min)]]*60/tblRuns[[#This Row],[Cycle (s/unit)]],""))</f>
        <v>900</v>
      </c>
      <c r="R86" s="35">
        <f>IF(tblRuns[[#This Row],[Date]]="","",IF(ISNUMBER(tblRuns[[#This Row],[Cycle (s/unit)]]),tblRuns[[#This Row],[Run (min)]]*60/tblRuns[[#This Row],[Cycle (s/unit)]]-tblRuns[[#This Row],[Total (units)]],""))</f>
        <v>465</v>
      </c>
      <c r="S86" s="35">
        <f>IF(tblRuns[[#This Row],[Date]]="","",tblRuns[[#This Row],[Total (units)]]-tblRuns[[#This Row],[Good (units)]])</f>
        <v>127</v>
      </c>
      <c r="T86" s="39">
        <f>IF(tblRuns[[#This Row],[Date]]="","",IF(N(tblRuns[[#This Row],[Demand (units)]])&gt;0,tblRuns[[#This Row],[Good (units)]]/tblRuns[[#This Row],[Demand (units)]],""))</f>
        <v>1.03098039215686</v>
      </c>
      <c r="U86" s="40" t="str">
        <f>IF(NOT(ISNUMBER(tblRuns[[#This Row],[Demand coverage]])),"",IF(tblRuns[[#This Row],[Demand coverage]]&gt;=TargetCov,"On target",IF(tblRuns[[#This Row],[Demand coverage]]&gt;=TargetCov*(1-0.05),"Near target","Below target")))</f>
        <v>On target</v>
      </c>
      <c r="V86" s="41">
        <f>IF(tblRuns[[#This Row],[Date]]="","",IF(AND(tblRuns[[#This Row],[Date]]&gt;=FFrom,tblRuns[[#This Row],[Date]]&lt;=FTo,OR(DashLine="",tblRuns[[#This Row],[Line]]=DashLine)),tblRuns[[#This Row],[Date]],""))</f>
        <v>46296</v>
      </c>
      <c r="W86"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6" s="43" t="s">
        <v>109</v>
      </c>
    </row>
    <row r="87" spans="2:24" x14ac:dyDescent="0.25">
      <c r="B87" s="37">
        <v>46296</v>
      </c>
      <c r="C87" s="28" t="s">
        <v>85</v>
      </c>
      <c r="D87" s="28" t="s">
        <v>76</v>
      </c>
      <c r="E87" s="34">
        <v>450</v>
      </c>
      <c r="F87" s="34">
        <v>40</v>
      </c>
      <c r="G87" s="34">
        <v>14544</v>
      </c>
      <c r="H87" s="34">
        <v>14190</v>
      </c>
      <c r="I87" s="38">
        <f>IF(tblRuns[[#This Row],[Date]]="","",IFERROR(INDEX(tblLines[Bottleneck cycle (s/unit)],MATCH(tblRuns[[#This Row],[Line]],tblLines[Line],0)),""))</f>
        <v>1.5</v>
      </c>
      <c r="J87" s="35">
        <f>IF(tblRuns[[#This Row],[Date]]="","",IFERROR(INDEX(tblLines[Demand per shift (units)],MATCH(tblRuns[[#This Row],[Line]],tblLines[Line],0)),""))</f>
        <v>14500</v>
      </c>
      <c r="K87" s="35">
        <f>IF(tblRuns[[#This Row],[Date]]="","",tblRuns[[#This Row],[Scheduled (min)]]-tblRuns[[#This Row],[Downtime (min)]])</f>
        <v>410</v>
      </c>
      <c r="L87" s="35">
        <f>IF(tblRuns[[#This Row],[Date]]="","",IF(ISNUMBER(tblRuns[[#This Row],[Cycle (s/unit)]]),tblRuns[[#This Row],[Scheduled (min)]]*60/tblRuns[[#This Row],[Cycle (s/unit)]],""))</f>
        <v>18000</v>
      </c>
      <c r="M87" s="35">
        <f>IF(tblRuns[[#This Row],[Date]]="","",IF(tblRuns[[#This Row],[Scheduled (min)]]&gt;0,tblRuns[[#This Row],[Good (units)]]/(tblRuns[[#This Row],[Scheduled (min)]]/60),""))</f>
        <v>1892</v>
      </c>
      <c r="N87" s="39">
        <f>IF(tblRuns[[#This Row],[Date]]="","",IF(tblRuns[[#This Row],[Scheduled (min)]]&gt;0,tblRuns[[#This Row],[Run (min)]]/tblRuns[[#This Row],[Scheduled (min)]],""))</f>
        <v>0.911111111111111</v>
      </c>
      <c r="O87" s="39">
        <f>IF(tblRuns[[#This Row],[Date]]="","",IF(tblRuns[[#This Row],[Total (units)]]&gt;0,tblRuns[[#This Row],[Good (units)]]/tblRuns[[#This Row],[Total (units)]],""))</f>
        <v>0.975660066006601</v>
      </c>
      <c r="P87" s="39">
        <f>IF(tblRuns[[#This Row],[Date]]="","",IF(N(tblRuns[[#This Row],[Theoretical (units)]])&gt;0,tblRuns[[#This Row],[Good (units)]]/tblRuns[[#This Row],[Theoretical (units)]],""))</f>
        <v>0.788333333333333</v>
      </c>
      <c r="Q87" s="35">
        <f>IF(tblRuns[[#This Row],[Date]]="","",IF(ISNUMBER(tblRuns[[#This Row],[Cycle (s/unit)]]),tblRuns[[#This Row],[Downtime (min)]]*60/tblRuns[[#This Row],[Cycle (s/unit)]],""))</f>
        <v>1600</v>
      </c>
      <c r="R87" s="35">
        <f>IF(tblRuns[[#This Row],[Date]]="","",IF(ISNUMBER(tblRuns[[#This Row],[Cycle (s/unit)]]),tblRuns[[#This Row],[Run (min)]]*60/tblRuns[[#This Row],[Cycle (s/unit)]]-tblRuns[[#This Row],[Total (units)]],""))</f>
        <v>1856</v>
      </c>
      <c r="S87" s="35">
        <f>IF(tblRuns[[#This Row],[Date]]="","",tblRuns[[#This Row],[Total (units)]]-tblRuns[[#This Row],[Good (units)]])</f>
        <v>354</v>
      </c>
      <c r="T87" s="39">
        <f>IF(tblRuns[[#This Row],[Date]]="","",IF(N(tblRuns[[#This Row],[Demand (units)]])&gt;0,tblRuns[[#This Row],[Good (units)]]/tblRuns[[#This Row],[Demand (units)]],""))</f>
        <v>0.978620689655173</v>
      </c>
      <c r="U87" s="40" t="str">
        <f>IF(NOT(ISNUMBER(tblRuns[[#This Row],[Demand coverage]])),"",IF(tblRuns[[#This Row],[Demand coverage]]&gt;=TargetCov,"On target",IF(tblRuns[[#This Row],[Demand coverage]]&gt;=TargetCov*(1-0.05),"Near target","Below target")))</f>
        <v>Near target</v>
      </c>
      <c r="V87" s="41">
        <f>IF(tblRuns[[#This Row],[Date]]="","",IF(AND(tblRuns[[#This Row],[Date]]&gt;=FFrom,tblRuns[[#This Row],[Date]]&lt;=FTo,OR(DashLine="",tblRuns[[#This Row],[Line]]=DashLine)),tblRuns[[#This Row],[Date]],""))</f>
        <v>46296</v>
      </c>
      <c r="W87"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7" s="43" t="s">
        <v>109</v>
      </c>
    </row>
    <row r="88" spans="2:24" x14ac:dyDescent="0.25">
      <c r="B88" s="37">
        <v>46296</v>
      </c>
      <c r="C88" s="28" t="s">
        <v>85</v>
      </c>
      <c r="D88" s="28" t="s">
        <v>78</v>
      </c>
      <c r="E88" s="34">
        <v>450</v>
      </c>
      <c r="F88" s="34">
        <v>75</v>
      </c>
      <c r="G88" s="34">
        <v>6769</v>
      </c>
      <c r="H88" s="34">
        <v>6753</v>
      </c>
      <c r="I88" s="38">
        <f>IF(tblRuns[[#This Row],[Date]]="","",IFERROR(INDEX(tblLines[Bottleneck cycle (s/unit)],MATCH(tblRuns[[#This Row],[Line]],tblLines[Line],0)),""))</f>
        <v>3</v>
      </c>
      <c r="J88" s="35">
        <f>IF(tblRuns[[#This Row],[Date]]="","",IFERROR(INDEX(tblLines[Demand per shift (units)],MATCH(tblRuns[[#This Row],[Line]],tblLines[Line],0)),""))</f>
        <v>6600</v>
      </c>
      <c r="K88" s="35">
        <f>IF(tblRuns[[#This Row],[Date]]="","",tblRuns[[#This Row],[Scheduled (min)]]-tblRuns[[#This Row],[Downtime (min)]])</f>
        <v>375</v>
      </c>
      <c r="L88" s="35">
        <f>IF(tblRuns[[#This Row],[Date]]="","",IF(ISNUMBER(tblRuns[[#This Row],[Cycle (s/unit)]]),tblRuns[[#This Row],[Scheduled (min)]]*60/tblRuns[[#This Row],[Cycle (s/unit)]],""))</f>
        <v>9000</v>
      </c>
      <c r="M88" s="35">
        <f>IF(tblRuns[[#This Row],[Date]]="","",IF(tblRuns[[#This Row],[Scheduled (min)]]&gt;0,tblRuns[[#This Row],[Good (units)]]/(tblRuns[[#This Row],[Scheduled (min)]]/60),""))</f>
        <v>900.4</v>
      </c>
      <c r="N88" s="39">
        <f>IF(tblRuns[[#This Row],[Date]]="","",IF(tblRuns[[#This Row],[Scheduled (min)]]&gt;0,tblRuns[[#This Row],[Run (min)]]/tblRuns[[#This Row],[Scheduled (min)]],""))</f>
        <v>0.833333333333333</v>
      </c>
      <c r="O88" s="39">
        <f>IF(tblRuns[[#This Row],[Date]]="","",IF(tblRuns[[#This Row],[Total (units)]]&gt;0,tblRuns[[#This Row],[Good (units)]]/tblRuns[[#This Row],[Total (units)]],""))</f>
        <v>0.997636283055104</v>
      </c>
      <c r="P88" s="39">
        <f>IF(tblRuns[[#This Row],[Date]]="","",IF(N(tblRuns[[#This Row],[Theoretical (units)]])&gt;0,tblRuns[[#This Row],[Good (units)]]/tblRuns[[#This Row],[Theoretical (units)]],""))</f>
        <v>0.750333333333333</v>
      </c>
      <c r="Q88" s="35">
        <f>IF(tblRuns[[#This Row],[Date]]="","",IF(ISNUMBER(tblRuns[[#This Row],[Cycle (s/unit)]]),tblRuns[[#This Row],[Downtime (min)]]*60/tblRuns[[#This Row],[Cycle (s/unit)]],""))</f>
        <v>1500</v>
      </c>
      <c r="R88" s="35">
        <f>IF(tblRuns[[#This Row],[Date]]="","",IF(ISNUMBER(tblRuns[[#This Row],[Cycle (s/unit)]]),tblRuns[[#This Row],[Run (min)]]*60/tblRuns[[#This Row],[Cycle (s/unit)]]-tblRuns[[#This Row],[Total (units)]],""))</f>
        <v>731</v>
      </c>
      <c r="S88" s="35">
        <f>IF(tblRuns[[#This Row],[Date]]="","",tblRuns[[#This Row],[Total (units)]]-tblRuns[[#This Row],[Good (units)]])</f>
        <v>16</v>
      </c>
      <c r="T88" s="39">
        <f>IF(tblRuns[[#This Row],[Date]]="","",IF(N(tblRuns[[#This Row],[Demand (units)]])&gt;0,tblRuns[[#This Row],[Good (units)]]/tblRuns[[#This Row],[Demand (units)]],""))</f>
        <v>1.02318181818182</v>
      </c>
      <c r="U88" s="40" t="str">
        <f>IF(NOT(ISNUMBER(tblRuns[[#This Row],[Demand coverage]])),"",IF(tblRuns[[#This Row],[Demand coverage]]&gt;=TargetCov,"On target",IF(tblRuns[[#This Row],[Demand coverage]]&gt;=TargetCov*(1-0.05),"Near target","Below target")))</f>
        <v>On target</v>
      </c>
      <c r="V88" s="41">
        <f>IF(tblRuns[[#This Row],[Date]]="","",IF(AND(tblRuns[[#This Row],[Date]]&gt;=FFrom,tblRuns[[#This Row],[Date]]&lt;=FTo,OR(DashLine="",tblRuns[[#This Row],[Line]]=DashLine)),tblRuns[[#This Row],[Date]],""))</f>
        <v>46296</v>
      </c>
      <c r="W88"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8" s="43" t="s">
        <v>109</v>
      </c>
    </row>
    <row r="89" spans="2:24" x14ac:dyDescent="0.25">
      <c r="B89" s="37">
        <v>46296</v>
      </c>
      <c r="C89" s="28" t="s">
        <v>85</v>
      </c>
      <c r="D89" s="28" t="s">
        <v>80</v>
      </c>
      <c r="E89" s="34">
        <v>450</v>
      </c>
      <c r="F89" s="34">
        <v>35</v>
      </c>
      <c r="G89" s="34">
        <v>5605</v>
      </c>
      <c r="H89" s="34">
        <v>5502</v>
      </c>
      <c r="I89" s="38">
        <f>IF(tblRuns[[#This Row],[Date]]="","",IFERROR(INDEX(tblLines[Bottleneck cycle (s/unit)],MATCH(tblRuns[[#This Row],[Line]],tblLines[Line],0)),""))</f>
        <v>4</v>
      </c>
      <c r="J89" s="35">
        <f>IF(tblRuns[[#This Row],[Date]]="","",IFERROR(INDEX(tblLines[Demand per shift (units)],MATCH(tblRuns[[#This Row],[Line]],tblLines[Line],0)),""))</f>
        <v>5100</v>
      </c>
      <c r="K89" s="35">
        <f>IF(tblRuns[[#This Row],[Date]]="","",tblRuns[[#This Row],[Scheduled (min)]]-tblRuns[[#This Row],[Downtime (min)]])</f>
        <v>415</v>
      </c>
      <c r="L89" s="35">
        <f>IF(tblRuns[[#This Row],[Date]]="","",IF(ISNUMBER(tblRuns[[#This Row],[Cycle (s/unit)]]),tblRuns[[#This Row],[Scheduled (min)]]*60/tblRuns[[#This Row],[Cycle (s/unit)]],""))</f>
        <v>6750</v>
      </c>
      <c r="M89" s="35">
        <f>IF(tblRuns[[#This Row],[Date]]="","",IF(tblRuns[[#This Row],[Scheduled (min)]]&gt;0,tblRuns[[#This Row],[Good (units)]]/(tblRuns[[#This Row],[Scheduled (min)]]/60),""))</f>
        <v>733.6</v>
      </c>
      <c r="N89" s="39">
        <f>IF(tblRuns[[#This Row],[Date]]="","",IF(tblRuns[[#This Row],[Scheduled (min)]]&gt;0,tblRuns[[#This Row],[Run (min)]]/tblRuns[[#This Row],[Scheduled (min)]],""))</f>
        <v>0.922222222222222</v>
      </c>
      <c r="O89" s="39">
        <f>IF(tblRuns[[#This Row],[Date]]="","",IF(tblRuns[[#This Row],[Total (units)]]&gt;0,tblRuns[[#This Row],[Good (units)]]/tblRuns[[#This Row],[Total (units)]],""))</f>
        <v>0.981623550401427</v>
      </c>
      <c r="P89" s="39">
        <f>IF(tblRuns[[#This Row],[Date]]="","",IF(N(tblRuns[[#This Row],[Theoretical (units)]])&gt;0,tblRuns[[#This Row],[Good (units)]]/tblRuns[[#This Row],[Theoretical (units)]],""))</f>
        <v>0.815111111111111</v>
      </c>
      <c r="Q89" s="35">
        <f>IF(tblRuns[[#This Row],[Date]]="","",IF(ISNUMBER(tblRuns[[#This Row],[Cycle (s/unit)]]),tblRuns[[#This Row],[Downtime (min)]]*60/tblRuns[[#This Row],[Cycle (s/unit)]],""))</f>
        <v>525</v>
      </c>
      <c r="R89" s="35">
        <f>IF(tblRuns[[#This Row],[Date]]="","",IF(ISNUMBER(tblRuns[[#This Row],[Cycle (s/unit)]]),tblRuns[[#This Row],[Run (min)]]*60/tblRuns[[#This Row],[Cycle (s/unit)]]-tblRuns[[#This Row],[Total (units)]],""))</f>
        <v>620</v>
      </c>
      <c r="S89" s="35">
        <f>IF(tblRuns[[#This Row],[Date]]="","",tblRuns[[#This Row],[Total (units)]]-tblRuns[[#This Row],[Good (units)]])</f>
        <v>103</v>
      </c>
      <c r="T89" s="39">
        <f>IF(tblRuns[[#This Row],[Date]]="","",IF(N(tblRuns[[#This Row],[Demand (units)]])&gt;0,tblRuns[[#This Row],[Good (units)]]/tblRuns[[#This Row],[Demand (units)]],""))</f>
        <v>1.07882352941176</v>
      </c>
      <c r="U89" s="40" t="str">
        <f>IF(NOT(ISNUMBER(tblRuns[[#This Row],[Demand coverage]])),"",IF(tblRuns[[#This Row],[Demand coverage]]&gt;=TargetCov,"On target",IF(tblRuns[[#This Row],[Demand coverage]]&gt;=TargetCov*(1-0.05),"Near target","Below target")))</f>
        <v>On target</v>
      </c>
      <c r="V89" s="41">
        <f>IF(tblRuns[[#This Row],[Date]]="","",IF(AND(tblRuns[[#This Row],[Date]]&gt;=FFrom,tblRuns[[#This Row],[Date]]&lt;=FTo,OR(DashLine="",tblRuns[[#This Row],[Line]]=DashLine)),tblRuns[[#This Row],[Date]],""))</f>
        <v>46296</v>
      </c>
      <c r="W89"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89" s="43" t="s">
        <v>109</v>
      </c>
    </row>
    <row r="90" spans="2:24" x14ac:dyDescent="0.25">
      <c r="B90" s="37">
        <v>46297</v>
      </c>
      <c r="C90" s="28" t="s">
        <v>83</v>
      </c>
      <c r="D90" s="28" t="s">
        <v>76</v>
      </c>
      <c r="E90" s="34">
        <v>450</v>
      </c>
      <c r="F90" s="34">
        <v>5</v>
      </c>
      <c r="G90" s="34">
        <v>16706</v>
      </c>
      <c r="H90" s="34">
        <v>16528</v>
      </c>
      <c r="I90" s="38">
        <f>IF(tblRuns[[#This Row],[Date]]="","",IFERROR(INDEX(tblLines[Bottleneck cycle (s/unit)],MATCH(tblRuns[[#This Row],[Line]],tblLines[Line],0)),""))</f>
        <v>1.5</v>
      </c>
      <c r="J90" s="35">
        <f>IF(tblRuns[[#This Row],[Date]]="","",IFERROR(INDEX(tblLines[Demand per shift (units)],MATCH(tblRuns[[#This Row],[Line]],tblLines[Line],0)),""))</f>
        <v>14500</v>
      </c>
      <c r="K90" s="35">
        <f>IF(tblRuns[[#This Row],[Date]]="","",tblRuns[[#This Row],[Scheduled (min)]]-tblRuns[[#This Row],[Downtime (min)]])</f>
        <v>445</v>
      </c>
      <c r="L90" s="35">
        <f>IF(tblRuns[[#This Row],[Date]]="","",IF(ISNUMBER(tblRuns[[#This Row],[Cycle (s/unit)]]),tblRuns[[#This Row],[Scheduled (min)]]*60/tblRuns[[#This Row],[Cycle (s/unit)]],""))</f>
        <v>18000</v>
      </c>
      <c r="M90" s="35">
        <f>IF(tblRuns[[#This Row],[Date]]="","",IF(tblRuns[[#This Row],[Scheduled (min)]]&gt;0,tblRuns[[#This Row],[Good (units)]]/(tblRuns[[#This Row],[Scheduled (min)]]/60),""))</f>
        <v>2203.73333333333</v>
      </c>
      <c r="N90" s="39">
        <f>IF(tblRuns[[#This Row],[Date]]="","",IF(tblRuns[[#This Row],[Scheduled (min)]]&gt;0,tblRuns[[#This Row],[Run (min)]]/tblRuns[[#This Row],[Scheduled (min)]],""))</f>
        <v>0.988888888888889</v>
      </c>
      <c r="O90" s="39">
        <f>IF(tblRuns[[#This Row],[Date]]="","",IF(tblRuns[[#This Row],[Total (units)]]&gt;0,tblRuns[[#This Row],[Good (units)]]/tblRuns[[#This Row],[Total (units)]],""))</f>
        <v>0.989345145456722</v>
      </c>
      <c r="P90" s="39">
        <f>IF(tblRuns[[#This Row],[Date]]="","",IF(N(tblRuns[[#This Row],[Theoretical (units)]])&gt;0,tblRuns[[#This Row],[Good (units)]]/tblRuns[[#This Row],[Theoretical (units)]],""))</f>
        <v>0.918222222222222</v>
      </c>
      <c r="Q90" s="35">
        <f>IF(tblRuns[[#This Row],[Date]]="","",IF(ISNUMBER(tblRuns[[#This Row],[Cycle (s/unit)]]),tblRuns[[#This Row],[Downtime (min)]]*60/tblRuns[[#This Row],[Cycle (s/unit)]],""))</f>
        <v>200</v>
      </c>
      <c r="R90" s="35">
        <f>IF(tblRuns[[#This Row],[Date]]="","",IF(ISNUMBER(tblRuns[[#This Row],[Cycle (s/unit)]]),tblRuns[[#This Row],[Run (min)]]*60/tblRuns[[#This Row],[Cycle (s/unit)]]-tblRuns[[#This Row],[Total (units)]],""))</f>
        <v>1094</v>
      </c>
      <c r="S90" s="35">
        <f>IF(tblRuns[[#This Row],[Date]]="","",tblRuns[[#This Row],[Total (units)]]-tblRuns[[#This Row],[Good (units)]])</f>
        <v>178</v>
      </c>
      <c r="T90" s="39">
        <f>IF(tblRuns[[#This Row],[Date]]="","",IF(N(tblRuns[[#This Row],[Demand (units)]])&gt;0,tblRuns[[#This Row],[Good (units)]]/tblRuns[[#This Row],[Demand (units)]],""))</f>
        <v>1.13986206896552</v>
      </c>
      <c r="U90" s="40" t="str">
        <f>IF(NOT(ISNUMBER(tblRuns[[#This Row],[Demand coverage]])),"",IF(tblRuns[[#This Row],[Demand coverage]]&gt;=TargetCov,"On target",IF(tblRuns[[#This Row],[Demand coverage]]&gt;=TargetCov*(1-0.05),"Near target","Below target")))</f>
        <v>On target</v>
      </c>
      <c r="V90" s="41">
        <f>IF(tblRuns[[#This Row],[Date]]="","",IF(AND(tblRuns[[#This Row],[Date]]&gt;=FFrom,tblRuns[[#This Row],[Date]]&lt;=FTo,OR(DashLine="",tblRuns[[#This Row],[Line]]=DashLine)),tblRuns[[#This Row],[Date]],""))</f>
        <v>46297</v>
      </c>
      <c r="W90"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0" s="43" t="s">
        <v>109</v>
      </c>
    </row>
    <row r="91" spans="2:24" x14ac:dyDescent="0.25">
      <c r="B91" s="37">
        <v>46297</v>
      </c>
      <c r="C91" s="28" t="s">
        <v>83</v>
      </c>
      <c r="D91" s="28" t="s">
        <v>78</v>
      </c>
      <c r="E91" s="34">
        <v>450</v>
      </c>
      <c r="F91" s="34">
        <v>135</v>
      </c>
      <c r="G91" s="34">
        <v>5778</v>
      </c>
      <c r="H91" s="34">
        <v>5728</v>
      </c>
      <c r="I91" s="38">
        <f>IF(tblRuns[[#This Row],[Date]]="","",IFERROR(INDEX(tblLines[Bottleneck cycle (s/unit)],MATCH(tblRuns[[#This Row],[Line]],tblLines[Line],0)),""))</f>
        <v>3</v>
      </c>
      <c r="J91" s="35">
        <f>IF(tblRuns[[#This Row],[Date]]="","",IFERROR(INDEX(tblLines[Demand per shift (units)],MATCH(tblRuns[[#This Row],[Line]],tblLines[Line],0)),""))</f>
        <v>6600</v>
      </c>
      <c r="K91" s="35">
        <f>IF(tblRuns[[#This Row],[Date]]="","",tblRuns[[#This Row],[Scheduled (min)]]-tblRuns[[#This Row],[Downtime (min)]])</f>
        <v>315</v>
      </c>
      <c r="L91" s="35">
        <f>IF(tblRuns[[#This Row],[Date]]="","",IF(ISNUMBER(tblRuns[[#This Row],[Cycle (s/unit)]]),tblRuns[[#This Row],[Scheduled (min)]]*60/tblRuns[[#This Row],[Cycle (s/unit)]],""))</f>
        <v>9000</v>
      </c>
      <c r="M91" s="35">
        <f>IF(tblRuns[[#This Row],[Date]]="","",IF(tblRuns[[#This Row],[Scheduled (min)]]&gt;0,tblRuns[[#This Row],[Good (units)]]/(tblRuns[[#This Row],[Scheduled (min)]]/60),""))</f>
        <v>763.733333333333</v>
      </c>
      <c r="N91" s="39">
        <f>IF(tblRuns[[#This Row],[Date]]="","",IF(tblRuns[[#This Row],[Scheduled (min)]]&gt;0,tblRuns[[#This Row],[Run (min)]]/tblRuns[[#This Row],[Scheduled (min)]],""))</f>
        <v>0.7</v>
      </c>
      <c r="O91" s="39">
        <f>IF(tblRuns[[#This Row],[Date]]="","",IF(tblRuns[[#This Row],[Total (units)]]&gt;0,tblRuns[[#This Row],[Good (units)]]/tblRuns[[#This Row],[Total (units)]],""))</f>
        <v>0.99134648667359</v>
      </c>
      <c r="P91" s="39">
        <f>IF(tblRuns[[#This Row],[Date]]="","",IF(N(tblRuns[[#This Row],[Theoretical (units)]])&gt;0,tblRuns[[#This Row],[Good (units)]]/tblRuns[[#This Row],[Theoretical (units)]],""))</f>
        <v>0.636444444444445</v>
      </c>
      <c r="Q91" s="35">
        <f>IF(tblRuns[[#This Row],[Date]]="","",IF(ISNUMBER(tblRuns[[#This Row],[Cycle (s/unit)]]),tblRuns[[#This Row],[Downtime (min)]]*60/tblRuns[[#This Row],[Cycle (s/unit)]],""))</f>
        <v>2700</v>
      </c>
      <c r="R91" s="35">
        <f>IF(tblRuns[[#This Row],[Date]]="","",IF(ISNUMBER(tblRuns[[#This Row],[Cycle (s/unit)]]),tblRuns[[#This Row],[Run (min)]]*60/tblRuns[[#This Row],[Cycle (s/unit)]]-tblRuns[[#This Row],[Total (units)]],""))</f>
        <v>522</v>
      </c>
      <c r="S91" s="35">
        <f>IF(tblRuns[[#This Row],[Date]]="","",tblRuns[[#This Row],[Total (units)]]-tblRuns[[#This Row],[Good (units)]])</f>
        <v>50</v>
      </c>
      <c r="T91" s="39">
        <f>IF(tblRuns[[#This Row],[Date]]="","",IF(N(tblRuns[[#This Row],[Demand (units)]])&gt;0,tblRuns[[#This Row],[Good (units)]]/tblRuns[[#This Row],[Demand (units)]],""))</f>
        <v>0.867878787878788</v>
      </c>
      <c r="U91" s="40" t="str">
        <f>IF(NOT(ISNUMBER(tblRuns[[#This Row],[Demand coverage]])),"",IF(tblRuns[[#This Row],[Demand coverage]]&gt;=TargetCov,"On target",IF(tblRuns[[#This Row],[Demand coverage]]&gt;=TargetCov*(1-0.05),"Near target","Below target")))</f>
        <v>Below target</v>
      </c>
      <c r="V91" s="41">
        <f>IF(tblRuns[[#This Row],[Date]]="","",IF(AND(tblRuns[[#This Row],[Date]]&gt;=FFrom,tblRuns[[#This Row],[Date]]&lt;=FTo,OR(DashLine="",tblRuns[[#This Row],[Line]]=DashLine)),tblRuns[[#This Row],[Date]],""))</f>
        <v>46297</v>
      </c>
      <c r="W91"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1" s="43" t="s">
        <v>109</v>
      </c>
    </row>
    <row r="92" spans="2:24" x14ac:dyDescent="0.25">
      <c r="B92" s="37">
        <v>46297</v>
      </c>
      <c r="C92" s="28" t="s">
        <v>83</v>
      </c>
      <c r="D92" s="28" t="s">
        <v>80</v>
      </c>
      <c r="E92" s="34">
        <v>450</v>
      </c>
      <c r="F92" s="34">
        <v>25</v>
      </c>
      <c r="G92" s="34">
        <v>5893</v>
      </c>
      <c r="H92" s="34">
        <v>5742</v>
      </c>
      <c r="I92" s="38">
        <f>IF(tblRuns[[#This Row],[Date]]="","",IFERROR(INDEX(tblLines[Bottleneck cycle (s/unit)],MATCH(tblRuns[[#This Row],[Line]],tblLines[Line],0)),""))</f>
        <v>4</v>
      </c>
      <c r="J92" s="35">
        <f>IF(tblRuns[[#This Row],[Date]]="","",IFERROR(INDEX(tblLines[Demand per shift (units)],MATCH(tblRuns[[#This Row],[Line]],tblLines[Line],0)),""))</f>
        <v>5100</v>
      </c>
      <c r="K92" s="35">
        <f>IF(tblRuns[[#This Row],[Date]]="","",tblRuns[[#This Row],[Scheduled (min)]]-tblRuns[[#This Row],[Downtime (min)]])</f>
        <v>425</v>
      </c>
      <c r="L92" s="35">
        <f>IF(tblRuns[[#This Row],[Date]]="","",IF(ISNUMBER(tblRuns[[#This Row],[Cycle (s/unit)]]),tblRuns[[#This Row],[Scheduled (min)]]*60/tblRuns[[#This Row],[Cycle (s/unit)]],""))</f>
        <v>6750</v>
      </c>
      <c r="M92" s="35">
        <f>IF(tblRuns[[#This Row],[Date]]="","",IF(tblRuns[[#This Row],[Scheduled (min)]]&gt;0,tblRuns[[#This Row],[Good (units)]]/(tblRuns[[#This Row],[Scheduled (min)]]/60),""))</f>
        <v>765.6</v>
      </c>
      <c r="N92" s="39">
        <f>IF(tblRuns[[#This Row],[Date]]="","",IF(tblRuns[[#This Row],[Scheduled (min)]]&gt;0,tblRuns[[#This Row],[Run (min)]]/tblRuns[[#This Row],[Scheduled (min)]],""))</f>
        <v>0.944444444444444</v>
      </c>
      <c r="O92" s="39">
        <f>IF(tblRuns[[#This Row],[Date]]="","",IF(tblRuns[[#This Row],[Total (units)]]&gt;0,tblRuns[[#This Row],[Good (units)]]/tblRuns[[#This Row],[Total (units)]],""))</f>
        <v>0.974376378754455</v>
      </c>
      <c r="P92" s="39">
        <f>IF(tblRuns[[#This Row],[Date]]="","",IF(N(tblRuns[[#This Row],[Theoretical (units)]])&gt;0,tblRuns[[#This Row],[Good (units)]]/tblRuns[[#This Row],[Theoretical (units)]],""))</f>
        <v>0.850666666666667</v>
      </c>
      <c r="Q92" s="35">
        <f>IF(tblRuns[[#This Row],[Date]]="","",IF(ISNUMBER(tblRuns[[#This Row],[Cycle (s/unit)]]),tblRuns[[#This Row],[Downtime (min)]]*60/tblRuns[[#This Row],[Cycle (s/unit)]],""))</f>
        <v>375</v>
      </c>
      <c r="R92" s="35">
        <f>IF(tblRuns[[#This Row],[Date]]="","",IF(ISNUMBER(tblRuns[[#This Row],[Cycle (s/unit)]]),tblRuns[[#This Row],[Run (min)]]*60/tblRuns[[#This Row],[Cycle (s/unit)]]-tblRuns[[#This Row],[Total (units)]],""))</f>
        <v>482</v>
      </c>
      <c r="S92" s="35">
        <f>IF(tblRuns[[#This Row],[Date]]="","",tblRuns[[#This Row],[Total (units)]]-tblRuns[[#This Row],[Good (units)]])</f>
        <v>151</v>
      </c>
      <c r="T92" s="39">
        <f>IF(tblRuns[[#This Row],[Date]]="","",IF(N(tblRuns[[#This Row],[Demand (units)]])&gt;0,tblRuns[[#This Row],[Good (units)]]/tblRuns[[#This Row],[Demand (units)]],""))</f>
        <v>1.12588235294118</v>
      </c>
      <c r="U92" s="40" t="str">
        <f>IF(NOT(ISNUMBER(tblRuns[[#This Row],[Demand coverage]])),"",IF(tblRuns[[#This Row],[Demand coverage]]&gt;=TargetCov,"On target",IF(tblRuns[[#This Row],[Demand coverage]]&gt;=TargetCov*(1-0.05),"Near target","Below target")))</f>
        <v>On target</v>
      </c>
      <c r="V92" s="41">
        <f>IF(tblRuns[[#This Row],[Date]]="","",IF(AND(tblRuns[[#This Row],[Date]]&gt;=FFrom,tblRuns[[#This Row],[Date]]&lt;=FTo,OR(DashLine="",tblRuns[[#This Row],[Line]]=DashLine)),tblRuns[[#This Row],[Date]],""))</f>
        <v>46297</v>
      </c>
      <c r="W92"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2" s="43" t="s">
        <v>109</v>
      </c>
    </row>
    <row r="93" spans="2:24" x14ac:dyDescent="0.25">
      <c r="B93" s="37">
        <v>46297</v>
      </c>
      <c r="C93" s="28" t="s">
        <v>85</v>
      </c>
      <c r="D93" s="28" t="s">
        <v>76</v>
      </c>
      <c r="E93" s="34">
        <v>450</v>
      </c>
      <c r="F93" s="34">
        <v>30</v>
      </c>
      <c r="G93" s="34">
        <v>14803</v>
      </c>
      <c r="H93" s="34">
        <v>14539</v>
      </c>
      <c r="I93" s="38">
        <f>IF(tblRuns[[#This Row],[Date]]="","",IFERROR(INDEX(tblLines[Bottleneck cycle (s/unit)],MATCH(tblRuns[[#This Row],[Line]],tblLines[Line],0)),""))</f>
        <v>1.5</v>
      </c>
      <c r="J93" s="35">
        <f>IF(tblRuns[[#This Row],[Date]]="","",IFERROR(INDEX(tblLines[Demand per shift (units)],MATCH(tblRuns[[#This Row],[Line]],tblLines[Line],0)),""))</f>
        <v>14500</v>
      </c>
      <c r="K93" s="35">
        <f>IF(tblRuns[[#This Row],[Date]]="","",tblRuns[[#This Row],[Scheduled (min)]]-tblRuns[[#This Row],[Downtime (min)]])</f>
        <v>420</v>
      </c>
      <c r="L93" s="35">
        <f>IF(tblRuns[[#This Row],[Date]]="","",IF(ISNUMBER(tblRuns[[#This Row],[Cycle (s/unit)]]),tblRuns[[#This Row],[Scheduled (min)]]*60/tblRuns[[#This Row],[Cycle (s/unit)]],""))</f>
        <v>18000</v>
      </c>
      <c r="M93" s="35">
        <f>IF(tblRuns[[#This Row],[Date]]="","",IF(tblRuns[[#This Row],[Scheduled (min)]]&gt;0,tblRuns[[#This Row],[Good (units)]]/(tblRuns[[#This Row],[Scheduled (min)]]/60),""))</f>
        <v>1938.53333333333</v>
      </c>
      <c r="N93" s="39">
        <f>IF(tblRuns[[#This Row],[Date]]="","",IF(tblRuns[[#This Row],[Scheduled (min)]]&gt;0,tblRuns[[#This Row],[Run (min)]]/tblRuns[[#This Row],[Scheduled (min)]],""))</f>
        <v>0.933333333333333</v>
      </c>
      <c r="O93" s="39">
        <f>IF(tblRuns[[#This Row],[Date]]="","",IF(tblRuns[[#This Row],[Total (units)]]&gt;0,tblRuns[[#This Row],[Good (units)]]/tblRuns[[#This Row],[Total (units)]],""))</f>
        <v>0.982165777207323</v>
      </c>
      <c r="P93" s="39">
        <f>IF(tblRuns[[#This Row],[Date]]="","",IF(N(tblRuns[[#This Row],[Theoretical (units)]])&gt;0,tblRuns[[#This Row],[Good (units)]]/tblRuns[[#This Row],[Theoretical (units)]],""))</f>
        <v>0.807722222222222</v>
      </c>
      <c r="Q93" s="35">
        <f>IF(tblRuns[[#This Row],[Date]]="","",IF(ISNUMBER(tblRuns[[#This Row],[Cycle (s/unit)]]),tblRuns[[#This Row],[Downtime (min)]]*60/tblRuns[[#This Row],[Cycle (s/unit)]],""))</f>
        <v>1200</v>
      </c>
      <c r="R93" s="35">
        <f>IF(tblRuns[[#This Row],[Date]]="","",IF(ISNUMBER(tblRuns[[#This Row],[Cycle (s/unit)]]),tblRuns[[#This Row],[Run (min)]]*60/tblRuns[[#This Row],[Cycle (s/unit)]]-tblRuns[[#This Row],[Total (units)]],""))</f>
        <v>1997</v>
      </c>
      <c r="S93" s="35">
        <f>IF(tblRuns[[#This Row],[Date]]="","",tblRuns[[#This Row],[Total (units)]]-tblRuns[[#This Row],[Good (units)]])</f>
        <v>264</v>
      </c>
      <c r="T93" s="39">
        <f>IF(tblRuns[[#This Row],[Date]]="","",IF(N(tblRuns[[#This Row],[Demand (units)]])&gt;0,tblRuns[[#This Row],[Good (units)]]/tblRuns[[#This Row],[Demand (units)]],""))</f>
        <v>1.00268965517241</v>
      </c>
      <c r="U93" s="40" t="str">
        <f>IF(NOT(ISNUMBER(tblRuns[[#This Row],[Demand coverage]])),"",IF(tblRuns[[#This Row],[Demand coverage]]&gt;=TargetCov,"On target",IF(tblRuns[[#This Row],[Demand coverage]]&gt;=TargetCov*(1-0.05),"Near target","Below target")))</f>
        <v>On target</v>
      </c>
      <c r="V93" s="41">
        <f>IF(tblRuns[[#This Row],[Date]]="","",IF(AND(tblRuns[[#This Row],[Date]]&gt;=FFrom,tblRuns[[#This Row],[Date]]&lt;=FTo,OR(DashLine="",tblRuns[[#This Row],[Line]]=DashLine)),tblRuns[[#This Row],[Date]],""))</f>
        <v>46297</v>
      </c>
      <c r="W93"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3" s="43" t="s">
        <v>109</v>
      </c>
    </row>
    <row r="94" spans="2:24" x14ac:dyDescent="0.25">
      <c r="B94" s="37">
        <v>46297</v>
      </c>
      <c r="C94" s="28" t="s">
        <v>85</v>
      </c>
      <c r="D94" s="28" t="s">
        <v>78</v>
      </c>
      <c r="E94" s="34">
        <v>450</v>
      </c>
      <c r="F94" s="34">
        <v>125</v>
      </c>
      <c r="G94" s="34">
        <v>6234</v>
      </c>
      <c r="H94" s="34">
        <v>6186</v>
      </c>
      <c r="I94" s="38">
        <f>IF(tblRuns[[#This Row],[Date]]="","",IFERROR(INDEX(tblLines[Bottleneck cycle (s/unit)],MATCH(tblRuns[[#This Row],[Line]],tblLines[Line],0)),""))</f>
        <v>3</v>
      </c>
      <c r="J94" s="35">
        <f>IF(tblRuns[[#This Row],[Date]]="","",IFERROR(INDEX(tblLines[Demand per shift (units)],MATCH(tblRuns[[#This Row],[Line]],tblLines[Line],0)),""))</f>
        <v>6600</v>
      </c>
      <c r="K94" s="35">
        <f>IF(tblRuns[[#This Row],[Date]]="","",tblRuns[[#This Row],[Scheduled (min)]]-tblRuns[[#This Row],[Downtime (min)]])</f>
        <v>325</v>
      </c>
      <c r="L94" s="35">
        <f>IF(tblRuns[[#This Row],[Date]]="","",IF(ISNUMBER(tblRuns[[#This Row],[Cycle (s/unit)]]),tblRuns[[#This Row],[Scheduled (min)]]*60/tblRuns[[#This Row],[Cycle (s/unit)]],""))</f>
        <v>9000</v>
      </c>
      <c r="M94" s="35">
        <f>IF(tblRuns[[#This Row],[Date]]="","",IF(tblRuns[[#This Row],[Scheduled (min)]]&gt;0,tblRuns[[#This Row],[Good (units)]]/(tblRuns[[#This Row],[Scheduled (min)]]/60),""))</f>
        <v>824.8</v>
      </c>
      <c r="N94" s="39">
        <f>IF(tblRuns[[#This Row],[Date]]="","",IF(tblRuns[[#This Row],[Scheduled (min)]]&gt;0,tblRuns[[#This Row],[Run (min)]]/tblRuns[[#This Row],[Scheduled (min)]],""))</f>
        <v>0.722222222222222</v>
      </c>
      <c r="O94" s="39">
        <f>IF(tblRuns[[#This Row],[Date]]="","",IF(tblRuns[[#This Row],[Total (units)]]&gt;0,tblRuns[[#This Row],[Good (units)]]/tblRuns[[#This Row],[Total (units)]],""))</f>
        <v>0.992300288739172</v>
      </c>
      <c r="P94" s="39">
        <f>IF(tblRuns[[#This Row],[Date]]="","",IF(N(tblRuns[[#This Row],[Theoretical (units)]])&gt;0,tblRuns[[#This Row],[Good (units)]]/tblRuns[[#This Row],[Theoretical (units)]],""))</f>
        <v>0.687333333333333</v>
      </c>
      <c r="Q94" s="35">
        <f>IF(tblRuns[[#This Row],[Date]]="","",IF(ISNUMBER(tblRuns[[#This Row],[Cycle (s/unit)]]),tblRuns[[#This Row],[Downtime (min)]]*60/tblRuns[[#This Row],[Cycle (s/unit)]],""))</f>
        <v>2500</v>
      </c>
      <c r="R94" s="35">
        <f>IF(tblRuns[[#This Row],[Date]]="","",IF(ISNUMBER(tblRuns[[#This Row],[Cycle (s/unit)]]),tblRuns[[#This Row],[Run (min)]]*60/tblRuns[[#This Row],[Cycle (s/unit)]]-tblRuns[[#This Row],[Total (units)]],""))</f>
        <v>266</v>
      </c>
      <c r="S94" s="35">
        <f>IF(tblRuns[[#This Row],[Date]]="","",tblRuns[[#This Row],[Total (units)]]-tblRuns[[#This Row],[Good (units)]])</f>
        <v>48</v>
      </c>
      <c r="T94" s="39">
        <f>IF(tblRuns[[#This Row],[Date]]="","",IF(N(tblRuns[[#This Row],[Demand (units)]])&gt;0,tblRuns[[#This Row],[Good (units)]]/tblRuns[[#This Row],[Demand (units)]],""))</f>
        <v>0.937272727272727</v>
      </c>
      <c r="U94" s="40" t="str">
        <f>IF(NOT(ISNUMBER(tblRuns[[#This Row],[Demand coverage]])),"",IF(tblRuns[[#This Row],[Demand coverage]]&gt;=TargetCov,"On target",IF(tblRuns[[#This Row],[Demand coverage]]&gt;=TargetCov*(1-0.05),"Near target","Below target")))</f>
        <v>Below target</v>
      </c>
      <c r="V94" s="41">
        <f>IF(tblRuns[[#This Row],[Date]]="","",IF(AND(tblRuns[[#This Row],[Date]]&gt;=FFrom,tblRuns[[#This Row],[Date]]&lt;=FTo,OR(DashLine="",tblRuns[[#This Row],[Line]]=DashLine)),tblRuns[[#This Row],[Date]],""))</f>
        <v>46297</v>
      </c>
      <c r="W94"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4" s="43" t="s">
        <v>109</v>
      </c>
    </row>
    <row r="95" spans="2:24" x14ac:dyDescent="0.25">
      <c r="B95" s="37">
        <v>46297</v>
      </c>
      <c r="C95" s="28" t="s">
        <v>85</v>
      </c>
      <c r="D95" s="28" t="s">
        <v>80</v>
      </c>
      <c r="E95" s="34">
        <v>450</v>
      </c>
      <c r="F95" s="34">
        <v>15</v>
      </c>
      <c r="G95" s="34">
        <v>6144</v>
      </c>
      <c r="H95" s="34">
        <v>6045</v>
      </c>
      <c r="I95" s="38">
        <f>IF(tblRuns[[#This Row],[Date]]="","",IFERROR(INDEX(tblLines[Bottleneck cycle (s/unit)],MATCH(tblRuns[[#This Row],[Line]],tblLines[Line],0)),""))</f>
        <v>4</v>
      </c>
      <c r="J95" s="35">
        <f>IF(tblRuns[[#This Row],[Date]]="","",IFERROR(INDEX(tblLines[Demand per shift (units)],MATCH(tblRuns[[#This Row],[Line]],tblLines[Line],0)),""))</f>
        <v>5100</v>
      </c>
      <c r="K95" s="35">
        <f>IF(tblRuns[[#This Row],[Date]]="","",tblRuns[[#This Row],[Scheduled (min)]]-tblRuns[[#This Row],[Downtime (min)]])</f>
        <v>435</v>
      </c>
      <c r="L95" s="35">
        <f>IF(tblRuns[[#This Row],[Date]]="","",IF(ISNUMBER(tblRuns[[#This Row],[Cycle (s/unit)]]),tblRuns[[#This Row],[Scheduled (min)]]*60/tblRuns[[#This Row],[Cycle (s/unit)]],""))</f>
        <v>6750</v>
      </c>
      <c r="M95" s="35">
        <f>IF(tblRuns[[#This Row],[Date]]="","",IF(tblRuns[[#This Row],[Scheduled (min)]]&gt;0,tblRuns[[#This Row],[Good (units)]]/(tblRuns[[#This Row],[Scheduled (min)]]/60),""))</f>
        <v>806</v>
      </c>
      <c r="N95" s="39">
        <f>IF(tblRuns[[#This Row],[Date]]="","",IF(tblRuns[[#This Row],[Scheduled (min)]]&gt;0,tblRuns[[#This Row],[Run (min)]]/tblRuns[[#This Row],[Scheduled (min)]],""))</f>
        <v>0.966666666666667</v>
      </c>
      <c r="O95" s="39">
        <f>IF(tblRuns[[#This Row],[Date]]="","",IF(tblRuns[[#This Row],[Total (units)]]&gt;0,tblRuns[[#This Row],[Good (units)]]/tblRuns[[#This Row],[Total (units)]],""))</f>
        <v>0.98388671875</v>
      </c>
      <c r="P95" s="39">
        <f>IF(tblRuns[[#This Row],[Date]]="","",IF(N(tblRuns[[#This Row],[Theoretical (units)]])&gt;0,tblRuns[[#This Row],[Good (units)]]/tblRuns[[#This Row],[Theoretical (units)]],""))</f>
        <v>0.895555555555556</v>
      </c>
      <c r="Q95" s="35">
        <f>IF(tblRuns[[#This Row],[Date]]="","",IF(ISNUMBER(tblRuns[[#This Row],[Cycle (s/unit)]]),tblRuns[[#This Row],[Downtime (min)]]*60/tblRuns[[#This Row],[Cycle (s/unit)]],""))</f>
        <v>225</v>
      </c>
      <c r="R95" s="35">
        <f>IF(tblRuns[[#This Row],[Date]]="","",IF(ISNUMBER(tblRuns[[#This Row],[Cycle (s/unit)]]),tblRuns[[#This Row],[Run (min)]]*60/tblRuns[[#This Row],[Cycle (s/unit)]]-tblRuns[[#This Row],[Total (units)]],""))</f>
        <v>381</v>
      </c>
      <c r="S95" s="35">
        <f>IF(tblRuns[[#This Row],[Date]]="","",tblRuns[[#This Row],[Total (units)]]-tblRuns[[#This Row],[Good (units)]])</f>
        <v>99</v>
      </c>
      <c r="T95" s="39">
        <f>IF(tblRuns[[#This Row],[Date]]="","",IF(N(tblRuns[[#This Row],[Demand (units)]])&gt;0,tblRuns[[#This Row],[Good (units)]]/tblRuns[[#This Row],[Demand (units)]],""))</f>
        <v>1.18529411764706</v>
      </c>
      <c r="U95" s="40" t="str">
        <f>IF(NOT(ISNUMBER(tblRuns[[#This Row],[Demand coverage]])),"",IF(tblRuns[[#This Row],[Demand coverage]]&gt;=TargetCov,"On target",IF(tblRuns[[#This Row],[Demand coverage]]&gt;=TargetCov*(1-0.05),"Near target","Below target")))</f>
        <v>On target</v>
      </c>
      <c r="V95" s="41">
        <f>IF(tblRuns[[#This Row],[Date]]="","",IF(AND(tblRuns[[#This Row],[Date]]&gt;=FFrom,tblRuns[[#This Row],[Date]]&lt;=FTo,OR(DashLine="",tblRuns[[#This Row],[Line]]=DashLine)),tblRuns[[#This Row],[Date]],""))</f>
        <v>46297</v>
      </c>
      <c r="W95" s="42" t="str">
        <f>IF(tblRuns[[#This Row],[Date]]="","",IF(tblRuns[[#This Row],[Shift]]="","Missing shift",IF(tblRuns[[#This Row],[Line]]="","Missing line",IF(tblRuns[[#This Row],[Scheduled (min)]]="","Missing scheduled",IF(tblRuns[[#This Row],[Total (units)]]="","Missing total",IF(tblRuns[[#This Row],[Good (units)]]="","Missing good",IF(tblRuns[[#This Row],[Cycle (s/unit)]]="","Line not on Setup list",IF(tblRuns[[#This Row],[Good (units)]]&gt;tblRuns[[#This Row],[Total (units)]],"Good &gt; total",IF(tblRuns[[#This Row],[Downtime (min)]]&gt;tblRuns[[#This Row],[Scheduled (min)]],"Downtime &gt; scheduled",IF(N(tblRuns[[#This Row],[Speed loss (units)]])&lt;0,"Faster than cycle: check cycle",IF(COUNTIFS(tblRuns[Date],tblRuns[[#This Row],[Date]],tblRuns[Shift],tblRuns[[#This Row],[Shift]],tblRuns[Line],tblRuns[[#This Row],[Line]])&gt;1,"Duplicate shift row","OK")))))))))))</f>
        <v>OK</v>
      </c>
      <c r="X95" s="43" t="s">
        <v>109</v>
      </c>
    </row>
  </sheetData>
  <mergeCells count="3">
    <mergeCell ref="A1:X1"/>
    <mergeCell ref="B2:W2"/>
    <mergeCell ref="B4:X4"/>
  </mergeCells>
  <conditionalFormatting sqref="P6:P595">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T6:T595">
    <cfRule type="expression" dxfId="3" priority="2" stopIfTrue="1">
      <formula>AND(ISNUMBER(T6),T6&gt;=(TargetCov))</formula>
    </cfRule>
    <cfRule type="expression" dxfId="4" priority="3" stopIfTrue="1">
      <formula>AND(ISNUMBER(T6),T6&gt;=(TargetCov)*(1-0.05))</formula>
    </cfRule>
    <cfRule type="expression" dxfId="5" priority="4">
      <formula>ISNUMBER(T6)</formula>
    </cfRule>
  </conditionalFormatting>
  <conditionalFormatting sqref="U6:U595">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W6:W595">
    <cfRule type="expression" dxfId="3" priority="25">
      <formula>$W6="OK"</formula>
    </cfRule>
    <cfRule type="expression" dxfId="1" priority="26">
      <formula>AND($W6&lt;&gt;"",$W6&lt;&gt;"OK")</formula>
    </cfRule>
  </conditionalFormatting>
  <dataValidations count="8">
    <dataValidation type="date" allowBlank="1" showInputMessage="1" showErrorMessage="1" errorTitle="Check this entry" error="Enter a date between 01 Jan 2000 and 31 Dec 2100." promptTitle="Date" prompt="Enter a date between 01 Jan 2000 and 31 Dec 2100." sqref="B6:B595">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595">
      <formula1>ShiftList</formula1>
    </dataValidation>
    <dataValidation type="list" allowBlank="1" showInputMessage="1" showErrorMessage="1" errorTitle="Check this entry" error="Pick from the list (edit the list on Setup: Lines)." promptTitle="Line" prompt="Pick from the list (edit the list on Setup: Lines)." sqref="D6:D595">
      <formula1>Lines</formula1>
    </dataValidation>
    <dataValidation type="whole" allowBlank="1" showInputMessage="1" showErrorMessage="1" errorTitle="Check this entry" error="Enter a whole number from 0 to 1,440." promptTitle="Scheduled (min)" prompt="Time the line was scheduled to run in the shift: shift length minus breaks. Log every scheduled shift, even one that made nothing. Enter a whole number from 0 to 1,440." sqref="E6:E595">
      <formula1>0</formula1>
      <formula2>1440</formula2>
    </dataValidation>
    <dataValidation type="whole" allowBlank="1" showInputMessage="1" showErrorMessage="1" errorTitle="Check this entry" error="Enter a whole number from 0 to 1,440." promptTitle="Downtime (min)" prompt="Minutes the line stood still inside scheduled time: breakdowns, changeovers, waiting for material. Blank counts as 0. Enter a whole number from 0 to 1,440." sqref="F6:F595">
      <formula1>0</formula1>
      <formula2>1440</formula2>
    </dataValidation>
    <dataValidation type="whole" allowBlank="1" showInputMessage="1" showErrorMessage="1" errorTitle="Check this entry" error="Enter a whole number from 0 to 100,000,000." promptTitle="Total (units)" prompt="Every unit made in the shift, good or not. Enter a whole number from 0 to 100,000,000." sqref="G6:G595">
      <formula1>0</formula1>
      <formula2>100000000</formula2>
    </dataValidation>
    <dataValidation type="whole" allowBlank="1" showInputMessage="1" showErrorMessage="1" errorTitle="Check this entry" error="Enter a whole number from 0 to 100,000,000." promptTitle="Good (units)" prompt="Units fit to ship first time: no scrap, no rework. Enter a whole number from 0 to 100,000,000." sqref="H6:H595">
      <formula1>0</formula1>
      <formula2>100000000</formula2>
    </dataValidation>
    <dataValidation type="textLength" allowBlank="1" showInputMessage="1" showErrorMessage="1" errorTitle="Check this entry" error="Text up to 255 characters." promptTitle="Notes" prompt="Text up to 255 characters." sqref="X6:X595">
      <formula1>0</formula1>
      <formula2>255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Throughput Analysis&amp;R&amp;8&amp;A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P6:P595</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0"/>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60</v>
      </c>
      <c r="C4" s="28"/>
      <c r="D4" s="28"/>
      <c r="F4" s="27" t="s">
        <v>113</v>
      </c>
      <c r="G4" s="44"/>
      <c r="H4" s="44"/>
      <c r="J4" s="27" t="s">
        <v>114</v>
      </c>
      <c r="K4" s="44"/>
      <c r="L4" s="44"/>
    </row>
    <row r="5" spans="1:12">
      <c r="B5" s="45" t="str">
        <f>"Showing "&amp;COUNTIFS(tblRuns[View date],"&gt;0")&amp;" shift rows of "&amp;PlantName&amp;". Leave the filters blank to include everything; dates are inclusive."</f>
        <v>Showing 90 shift rows of Kettle Ridge Snacks - packing hall (example). Leave the filters blank to include everything; dates are inclusive.</v>
      </c>
      <c r="C5" s="45"/>
      <c r="D5" s="45"/>
      <c r="E5" s="45"/>
      <c r="F5" s="45"/>
      <c r="G5" s="45"/>
      <c r="H5" s="45"/>
      <c r="I5" s="45"/>
      <c r="J5" s="45"/>
      <c r="K5" s="45"/>
      <c r="L5" s="45"/>
    </row>
    <row r="7" spans="1:12" ht="18" customHeight="1">
      <c r="B7" s="46" t="s">
        <v>115</v>
      </c>
      <c r="C7" s="46"/>
      <c r="D7" s="46" t="s">
        <v>116</v>
      </c>
      <c r="E7" s="46"/>
      <c r="F7" s="46"/>
      <c r="G7" s="46" t="s">
        <v>117</v>
      </c>
      <c r="H7" s="46"/>
      <c r="I7" s="46"/>
      <c r="J7" s="46" t="s">
        <v>118</v>
      </c>
      <c r="K7" s="46"/>
      <c r="L7" s="46"/>
    </row>
    <row r="8" spans="1:12" ht="21" customHeight="1">
      <c r="B8" s="47">
        <f>IF((SUMIFS(tblRuns[Scheduled (min)],tblRuns[View date],"&gt;0"))=0,"",(SUMIFS(tblRuns[Good (units)],tblRuns[View date],"&gt;0")*60)/(SUMIFS(tblRuns[Scheduled (min)],tblRuns[View date],"&gt;0")))</f>
        <v>1181.57777777778</v>
      </c>
      <c r="C8" s="47"/>
      <c r="D8" s="48">
        <f>IF((SUMIFS(tblRuns[Demand (units)],tblRuns[View date],"&gt;0"))=0,"",(SUMIFS(tblRuns[Good (units)],tblRuns[View date],"&gt;0"))/(SUMIFS(tblRuns[Demand (units)],tblRuns[View date],"&gt;0")))</f>
        <v>1.01471374045802</v>
      </c>
      <c r="E8" s="48"/>
      <c r="F8" s="48"/>
      <c r="G8" s="48">
        <f>IF((SUMIFS(tblRuns[Theoretical (units)],tblRuns[View date],"&gt;0"))=0,"",(SUMIFS(tblRuns[Good (units)],tblRuns[View date],"&gt;0"))/(SUMIFS(tblRuns[Theoretical (units)],tblRuns[View date],"&gt;0")))</f>
        <v>0.787718518518519</v>
      </c>
      <c r="H8" s="48"/>
      <c r="I8" s="48"/>
      <c r="J8" s="49" t="str">
        <f>IF(MAX(SUMIFS(tblRuns[Downtime loss (units)],tblRuns[View date],"&gt;0"),SUMIFS(tblRuns[Speed loss (units)],tblRuns[View date],"&gt;0"),SUMIFS(tblRuns[Quality loss (units)],tblRuns[View date],"&gt;0"))&lt;=0,"None in view",IF(SUMIFS(tblRuns[Downtime loss (units)],tblRuns[View date],"&gt;0")&gt;=MAX(SUMIFS(tblRuns[Speed loss (units)],tblRuns[View date],"&gt;0"),SUMIFS(tblRuns[Quality loss (units)],tblRuns[View date],"&gt;0")),"Downtime",IF(SUMIFS(tblRuns[Speed loss (units)],tblRuns[View date],"&gt;0")&gt;=SUMIFS(tblRuns[Quality loss (units)],tblRuns[View date],"&gt;0"),"Slow running","Scrap and rework")))</f>
        <v>Downtime</v>
      </c>
      <c r="K8" s="49"/>
      <c r="L8" s="49"/>
    </row>
    <row r="9" spans="1:12" ht="21" customHeight="1">
      <c r="B9" s="47"/>
      <c r="C9" s="47"/>
      <c r="D9" s="48"/>
      <c r="E9" s="48"/>
      <c r="F9" s="48"/>
      <c r="G9" s="48"/>
      <c r="H9" s="48"/>
      <c r="I9" s="48"/>
      <c r="J9" s="49"/>
      <c r="K9" s="49"/>
      <c r="L9" s="49"/>
    </row>
    <row r="10" spans="1:12">
      <c r="B10" s="50">
        <f>IF((SUMIFS(tblRuns[Scheduled (min)],tblRuns[View date],"&gt;0"))=0,"",(SUMIFS(tblRuns[Demand (units)],tblRuns[View date],"&gt;0")*60)/(SUMIFS(tblRuns[Scheduled (min)],tblRuns[View date],"&gt;0")))</f>
        <v>1164.44444444444</v>
      </c>
      <c r="C10" s="50"/>
      <c r="D10" s="51">
        <f>TargetCov</f>
        <v>1</v>
      </c>
      <c r="E10" s="51"/>
      <c r="F10" s="51"/>
      <c r="G10" s="52" t="s">
        <v>119</v>
      </c>
      <c r="H10" s="52"/>
      <c r="I10" s="52"/>
      <c r="J10" s="52" t="s">
        <v>120</v>
      </c>
      <c r="K10" s="52"/>
      <c r="L10" s="52"/>
    </row>
    <row r="11" spans="1:12" ht="18" customHeight="1">
      <c r="B11" s="53" t="str">
        <f>IF(NOT(ISNUMBER(KpiRate)),"No data",IF(KpiRate&gt;=(IF((SUMIFS(tblRuns[Scheduled (min)],tblRuns[View date],"&gt;0"))=0,"",(SUMIFS(tblRuns[Demand (units)],tblRuns[View date],"&gt;0")*60)/(SUMIFS(tblRuns[Scheduled (min)],tblRuns[View date],"&gt;0")))),"On target",IF(KpiRate&gt;=(IF((SUMIFS(tblRuns[Scheduled (min)],tblRuns[View date],"&gt;0"))=0,"",(SUMIFS(tblRuns[Demand (units)],tblRuns[View date],"&gt;0")*60)/(SUMIFS(tblRuns[Scheduled (min)],tblRuns[View date],"&gt;0"))))*(1-0.05),"Near target","Below target")))</f>
        <v>On target</v>
      </c>
      <c r="C11" s="53"/>
      <c r="D11" s="53" t="str">
        <f>IF(NOT(ISNUMBER(KpiCoverage)),"No data",IF(KpiCoverage&gt;=(TargetCov),"On target",IF(KpiCoverage&gt;=(TargetCov)*(1-0.05),"Near target","Below target")))</f>
        <v>On target</v>
      </c>
      <c r="E11" s="53"/>
      <c r="F11" s="53"/>
      <c r="G11" s="53"/>
      <c r="H11" s="53"/>
      <c r="I11" s="53"/>
      <c r="J11" s="53"/>
      <c r="K11" s="53"/>
      <c r="L11" s="53"/>
    </row>
    <row r="29" spans="2:12" ht="18" customHeight="1">
      <c r="B29" s="46" t="s">
        <v>121</v>
      </c>
      <c r="C29" s="46"/>
      <c r="D29" s="46" t="s">
        <v>122</v>
      </c>
      <c r="E29" s="46"/>
      <c r="F29" s="46"/>
      <c r="G29" s="46" t="s">
        <v>123</v>
      </c>
      <c r="H29" s="46"/>
      <c r="I29" s="46"/>
      <c r="J29" s="46" t="s">
        <v>124</v>
      </c>
      <c r="K29" s="46"/>
      <c r="L29" s="46"/>
    </row>
    <row r="30" spans="2:12" ht="21" customHeight="1">
      <c r="B30" s="47">
        <f>SUMIFS(tblRuns[Good (units)],tblRuns[View date],"&gt;0")</f>
        <v>797565</v>
      </c>
      <c r="C30" s="47"/>
      <c r="D30" s="54">
        <f>IF(SUMIFS(tblRuns[Demand (units)],tblRuns[View date],"&gt;0")=0,"",SUMIFS(tblRuns[Good (units)],tblRuns[View date],"&gt;0")-SUMIFS(tblRuns[Demand (units)],tblRuns[View date],"&gt;0"))</f>
        <v>11565</v>
      </c>
      <c r="E30" s="54"/>
      <c r="F30" s="54"/>
      <c r="G30" s="48">
        <f>IF((SUMIFS(tblRuns[Scheduled (min)],tblRuns[View date],"&gt;0"))=0,"",(SUMIFS(tblRuns[Run (min)],tblRuns[View date],"&gt;0"))/(SUMIFS(tblRuns[Scheduled (min)],tblRuns[View date],"&gt;0")))</f>
        <v>0.86641975308642</v>
      </c>
      <c r="H30" s="48"/>
      <c r="I30" s="48"/>
      <c r="J30" s="48">
        <f>IF((SUMIFS(tblRuns[Total (units)],tblRuns[View date],"&gt;0"))=0,"",(SUMIFS(tblRuns[Good (units)],tblRuns[View date],"&gt;0"))/(SUMIFS(tblRuns[Total (units)],tblRuns[View date],"&gt;0")))</f>
        <v>0.983659630938785</v>
      </c>
      <c r="K30" s="48"/>
      <c r="L30" s="48"/>
    </row>
    <row r="31" spans="2:12" ht="21" customHeight="1">
      <c r="B31" s="47"/>
      <c r="C31" s="47"/>
      <c r="D31" s="54"/>
      <c r="E31" s="54"/>
      <c r="F31" s="54"/>
      <c r="G31" s="48"/>
      <c r="H31" s="48"/>
      <c r="I31" s="48"/>
      <c r="J31" s="48"/>
      <c r="K31" s="48"/>
      <c r="L31" s="48"/>
    </row>
    <row r="32" spans="2:12">
      <c r="B32" s="52" t="s">
        <v>125</v>
      </c>
      <c r="C32" s="52"/>
      <c r="D32" s="52" t="s">
        <v>126</v>
      </c>
      <c r="E32" s="52"/>
      <c r="F32" s="52"/>
      <c r="G32" s="52" t="s">
        <v>127</v>
      </c>
      <c r="H32" s="52"/>
      <c r="I32" s="52"/>
      <c r="J32" s="52" t="s">
        <v>128</v>
      </c>
      <c r="K32" s="52"/>
      <c r="L32" s="52"/>
    </row>
    <row r="33" spans="2:12" ht="18" customHeight="1">
      <c r="B33" s="53"/>
      <c r="C33" s="53"/>
      <c r="D33" s="53"/>
      <c r="E33" s="53"/>
      <c r="F33" s="53"/>
      <c r="G33" s="53"/>
      <c r="H33" s="53"/>
      <c r="I33" s="53"/>
      <c r="J33" s="53"/>
      <c r="K33" s="53"/>
      <c r="L33" s="53"/>
    </row>
    <row r="35" spans="2:12">
      <c r="B35" s="30" t="s">
        <v>129</v>
      </c>
      <c r="C35" s="30"/>
      <c r="D35" s="30"/>
      <c r="E35" s="30"/>
      <c r="F35" s="30"/>
      <c r="G35" s="30"/>
      <c r="H35" s="30"/>
      <c r="I35" s="30"/>
      <c r="J35" s="30"/>
      <c r="K35" s="30"/>
    </row>
    <row r="36" spans="2:12" ht="45.5" customHeight="1">
      <c r="B36" s="55" t="s">
        <v>60</v>
      </c>
      <c r="C36" s="31" t="s">
        <v>95</v>
      </c>
      <c r="D36" s="31" t="s">
        <v>91</v>
      </c>
      <c r="E36" s="31" t="s">
        <v>100</v>
      </c>
      <c r="F36" s="31" t="s">
        <v>101</v>
      </c>
      <c r="G36" s="31" t="s">
        <v>102</v>
      </c>
      <c r="H36" s="31" t="s">
        <v>103</v>
      </c>
      <c r="I36" s="31" t="s">
        <v>130</v>
      </c>
      <c r="J36" s="31" t="s">
        <v>131</v>
      </c>
      <c r="K36" s="31" t="s">
        <v>104</v>
      </c>
    </row>
    <row r="37" spans="2:12">
      <c r="B37" s="56" t="str">
        <f>IFERROR(INDEX(tblLines[Line],1)&amp;"","")</f>
        <v>L1 Bagger</v>
      </c>
      <c r="C37" s="35">
        <f>IF($B$37="","",SUMIFS(tblRuns[Theoretical (units)],tblRuns[Line],$B$37,tblRuns[View date],"&gt;0"))</f>
        <v>540000</v>
      </c>
      <c r="D37" s="35">
        <f>IF($B$37="","",SUMIFS(tblRuns[Good (units)],tblRuns[Line],$B$37,tblRuns[View date],"&gt;0"))</f>
        <v>449568</v>
      </c>
      <c r="E37" s="35">
        <f>IF($B$37="","",SUMIFS(tblRuns[Downtime loss (units)],tblRuns[Line],$B$37,tblRuns[View date],"&gt;0"))</f>
        <v>36800</v>
      </c>
      <c r="F37" s="35">
        <f>IF($B$37="","",SUMIFS(tblRuns[Speed loss (units)],tblRuns[Line],$B$37,tblRuns[View date],"&gt;0"))</f>
        <v>45517</v>
      </c>
      <c r="G37" s="35">
        <f>IF($B$37="","",SUMIFS(tblRuns[Quality loss (units)],tblRuns[Line],$B$37,tblRuns[View date],"&gt;0"))</f>
        <v>8115</v>
      </c>
      <c r="H37" s="39">
        <f>IF($B$37="","",IF((SUMIFS(tblRuns[Demand (units)],tblRuns[Line],$B$37,tblRuns[View date],"&gt;0"))=0,"",(SUMIFS(tblRuns[Good (units)],tblRuns[Line],$B$37,tblRuns[View date],"&gt;0"))/(SUMIFS(tblRuns[Demand (units)],tblRuns[Line],$B$37,tblRuns[View date],"&gt;0"))))</f>
        <v>1.03348965517241</v>
      </c>
      <c r="I37" s="38">
        <f>IF($B$37="","",IFERROR(INDEX(tblLines[Bottleneck cycle (s/unit)],MATCH($B$37,tblLines[Line],0)),""))</f>
        <v>1.5</v>
      </c>
      <c r="J37" s="38">
        <f>IF($B$37="","",IF((SUMIFS(tblRuns[Total (units)],tblRuns[Line],$B$37,tblRuns[View date],"&gt;0")*SUMIFS(tblRuns[Demand (units)],tblRuns[Line],$B$37,tblRuns[View date],"&gt;0"))=0,"",(SUMIFS(tblRuns[Run (min)],tblRuns[Line],$B$37,tblRuns[View date],"&gt;0")*60*SUMIFS(tblRuns[Good (units)],tblRuns[Line],$B$37,tblRuns[View date],"&gt;0"))/(SUMIFS(tblRuns[Total (units)],tblRuns[Line],$B$37,tblRuns[View date],"&gt;0")*SUMIFS(tblRuns[Demand (units)],tblRuns[Line],$B$37,tblRuns[View date],"&gt;0"))))</f>
        <v>1.70440674380333</v>
      </c>
      <c r="K37" s="40" t="str">
        <f>IF($B$37="","",IF(NOT(ISNUMBER($H$37)),"",IF($H$37&gt;=TargetCov,"On target",IF($H$37&gt;=TargetCov*0.95,"Near target","Below target"))))</f>
        <v>On target</v>
      </c>
    </row>
    <row r="38" spans="2:12">
      <c r="B38" s="56" t="str">
        <f>IFERROR(INDEX(tblLines[Line],2)&amp;"","")</f>
        <v>L2 Cartoner</v>
      </c>
      <c r="C38" s="35">
        <f>IF($B$38="","",SUMIFS(tblRuns[Theoretical (units)],tblRuns[Line],$B$38,tblRuns[View date],"&gt;0"))</f>
        <v>270000</v>
      </c>
      <c r="D38" s="35">
        <f>IF($B$38="","",SUMIFS(tblRuns[Good (units)],tblRuns[Line],$B$38,tblRuns[View date],"&gt;0"))</f>
        <v>187791</v>
      </c>
      <c r="E38" s="35">
        <f>IF($B$38="","",SUMIFS(tblRuns[Downtime loss (units)],tblRuns[Line],$B$38,tblRuns[View date],"&gt;0"))</f>
        <v>66800</v>
      </c>
      <c r="F38" s="35">
        <f>IF($B$38="","",SUMIFS(tblRuns[Speed loss (units)],tblRuns[Line],$B$38,tblRuns[View date],"&gt;0"))</f>
        <v>14438</v>
      </c>
      <c r="G38" s="35">
        <f>IF($B$38="","",SUMIFS(tblRuns[Quality loss (units)],tblRuns[Line],$B$38,tblRuns[View date],"&gt;0"))</f>
        <v>971</v>
      </c>
      <c r="H38" s="39">
        <f>IF($B$38="","",IF((SUMIFS(tblRuns[Demand (units)],tblRuns[Line],$B$38,tblRuns[View date],"&gt;0"))=0,"",(SUMIFS(tblRuns[Good (units)],tblRuns[Line],$B$38,tblRuns[View date],"&gt;0"))/(SUMIFS(tblRuns[Demand (units)],tblRuns[Line],$B$38,tblRuns[View date],"&gt;0"))))</f>
        <v>0.948439393939394</v>
      </c>
      <c r="I38" s="38">
        <f>IF($B$38="","",IFERROR(INDEX(tblLines[Bottleneck cycle (s/unit)],MATCH($B$38,tblLines[Line],0)),""))</f>
        <v>3</v>
      </c>
      <c r="J38" s="38">
        <f>IF($B$38="","",IF((SUMIFS(tblRuns[Total (units)],tblRuns[Line],$B$38,tblRuns[View date],"&gt;0")*SUMIFS(tblRuns[Demand (units)],tblRuns[Line],$B$38,tblRuns[View date],"&gt;0"))=0,"",(SUMIFS(tblRuns[Run (min)],tblRuns[Line],$B$38,tblRuns[View date],"&gt;0")*60*SUMIFS(tblRuns[Good (units)],tblRuns[Line],$B$38,tblRuns[View date],"&gt;0"))/(SUMIFS(tblRuns[Total (units)],tblRuns[Line],$B$38,tblRuns[View date],"&gt;0")*SUMIFS(tblRuns[Demand (units)],tblRuns[Line],$B$38,tblRuns[View date],"&gt;0"))))</f>
        <v>3.06295045901958</v>
      </c>
      <c r="K38" s="40" t="str">
        <f>IF($B$38="","",IF(NOT(ISNUMBER($H$38)),"",IF($H$38&gt;=TargetCov,"On target",IF($H$38&gt;=TargetCov*0.95,"Near target","Below target"))))</f>
        <v>Below target</v>
      </c>
    </row>
    <row r="39" spans="2:12">
      <c r="B39" s="56" t="str">
        <f>IFERROR(INDEX(tblLines[Line],3)&amp;"","")</f>
        <v>L3 Tray sealer</v>
      </c>
      <c r="C39" s="35">
        <f>IF($B$39="","",SUMIFS(tblRuns[Theoretical (units)],tblRuns[Line],$B$39,tblRuns[View date],"&gt;0"))</f>
        <v>202500</v>
      </c>
      <c r="D39" s="35">
        <f>IF($B$39="","",SUMIFS(tblRuns[Good (units)],tblRuns[Line],$B$39,tblRuns[View date],"&gt;0"))</f>
        <v>160206</v>
      </c>
      <c r="E39" s="35">
        <f>IF($B$39="","",SUMIFS(tblRuns[Downtime loss (units)],tblRuns[Line],$B$39,tblRuns[View date],"&gt;0"))</f>
        <v>17250</v>
      </c>
      <c r="F39" s="35">
        <f>IF($B$39="","",SUMIFS(tblRuns[Speed loss (units)],tblRuns[Line],$B$39,tblRuns[View date],"&gt;0"))</f>
        <v>20881</v>
      </c>
      <c r="G39" s="35">
        <f>IF($B$39="","",SUMIFS(tblRuns[Quality loss (units)],tblRuns[Line],$B$39,tblRuns[View date],"&gt;0"))</f>
        <v>4163</v>
      </c>
      <c r="H39" s="39">
        <f>IF($B$39="","",IF((SUMIFS(tblRuns[Demand (units)],tblRuns[Line],$B$39,tblRuns[View date],"&gt;0"))=0,"",(SUMIFS(tblRuns[Good (units)],tblRuns[Line],$B$39,tblRuns[View date],"&gt;0"))/(SUMIFS(tblRuns[Demand (units)],tblRuns[Line],$B$39,tblRuns[View date],"&gt;0"))))</f>
        <v>1.04709803921569</v>
      </c>
      <c r="I39" s="38">
        <f>IF($B$39="","",IFERROR(INDEX(tblLines[Bottleneck cycle (s/unit)],MATCH($B$39,tblLines[Line],0)),""))</f>
        <v>4</v>
      </c>
      <c r="J39" s="38">
        <f>IF($B$39="","",IF((SUMIFS(tblRuns[Total (units)],tblRuns[Line],$B$39,tblRuns[View date],"&gt;0")*SUMIFS(tblRuns[Demand (units)],tblRuns[Line],$B$39,tblRuns[View date],"&gt;0"))=0,"",(SUMIFS(tblRuns[Run (min)],tblRuns[Line],$B$39,tblRuns[View date],"&gt;0")*60*SUMIFS(tblRuns[Good (units)],tblRuns[Line],$B$39,tblRuns[View date],"&gt;0"))/(SUMIFS(tblRuns[Total (units)],tblRuns[Line],$B$39,tblRuns[View date],"&gt;0")*SUMIFS(tblRuns[Demand (units)],tblRuns[Line],$B$39,tblRuns[View date],"&gt;0"))))</f>
        <v>4.72047434162661</v>
      </c>
      <c r="K39" s="40" t="str">
        <f>IF($B$39="","",IF(NOT(ISNUMBER($H$39)),"",IF($H$39&gt;=TargetCov,"On target",IF($H$39&gt;=TargetCov*0.95,"Near target","Below target"))))</f>
        <v>On target</v>
      </c>
    </row>
    <row r="41" spans="2:12">
      <c r="B41" s="30" t="s">
        <v>132</v>
      </c>
      <c r="C41" s="30"/>
      <c r="D41" s="30"/>
      <c r="E41" s="30"/>
      <c r="F41" s="30"/>
      <c r="G41" s="30"/>
      <c r="H41" s="30"/>
      <c r="I41" s="30"/>
      <c r="J41" s="30"/>
    </row>
    <row r="42" spans="2:12" ht="32" customHeight="1">
      <c r="B42" s="55" t="s">
        <v>87</v>
      </c>
      <c r="C42" s="31" t="s">
        <v>133</v>
      </c>
      <c r="D42" s="31" t="s">
        <v>91</v>
      </c>
      <c r="E42" s="31" t="s">
        <v>93</v>
      </c>
      <c r="F42" s="31" t="s">
        <v>103</v>
      </c>
      <c r="G42" s="31" t="s">
        <v>96</v>
      </c>
      <c r="H42" s="31" t="s">
        <v>97</v>
      </c>
      <c r="I42" s="31" t="s">
        <v>98</v>
      </c>
      <c r="J42" s="31" t="s">
        <v>99</v>
      </c>
    </row>
    <row r="43" spans="2:12">
      <c r="B43" s="57">
        <f>IF($B$44="","",IFERROR(LARGE(tblRuns[View date],COUNTIF(tblRuns[View date],"&gt;="&amp;$B$44)+1),""))</f>
        <v>46286</v>
      </c>
      <c r="C43" s="58">
        <f>IF($B$43="","",SUMIFS(tblRuns[Scheduled (min)],tblRuns[View date],$B$43)/60)</f>
        <v>45</v>
      </c>
      <c r="D43" s="35">
        <f>IF($B$43="","",SUMIFS(tblRuns[Good (units)],tblRuns[View date],$B$43))</f>
        <v>50500</v>
      </c>
      <c r="E43" s="35">
        <f>IF($B$43="","",SUMIFS(tblRuns[Demand (units)],tblRuns[View date],$B$43))</f>
        <v>52400</v>
      </c>
      <c r="F43" s="39">
        <f>IF($B$43="","",IF((SUMIFS(tblRuns[Demand (units)],tblRuns[View date],$B$43))=0,"",(SUMIFS(tblRuns[Good (units)],tblRuns[View date],$B$43))/(SUMIFS(tblRuns[Demand (units)],tblRuns[View date],$B$43))))</f>
        <v>0.963740458015267</v>
      </c>
      <c r="G43" s="35">
        <f>IF($B$43="","",IF((SUMIFS(tblRuns[Scheduled (min)],tblRuns[View date],$B$43))=0,"",(SUMIFS(tblRuns[Good (units)],tblRuns[View date],$B$43)*60)/(SUMIFS(tblRuns[Scheduled (min)],tblRuns[View date],$B$43))))</f>
        <v>1122.22222222222</v>
      </c>
      <c r="H43" s="39">
        <f>IF($B$43="","",IF((SUMIFS(tblRuns[Scheduled (min)],tblRuns[View date],$B$43))=0,"",(SUMIFS(tblRuns[Run (min)],tblRuns[View date],$B$43))/(SUMIFS(tblRuns[Scheduled (min)],tblRuns[View date],$B$43))))</f>
        <v>0.827777777777778</v>
      </c>
      <c r="I43" s="39">
        <f>IF($B$43="","",IF((SUMIFS(tblRuns[Total (units)],tblRuns[View date],$B$43))=0,"",(SUMIFS(tblRuns[Good (units)],tblRuns[View date],$B$43))/(SUMIFS(tblRuns[Total (units)],tblRuns[View date],$B$43))))</f>
        <v>0.979517417953294</v>
      </c>
      <c r="J43" s="39">
        <f>IF($B$43="","",IF((SUMIFS(tblRuns[Theoretical (units)],tblRuns[View date],$B$43))=0,"",(SUMIFS(tblRuns[Good (units)],tblRuns[View date],$B$43))/(SUMIFS(tblRuns[Theoretical (units)],tblRuns[View date],$B$43))))</f>
        <v>0.748148148148148</v>
      </c>
    </row>
    <row r="44" spans="2:12">
      <c r="B44" s="57">
        <f>IF($B$45="","",IFERROR(LARGE(tblRuns[View date],COUNTIF(tblRuns[View date],"&gt;="&amp;$B$45)+1),""))</f>
        <v>46287</v>
      </c>
      <c r="C44" s="58">
        <f>IF($B$44="","",SUMIFS(tblRuns[Scheduled (min)],tblRuns[View date],$B$44)/60)</f>
        <v>45</v>
      </c>
      <c r="D44" s="35">
        <f>IF($B$44="","",SUMIFS(tblRuns[Good (units)],tblRuns[View date],$B$44))</f>
        <v>51943</v>
      </c>
      <c r="E44" s="35">
        <f>IF($B$44="","",SUMIFS(tblRuns[Demand (units)],tblRuns[View date],$B$44))</f>
        <v>52400</v>
      </c>
      <c r="F44" s="39">
        <f>IF($B$44="","",IF((SUMIFS(tblRuns[Demand (units)],tblRuns[View date],$B$44))=0,"",(SUMIFS(tblRuns[Good (units)],tblRuns[View date],$B$44))/(SUMIFS(tblRuns[Demand (units)],tblRuns[View date],$B$44))))</f>
        <v>0.991278625954199</v>
      </c>
      <c r="G44" s="35">
        <f>IF($B$44="","",IF((SUMIFS(tblRuns[Scheduled (min)],tblRuns[View date],$B$44))=0,"",(SUMIFS(tblRuns[Good (units)],tblRuns[View date],$B$44)*60)/(SUMIFS(tblRuns[Scheduled (min)],tblRuns[View date],$B$44))))</f>
        <v>1154.28888888889</v>
      </c>
      <c r="H44" s="39">
        <f>IF($B$44="","",IF((SUMIFS(tblRuns[Scheduled (min)],tblRuns[View date],$B$44))=0,"",(SUMIFS(tblRuns[Run (min)],tblRuns[View date],$B$44))/(SUMIFS(tblRuns[Scheduled (min)],tblRuns[View date],$B$44))))</f>
        <v>0.874074074074074</v>
      </c>
      <c r="I44" s="39">
        <f>IF($B$44="","",IF((SUMIFS(tblRuns[Total (units)],tblRuns[View date],$B$44))=0,"",(SUMIFS(tblRuns[Good (units)],tblRuns[View date],$B$44))/(SUMIFS(tblRuns[Total (units)],tblRuns[View date],$B$44))))</f>
        <v>0.983191686699097</v>
      </c>
      <c r="J44" s="39">
        <f>IF($B$44="","",IF((SUMIFS(tblRuns[Theoretical (units)],tblRuns[View date],$B$44))=0,"",(SUMIFS(tblRuns[Good (units)],tblRuns[View date],$B$44))/(SUMIFS(tblRuns[Theoretical (units)],tblRuns[View date],$B$44))))</f>
        <v>0.769525925925926</v>
      </c>
    </row>
    <row r="45" spans="2:12">
      <c r="B45" s="57">
        <f>IF($B$46="","",IFERROR(LARGE(tblRuns[View date],COUNTIF(tblRuns[View date],"&gt;="&amp;$B$46)+1),""))</f>
        <v>46288</v>
      </c>
      <c r="C45" s="58">
        <f>IF($B$45="","",SUMIFS(tblRuns[Scheduled (min)],tblRuns[View date],$B$45)/60)</f>
        <v>45</v>
      </c>
      <c r="D45" s="35">
        <f>IF($B$45="","",SUMIFS(tblRuns[Good (units)],tblRuns[View date],$B$45))</f>
        <v>53730</v>
      </c>
      <c r="E45" s="35">
        <f>IF($B$45="","",SUMIFS(tblRuns[Demand (units)],tblRuns[View date],$B$45))</f>
        <v>52400</v>
      </c>
      <c r="F45" s="39">
        <f>IF($B$45="","",IF((SUMIFS(tblRuns[Demand (units)],tblRuns[View date],$B$45))=0,"",(SUMIFS(tblRuns[Good (units)],tblRuns[View date],$B$45))/(SUMIFS(tblRuns[Demand (units)],tblRuns[View date],$B$45))))</f>
        <v>1.02538167938931</v>
      </c>
      <c r="G45" s="35">
        <f>IF($B$45="","",IF((SUMIFS(tblRuns[Scheduled (min)],tblRuns[View date],$B$45))=0,"",(SUMIFS(tblRuns[Good (units)],tblRuns[View date],$B$45)*60)/(SUMIFS(tblRuns[Scheduled (min)],tblRuns[View date],$B$45))))</f>
        <v>1194</v>
      </c>
      <c r="H45" s="39">
        <f>IF($B$45="","",IF((SUMIFS(tblRuns[Scheduled (min)],tblRuns[View date],$B$45))=0,"",(SUMIFS(tblRuns[Run (min)],tblRuns[View date],$B$45))/(SUMIFS(tblRuns[Scheduled (min)],tblRuns[View date],$B$45))))</f>
        <v>0.883333333333333</v>
      </c>
      <c r="I45" s="39">
        <f>IF($B$45="","",IF((SUMIFS(tblRuns[Total (units)],tblRuns[View date],$B$45))=0,"",(SUMIFS(tblRuns[Good (units)],tblRuns[View date],$B$45))/(SUMIFS(tblRuns[Total (units)],tblRuns[View date],$B$45))))</f>
        <v>0.983237565421074</v>
      </c>
      <c r="J45" s="39">
        <f>IF($B$45="","",IF((SUMIFS(tblRuns[Theoretical (units)],tblRuns[View date],$B$45))=0,"",(SUMIFS(tblRuns[Good (units)],tblRuns[View date],$B$45))/(SUMIFS(tblRuns[Theoretical (units)],tblRuns[View date],$B$45))))</f>
        <v>0.796</v>
      </c>
    </row>
    <row r="46" spans="2:12">
      <c r="B46" s="57">
        <f>IF($B$47="","",IFERROR(LARGE(tblRuns[View date],COUNTIF(tblRuns[View date],"&gt;="&amp;$B$47)+1),""))</f>
        <v>46289</v>
      </c>
      <c r="C46" s="58">
        <f>IF($B$46="","",SUMIFS(tblRuns[Scheduled (min)],tblRuns[View date],$B$46)/60)</f>
        <v>45</v>
      </c>
      <c r="D46" s="35">
        <f>IF($B$46="","",SUMIFS(tblRuns[Good (units)],tblRuns[View date],$B$46))</f>
        <v>52579</v>
      </c>
      <c r="E46" s="35">
        <f>IF($B$46="","",SUMIFS(tblRuns[Demand (units)],tblRuns[View date],$B$46))</f>
        <v>52400</v>
      </c>
      <c r="F46" s="39">
        <f>IF($B$46="","",IF((SUMIFS(tblRuns[Demand (units)],tblRuns[View date],$B$46))=0,"",(SUMIFS(tblRuns[Good (units)],tblRuns[View date],$B$46))/(SUMIFS(tblRuns[Demand (units)],tblRuns[View date],$B$46))))</f>
        <v>1.00341603053435</v>
      </c>
      <c r="G46" s="35">
        <f>IF($B$46="","",IF((SUMIFS(tblRuns[Scheduled (min)],tblRuns[View date],$B$46))=0,"",(SUMIFS(tblRuns[Good (units)],tblRuns[View date],$B$46)*60)/(SUMIFS(tblRuns[Scheduled (min)],tblRuns[View date],$B$46))))</f>
        <v>1168.42222222222</v>
      </c>
      <c r="H46" s="39">
        <f>IF($B$46="","",IF((SUMIFS(tblRuns[Scheduled (min)],tblRuns[View date],$B$46))=0,"",(SUMIFS(tblRuns[Run (min)],tblRuns[View date],$B$46))/(SUMIFS(tblRuns[Scheduled (min)],tblRuns[View date],$B$46))))</f>
        <v>0.877777777777778</v>
      </c>
      <c r="I46" s="39">
        <f>IF($B$46="","",IF((SUMIFS(tblRuns[Total (units)],tblRuns[View date],$B$46))=0,"",(SUMIFS(tblRuns[Good (units)],tblRuns[View date],$B$46))/(SUMIFS(tblRuns[Total (units)],tblRuns[View date],$B$46))))</f>
        <v>0.98675049263395</v>
      </c>
      <c r="J46" s="39">
        <f>IF($B$46="","",IF((SUMIFS(tblRuns[Theoretical (units)],tblRuns[View date],$B$46))=0,"",(SUMIFS(tblRuns[Good (units)],tblRuns[View date],$B$46))/(SUMIFS(tblRuns[Theoretical (units)],tblRuns[View date],$B$46))))</f>
        <v>0.778948148148148</v>
      </c>
    </row>
    <row r="47" spans="2:12">
      <c r="B47" s="57">
        <f>IF($B$48="","",IFERROR(LARGE(tblRuns[View date],COUNTIF(tblRuns[View date],"&gt;="&amp;$B$48)+1),""))</f>
        <v>46290</v>
      </c>
      <c r="C47" s="58">
        <f>IF($B$47="","",SUMIFS(tblRuns[Scheduled (min)],tblRuns[View date],$B$47)/60)</f>
        <v>45</v>
      </c>
      <c r="D47" s="35">
        <f>IF($B$47="","",SUMIFS(tblRuns[Good (units)],tblRuns[View date],$B$47))</f>
        <v>51967</v>
      </c>
      <c r="E47" s="35">
        <f>IF($B$47="","",SUMIFS(tblRuns[Demand (units)],tblRuns[View date],$B$47))</f>
        <v>52400</v>
      </c>
      <c r="F47" s="39">
        <f>IF($B$47="","",IF((SUMIFS(tblRuns[Demand (units)],tblRuns[View date],$B$47))=0,"",(SUMIFS(tblRuns[Good (units)],tblRuns[View date],$B$47))/(SUMIFS(tblRuns[Demand (units)],tblRuns[View date],$B$47))))</f>
        <v>0.991736641221374</v>
      </c>
      <c r="G47" s="35">
        <f>IF($B$47="","",IF((SUMIFS(tblRuns[Scheduled (min)],tblRuns[View date],$B$47))=0,"",(SUMIFS(tblRuns[Good (units)],tblRuns[View date],$B$47)*60)/(SUMIFS(tblRuns[Scheduled (min)],tblRuns[View date],$B$47))))</f>
        <v>1154.82222222222</v>
      </c>
      <c r="H47" s="39">
        <f>IF($B$47="","",IF((SUMIFS(tblRuns[Scheduled (min)],tblRuns[View date],$B$47))=0,"",(SUMIFS(tblRuns[Run (min)],tblRuns[View date],$B$47))/(SUMIFS(tblRuns[Scheduled (min)],tblRuns[View date],$B$47))))</f>
        <v>0.875925925925926</v>
      </c>
      <c r="I47" s="39">
        <f>IF($B$47="","",IF((SUMIFS(tblRuns[Total (units)],tblRuns[View date],$B$47))=0,"",(SUMIFS(tblRuns[Good (units)],tblRuns[View date],$B$47))/(SUMIFS(tblRuns[Total (units)],tblRuns[View date],$B$47))))</f>
        <v>0.984857673501876</v>
      </c>
      <c r="J47" s="39">
        <f>IF($B$47="","",IF((SUMIFS(tblRuns[Theoretical (units)],tblRuns[View date],$B$47))=0,"",(SUMIFS(tblRuns[Good (units)],tblRuns[View date],$B$47))/(SUMIFS(tblRuns[Theoretical (units)],tblRuns[View date],$B$47))))</f>
        <v>0.769881481481482</v>
      </c>
    </row>
    <row r="48" spans="2:12">
      <c r="B48" s="57">
        <f>IF($B$49="","",IFERROR(LARGE(tblRuns[View date],COUNTIF(tblRuns[View date],"&gt;="&amp;$B$49)+1),""))</f>
        <v>46293</v>
      </c>
      <c r="C48" s="58">
        <f>IF($B$48="","",SUMIFS(tblRuns[Scheduled (min)],tblRuns[View date],$B$48)/60)</f>
        <v>45</v>
      </c>
      <c r="D48" s="35">
        <f>IF($B$48="","",SUMIFS(tblRuns[Good (units)],tblRuns[View date],$B$48))</f>
        <v>54687</v>
      </c>
      <c r="E48" s="35">
        <f>IF($B$48="","",SUMIFS(tblRuns[Demand (units)],tblRuns[View date],$B$48))</f>
        <v>52400</v>
      </c>
      <c r="F48" s="39">
        <f>IF($B$48="","",IF((SUMIFS(tblRuns[Demand (units)],tblRuns[View date],$B$48))=0,"",(SUMIFS(tblRuns[Good (units)],tblRuns[View date],$B$48))/(SUMIFS(tblRuns[Demand (units)],tblRuns[View date],$B$48))))</f>
        <v>1.04364503816794</v>
      </c>
      <c r="G48" s="35">
        <f>IF($B$48="","",IF((SUMIFS(tblRuns[Scheduled (min)],tblRuns[View date],$B$48))=0,"",(SUMIFS(tblRuns[Good (units)],tblRuns[View date],$B$48)*60)/(SUMIFS(tblRuns[Scheduled (min)],tblRuns[View date],$B$48))))</f>
        <v>1215.26666666667</v>
      </c>
      <c r="H48" s="39">
        <f>IF($B$48="","",IF((SUMIFS(tblRuns[Scheduled (min)],tblRuns[View date],$B$48))=0,"",(SUMIFS(tblRuns[Run (min)],tblRuns[View date],$B$48))/(SUMIFS(tblRuns[Scheduled (min)],tblRuns[View date],$B$48))))</f>
        <v>0.87037037037037</v>
      </c>
      <c r="I48" s="39">
        <f>IF($B$48="","",IF((SUMIFS(tblRuns[Total (units)],tblRuns[View date],$B$48))=0,"",(SUMIFS(tblRuns[Good (units)],tblRuns[View date],$B$48))/(SUMIFS(tblRuns[Total (units)],tblRuns[View date],$B$48))))</f>
        <v>0.987379482179612</v>
      </c>
      <c r="J48" s="39">
        <f>IF($B$48="","",IF((SUMIFS(tblRuns[Theoretical (units)],tblRuns[View date],$B$48))=0,"",(SUMIFS(tblRuns[Good (units)],tblRuns[View date],$B$48))/(SUMIFS(tblRuns[Theoretical (units)],tblRuns[View date],$B$48))))</f>
        <v>0.810177777777778</v>
      </c>
    </row>
    <row r="49" spans="2:12">
      <c r="B49" s="57">
        <f>IF($B$50="","",IFERROR(LARGE(tblRuns[View date],COUNTIF(tblRuns[View date],"&gt;="&amp;$B$50)+1),""))</f>
        <v>46294</v>
      </c>
      <c r="C49" s="58">
        <f>IF($B$49="","",SUMIFS(tblRuns[Scheduled (min)],tblRuns[View date],$B$49)/60)</f>
        <v>45</v>
      </c>
      <c r="D49" s="35">
        <f>IF($B$49="","",SUMIFS(tblRuns[Good (units)],tblRuns[View date],$B$49))</f>
        <v>51965</v>
      </c>
      <c r="E49" s="35">
        <f>IF($B$49="","",SUMIFS(tblRuns[Demand (units)],tblRuns[View date],$B$49))</f>
        <v>52400</v>
      </c>
      <c r="F49" s="39">
        <f>IF($B$49="","",IF((SUMIFS(tblRuns[Demand (units)],tblRuns[View date],$B$49))=0,"",(SUMIFS(tblRuns[Good (units)],tblRuns[View date],$B$49))/(SUMIFS(tblRuns[Demand (units)],tblRuns[View date],$B$49))))</f>
        <v>0.991698473282443</v>
      </c>
      <c r="G49" s="35">
        <f>IF($B$49="","",IF((SUMIFS(tblRuns[Scheduled (min)],tblRuns[View date],$B$49))=0,"",(SUMIFS(tblRuns[Good (units)],tblRuns[View date],$B$49)*60)/(SUMIFS(tblRuns[Scheduled (min)],tblRuns[View date],$B$49))))</f>
        <v>1154.77777777778</v>
      </c>
      <c r="H49" s="39">
        <f>IF($B$49="","",IF((SUMIFS(tblRuns[Scheduled (min)],tblRuns[View date],$B$49))=0,"",(SUMIFS(tblRuns[Run (min)],tblRuns[View date],$B$49))/(SUMIFS(tblRuns[Scheduled (min)],tblRuns[View date],$B$49))))</f>
        <v>0.837037037037037</v>
      </c>
      <c r="I49" s="39">
        <f>IF($B$49="","",IF((SUMIFS(tblRuns[Total (units)],tblRuns[View date],$B$49))=0,"",(SUMIFS(tblRuns[Good (units)],tblRuns[View date],$B$49))/(SUMIFS(tblRuns[Total (units)],tblRuns[View date],$B$49))))</f>
        <v>0.980305231187157</v>
      </c>
      <c r="J49" s="39">
        <f>IF($B$49="","",IF((SUMIFS(tblRuns[Theoretical (units)],tblRuns[View date],$B$49))=0,"",(SUMIFS(tblRuns[Good (units)],tblRuns[View date],$B$49))/(SUMIFS(tblRuns[Theoretical (units)],tblRuns[View date],$B$49))))</f>
        <v>0.769851851851852</v>
      </c>
    </row>
    <row r="50" spans="2:12">
      <c r="B50" s="57">
        <f>IF($B$51="","",IFERROR(LARGE(tblRuns[View date],COUNTIF(tblRuns[View date],"&gt;="&amp;$B$51)+1),""))</f>
        <v>46295</v>
      </c>
      <c r="C50" s="58">
        <f>IF($B$50="","",SUMIFS(tblRuns[Scheduled (min)],tblRuns[View date],$B$50)/60)</f>
        <v>45</v>
      </c>
      <c r="D50" s="35">
        <f>IF($B$50="","",SUMIFS(tblRuns[Good (units)],tblRuns[View date],$B$50))</f>
        <v>55339</v>
      </c>
      <c r="E50" s="35">
        <f>IF($B$50="","",SUMIFS(tblRuns[Demand (units)],tblRuns[View date],$B$50))</f>
        <v>52400</v>
      </c>
      <c r="F50" s="39">
        <f>IF($B$50="","",IF((SUMIFS(tblRuns[Demand (units)],tblRuns[View date],$B$50))=0,"",(SUMIFS(tblRuns[Good (units)],tblRuns[View date],$B$50))/(SUMIFS(tblRuns[Demand (units)],tblRuns[View date],$B$50))))</f>
        <v>1.05608778625954</v>
      </c>
      <c r="G50" s="35">
        <f>IF($B$50="","",IF((SUMIFS(tblRuns[Scheduled (min)],tblRuns[View date],$B$50))=0,"",(SUMIFS(tblRuns[Good (units)],tblRuns[View date],$B$50)*60)/(SUMIFS(tblRuns[Scheduled (min)],tblRuns[View date],$B$50))))</f>
        <v>1229.75555555556</v>
      </c>
      <c r="H50" s="39">
        <f>IF($B$50="","",IF((SUMIFS(tblRuns[Scheduled (min)],tblRuns[View date],$B$50))=0,"",(SUMIFS(tblRuns[Run (min)],tblRuns[View date],$B$50))/(SUMIFS(tblRuns[Scheduled (min)],tblRuns[View date],$B$50))))</f>
        <v>0.894444444444445</v>
      </c>
      <c r="I50" s="39">
        <f>IF($B$50="","",IF((SUMIFS(tblRuns[Total (units)],tblRuns[View date],$B$50))=0,"",(SUMIFS(tblRuns[Good (units)],tblRuns[View date],$B$50))/(SUMIFS(tblRuns[Total (units)],tblRuns[View date],$B$50))))</f>
        <v>0.983052955074343</v>
      </c>
      <c r="J50" s="39">
        <f>IF($B$50="","",IF((SUMIFS(tblRuns[Theoretical (units)],tblRuns[View date],$B$50))=0,"",(SUMIFS(tblRuns[Good (units)],tblRuns[View date],$B$50))/(SUMIFS(tblRuns[Theoretical (units)],tblRuns[View date],$B$50))))</f>
        <v>0.819837037037037</v>
      </c>
    </row>
    <row r="51" spans="2:12">
      <c r="B51" s="57">
        <f>IF($B$52="","",IFERROR(LARGE(tblRuns[View date],COUNTIF(tblRuns[View date],"&gt;="&amp;$B$52)+1),""))</f>
        <v>46296</v>
      </c>
      <c r="C51" s="58">
        <f>IF($B$51="","",SUMIFS(tblRuns[Scheduled (min)],tblRuns[View date],$B$51)/60)</f>
        <v>45</v>
      </c>
      <c r="D51" s="35">
        <f>IF($B$51="","",SUMIFS(tblRuns[Good (units)],tblRuns[View date],$B$51))</f>
        <v>53321</v>
      </c>
      <c r="E51" s="35">
        <f>IF($B$51="","",SUMIFS(tblRuns[Demand (units)],tblRuns[View date],$B$51))</f>
        <v>52400</v>
      </c>
      <c r="F51" s="39">
        <f>IF($B$51="","",IF((SUMIFS(tblRuns[Demand (units)],tblRuns[View date],$B$51))=0,"",(SUMIFS(tblRuns[Good (units)],tblRuns[View date],$B$51))/(SUMIFS(tblRuns[Demand (units)],tblRuns[View date],$B$51))))</f>
        <v>1.01757633587786</v>
      </c>
      <c r="G51" s="35">
        <f>IF($B$51="","",IF((SUMIFS(tblRuns[Scheduled (min)],tblRuns[View date],$B$51))=0,"",(SUMIFS(tblRuns[Good (units)],tblRuns[View date],$B$51)*60)/(SUMIFS(tblRuns[Scheduled (min)],tblRuns[View date],$B$51))))</f>
        <v>1184.91111111111</v>
      </c>
      <c r="H51" s="39">
        <f>IF($B$51="","",IF((SUMIFS(tblRuns[Scheduled (min)],tblRuns[View date],$B$51))=0,"",(SUMIFS(tblRuns[Run (min)],tblRuns[View date],$B$51))/(SUMIFS(tblRuns[Scheduled (min)],tblRuns[View date],$B$51))))</f>
        <v>0.862962962962963</v>
      </c>
      <c r="I51" s="39">
        <f>IF($B$51="","",IF((SUMIFS(tblRuns[Total (units)],tblRuns[View date],$B$51))=0,"",(SUMIFS(tblRuns[Good (units)],tblRuns[View date],$B$51))/(SUMIFS(tblRuns[Total (units)],tblRuns[View date],$B$51))))</f>
        <v>0.984381634574557</v>
      </c>
      <c r="J51" s="39">
        <f>IF($B$51="","",IF((SUMIFS(tblRuns[Theoretical (units)],tblRuns[View date],$B$51))=0,"",(SUMIFS(tblRuns[Good (units)],tblRuns[View date],$B$51))/(SUMIFS(tblRuns[Theoretical (units)],tblRuns[View date],$B$51))))</f>
        <v>0.789940740740741</v>
      </c>
    </row>
    <row r="52" spans="2:12">
      <c r="B52" s="57">
        <f>IF(COUNT(tblRuns[View date])=0,"",MAX(tblRuns[View date]))</f>
        <v>46297</v>
      </c>
      <c r="C52" s="58">
        <f>IF($B$52="","",SUMIFS(tblRuns[Scheduled (min)],tblRuns[View date],$B$52)/60)</f>
        <v>45</v>
      </c>
      <c r="D52" s="35">
        <f>IF($B$52="","",SUMIFS(tblRuns[Good (units)],tblRuns[View date],$B$52))</f>
        <v>54768</v>
      </c>
      <c r="E52" s="35">
        <f>IF($B$52="","",SUMIFS(tblRuns[Demand (units)],tblRuns[View date],$B$52))</f>
        <v>52400</v>
      </c>
      <c r="F52" s="39">
        <f>IF($B$52="","",IF((SUMIFS(tblRuns[Demand (units)],tblRuns[View date],$B$52))=0,"",(SUMIFS(tblRuns[Good (units)],tblRuns[View date],$B$52))/(SUMIFS(tblRuns[Demand (units)],tblRuns[View date],$B$52))))</f>
        <v>1.04519083969466</v>
      </c>
      <c r="G52" s="35">
        <f>IF($B$52="","",IF((SUMIFS(tblRuns[Scheduled (min)],tblRuns[View date],$B$52))=0,"",(SUMIFS(tblRuns[Good (units)],tblRuns[View date],$B$52)*60)/(SUMIFS(tblRuns[Scheduled (min)],tblRuns[View date],$B$52))))</f>
        <v>1217.06666666667</v>
      </c>
      <c r="H52" s="39">
        <f>IF($B$52="","",IF((SUMIFS(tblRuns[Scheduled (min)],tblRuns[View date],$B$52))=0,"",(SUMIFS(tblRuns[Run (min)],tblRuns[View date],$B$52))/(SUMIFS(tblRuns[Scheduled (min)],tblRuns[View date],$B$52))))</f>
        <v>0.875925925925926</v>
      </c>
      <c r="I52" s="39">
        <f>IF($B$52="","",IF((SUMIFS(tblRuns[Total (units)],tblRuns[View date],$B$52))=0,"",(SUMIFS(tblRuns[Good (units)],tblRuns[View date],$B$52))/(SUMIFS(tblRuns[Total (units)],tblRuns[View date],$B$52))))</f>
        <v>0.985780625652471</v>
      </c>
      <c r="J52" s="39">
        <f>IF($B$52="","",IF((SUMIFS(tblRuns[Theoretical (units)],tblRuns[View date],$B$52))=0,"",(SUMIFS(tblRuns[Good (units)],tblRuns[View date],$B$52))/(SUMIFS(tblRuns[Theoretical (units)],tblRuns[View date],$B$52))))</f>
        <v>0.811377777777778</v>
      </c>
    </row>
    <row r="54" spans="2:12">
      <c r="B54" s="30" t="s">
        <v>134</v>
      </c>
      <c r="C54" s="30"/>
      <c r="D54" s="30"/>
      <c r="E54" s="30"/>
      <c r="F54" s="30"/>
      <c r="H54" s="30" t="s">
        <v>135</v>
      </c>
      <c r="I54" s="30"/>
      <c r="J54" s="30"/>
      <c r="K54" s="30"/>
      <c r="L54" s="30"/>
    </row>
    <row r="55" spans="2:12" ht="32" customHeight="1">
      <c r="B55" s="55" t="s">
        <v>60</v>
      </c>
      <c r="C55" s="31" t="s">
        <v>136</v>
      </c>
      <c r="D55" s="31" t="s">
        <v>137</v>
      </c>
      <c r="E55" s="31" t="s">
        <v>138</v>
      </c>
      <c r="F55" s="31" t="s">
        <v>139</v>
      </c>
      <c r="H55" s="55" t="s">
        <v>66</v>
      </c>
      <c r="I55" s="31" t="s">
        <v>91</v>
      </c>
      <c r="J55" s="31" t="s">
        <v>140</v>
      </c>
      <c r="K55" s="31" t="s">
        <v>97</v>
      </c>
      <c r="L55" s="31" t="s">
        <v>141</v>
      </c>
    </row>
    <row r="56" spans="2:12">
      <c r="B56" s="56" t="str">
        <f>INDEX($B$37:$B$39,1)</f>
        <v>L1 Bagger</v>
      </c>
      <c r="C56" s="39">
        <f>IF(N($C$37)=0,"",$D$37/$C$37)</f>
        <v>0.832533333333333</v>
      </c>
      <c r="D56" s="39">
        <f>IF(N($C$37)=0,"",$E$37/$C$37)</f>
        <v>0.0681481481481482</v>
      </c>
      <c r="E56" s="39">
        <f>IF(N($C$37)=0,"",$F$37/$C$37)</f>
        <v>0.0842907407407407</v>
      </c>
      <c r="F56" s="39">
        <f>IF(N($C$37)=0,"",$G$37/$C$37)</f>
        <v>0.0150277777777778</v>
      </c>
      <c r="H56" s="56" t="str">
        <f>IFERROR(INDEX(tblShiftList[Shift],1)&amp;"","")</f>
        <v>Early</v>
      </c>
      <c r="I56" s="35">
        <f>IF($H$56="","",SUMIFS(tblRuns[Good (units)],tblRuns[Shift],$H$56,tblRuns[View date],"&gt;0"))</f>
        <v>399312</v>
      </c>
      <c r="J56" s="39">
        <f>IF($H$56="","",IF((SUMIFS(tblRuns[Demand (units)],tblRuns[Shift],$H$56,tblRuns[View date],"&gt;0"))=0,"",(SUMIFS(tblRuns[Good (units)],tblRuns[Shift],$H$56,tblRuns[View date],"&gt;0"))/(SUMIFS(tblRuns[Demand (units)],tblRuns[Shift],$H$56,tblRuns[View date],"&gt;0"))))</f>
        <v>1.01606106870229</v>
      </c>
      <c r="K56" s="39">
        <f>IF($H$56="","",IF((SUMIFS(tblRuns[Scheduled (min)],tblRuns[Shift],$H$56,tblRuns[View date],"&gt;0"))=0,"",(SUMIFS(tblRuns[Run (min)],tblRuns[Shift],$H$56,tblRuns[View date],"&gt;0"))/(SUMIFS(tblRuns[Scheduled (min)],tblRuns[Shift],$H$56,tblRuns[View date],"&gt;0"))))</f>
        <v>0.86641975308642</v>
      </c>
      <c r="L56" s="39">
        <f>IF($H$56="","",IF((SUMIFS(tblRuns[Theoretical (units)],tblRuns[Shift],$H$56,tblRuns[View date],"&gt;0"))=0,"",(SUMIFS(tblRuns[Good (units)],tblRuns[Shift],$H$56,tblRuns[View date],"&gt;0"))/(SUMIFS(tblRuns[Theoretical (units)],tblRuns[Shift],$H$56,tblRuns[View date],"&gt;0"))))</f>
        <v>0.788764444444445</v>
      </c>
    </row>
    <row r="57" spans="2:12">
      <c r="B57" s="56" t="str">
        <f>INDEX($B$37:$B$39,2)</f>
        <v>L2 Cartoner</v>
      </c>
      <c r="C57" s="39">
        <f>IF(N($C$38)=0,"",$D$38/$C$38)</f>
        <v>0.695522222222222</v>
      </c>
      <c r="D57" s="39">
        <f>IF(N($C$38)=0,"",$E$38/$C$38)</f>
        <v>0.247407407407407</v>
      </c>
      <c r="E57" s="39">
        <f>IF(N($C$38)=0,"",$F$38/$C$38)</f>
        <v>0.0534740740740741</v>
      </c>
      <c r="F57" s="39">
        <f>IF(N($C$38)=0,"",$G$38/$C$38)</f>
        <v>0.0035962962962963</v>
      </c>
      <c r="H57" s="56" t="str">
        <f>IFERROR(INDEX(tblShiftList[Shift],2)&amp;"","")</f>
        <v>Late</v>
      </c>
      <c r="I57" s="35">
        <f>IF($H$57="","",SUMIFS(tblRuns[Good (units)],tblRuns[Shift],$H$57,tblRuns[View date],"&gt;0"))</f>
        <v>398253</v>
      </c>
      <c r="J57" s="39">
        <f>IF($H$57="","",IF((SUMIFS(tblRuns[Demand (units)],tblRuns[Shift],$H$57,tblRuns[View date],"&gt;0"))=0,"",(SUMIFS(tblRuns[Good (units)],tblRuns[Shift],$H$57,tblRuns[View date],"&gt;0"))/(SUMIFS(tblRuns[Demand (units)],tblRuns[Shift],$H$57,tblRuns[View date],"&gt;0"))))</f>
        <v>1.01336641221374</v>
      </c>
      <c r="K57" s="39">
        <f>IF($H$57="","",IF((SUMIFS(tblRuns[Scheduled (min)],tblRuns[Shift],$H$57,tblRuns[View date],"&gt;0"))=0,"",(SUMIFS(tblRuns[Run (min)],tblRuns[Shift],$H$57,tblRuns[View date],"&gt;0"))/(SUMIFS(tblRuns[Scheduled (min)],tblRuns[Shift],$H$57,tblRuns[View date],"&gt;0"))))</f>
        <v>0.86641975308642</v>
      </c>
      <c r="L57" s="39">
        <f>IF($H$57="","",IF((SUMIFS(tblRuns[Theoretical (units)],tblRuns[Shift],$H$57,tblRuns[View date],"&gt;0"))=0,"",(SUMIFS(tblRuns[Good (units)],tblRuns[Shift],$H$57,tblRuns[View date],"&gt;0"))/(SUMIFS(tblRuns[Theoretical (units)],tblRuns[Shift],$H$57,tblRuns[View date],"&gt;0"))))</f>
        <v>0.786672592592593</v>
      </c>
    </row>
    <row r="58" spans="2:12">
      <c r="B58" s="56" t="str">
        <f>INDEX($B$37:$B$39,3)</f>
        <v>L3 Tray sealer</v>
      </c>
      <c r="C58" s="39">
        <f>IF(N($C$39)=0,"",$D$39/$C$39)</f>
        <v>0.791140740740741</v>
      </c>
      <c r="D58" s="39">
        <f>IF(N($C$39)=0,"",$E$39/$C$39)</f>
        <v>0.0851851851851852</v>
      </c>
      <c r="E58" s="39">
        <f>IF(N($C$39)=0,"",$F$39/$C$39)</f>
        <v>0.103116049382716</v>
      </c>
      <c r="F58" s="39">
        <f>IF(N($C$39)=0,"",$G$39/$C$39)</f>
        <v>0.020558024691358</v>
      </c>
    </row>
    <row r="60" spans="2:12">
      <c r="B60" s="30" t="s">
        <v>142</v>
      </c>
      <c r="C60" s="30"/>
      <c r="D60" s="30"/>
      <c r="E60" s="30"/>
      <c r="F60" s="30"/>
      <c r="G60" s="30"/>
      <c r="H60" s="30"/>
      <c r="I60" s="30"/>
      <c r="J60" s="30"/>
    </row>
    <row r="61" spans="2:12" ht="32" customHeight="1">
      <c r="B61" s="55" t="s">
        <v>143</v>
      </c>
      <c r="C61" s="31" t="s">
        <v>133</v>
      </c>
      <c r="D61" s="31" t="s">
        <v>91</v>
      </c>
      <c r="E61" s="31" t="s">
        <v>93</v>
      </c>
      <c r="F61" s="31" t="s">
        <v>103</v>
      </c>
      <c r="G61" s="31" t="s">
        <v>96</v>
      </c>
      <c r="H61" s="31" t="s">
        <v>97</v>
      </c>
      <c r="I61" s="31" t="s">
        <v>98</v>
      </c>
      <c r="J61" s="31" t="s">
        <v>99</v>
      </c>
    </row>
    <row r="62" spans="2:12">
      <c r="B62" s="59">
        <f>IF(COUNT(tblRuns[View date])=0,"",MAX(tblRuns[View date])-WEEKDAY(MAX(tblRuns[View date]),2)+1)</f>
        <v>46293</v>
      </c>
      <c r="C62" s="58">
        <f>IF($B$62="","",SUMIFS(tblRuns[Scheduled (min)],tblRuns[View date],"&gt;="&amp;$B$62,tblRuns[View date],"&lt;"&amp;$B$62+7)/60)</f>
        <v>225</v>
      </c>
      <c r="D62" s="35">
        <f>IF($B$62="","",SUMIFS(tblRuns[Good (units)],tblRuns[View date],"&gt;="&amp;$B$62,tblRuns[View date],"&lt;"&amp;$B$62+7))</f>
        <v>270080</v>
      </c>
      <c r="E62" s="35">
        <f>IF($B$62="","",SUMIFS(tblRuns[Demand (units)],tblRuns[View date],"&gt;="&amp;$B$62,tblRuns[View date],"&lt;"&amp;$B$62+7))</f>
        <v>262000</v>
      </c>
      <c r="F62" s="39">
        <f>IF($B$62="","",IF((SUMIFS(tblRuns[Demand (units)],tblRuns[View date],"&gt;="&amp;$B$62,tblRuns[View date],"&lt;"&amp;$B$62+7))=0,"",(SUMIFS(tblRuns[Good (units)],tblRuns[View date],"&gt;="&amp;$B$62,tblRuns[View date],"&lt;"&amp;$B$62+7))/(SUMIFS(tblRuns[Demand (units)],tblRuns[View date],"&gt;="&amp;$B$62,tblRuns[View date],"&lt;"&amp;$B$62+7))))</f>
        <v>1.03083969465649</v>
      </c>
      <c r="G62" s="35">
        <f>IF($B$62="","",IF((SUMIFS(tblRuns[Scheduled (min)],tblRuns[View date],"&gt;="&amp;$B$62,tblRuns[View date],"&lt;"&amp;$B$62+7))=0,"",(SUMIFS(tblRuns[Good (units)],tblRuns[View date],"&gt;="&amp;$B$62,tblRuns[View date],"&lt;"&amp;$B$62+7)*60)/(SUMIFS(tblRuns[Scheduled (min)],tblRuns[View date],"&gt;="&amp;$B$62,tblRuns[View date],"&lt;"&amp;$B$62+7))))</f>
        <v>1200.35555555556</v>
      </c>
      <c r="H62" s="39">
        <f>IF($B$62="","",IF((SUMIFS(tblRuns[Scheduled (min)],tblRuns[View date],"&gt;="&amp;$B$62,tblRuns[View date],"&lt;"&amp;$B$62+7))=0,"",(SUMIFS(tblRuns[Run (min)],tblRuns[View date],"&gt;="&amp;$B$62,tblRuns[View date],"&lt;"&amp;$B$62+7))/(SUMIFS(tblRuns[Scheduled (min)],tblRuns[View date],"&gt;="&amp;$B$62,tblRuns[View date],"&lt;"&amp;$B$62+7))))</f>
        <v>0.868148148148148</v>
      </c>
      <c r="I62" s="39">
        <f>IF($B$62="","",IF((SUMIFS(tblRuns[Total (units)],tblRuns[View date],"&gt;="&amp;$B$62,tblRuns[View date],"&lt;"&amp;$B$62+7))=0,"",(SUMIFS(tblRuns[Good (units)],tblRuns[View date],"&gt;="&amp;$B$62,tblRuns[View date],"&lt;"&amp;$B$62+7))/(SUMIFS(tblRuns[Total (units)],tblRuns[View date],"&gt;="&amp;$B$62,tblRuns[View date],"&lt;"&amp;$B$62+7))))</f>
        <v>0.984209931745216</v>
      </c>
      <c r="J62" s="39">
        <f>IF($B$62="","",IF((SUMIFS(tblRuns[Theoretical (units)],tblRuns[View date],"&gt;="&amp;$B$62,tblRuns[View date],"&lt;"&amp;$B$62+7))=0,"",(SUMIFS(tblRuns[Good (units)],tblRuns[View date],"&gt;="&amp;$B$62,tblRuns[View date],"&lt;"&amp;$B$62+7))/(SUMIFS(tblRuns[Theoretical (units)],tblRuns[View date],"&gt;="&amp;$B$62,tblRuns[View date],"&lt;"&amp;$B$62+7))))</f>
        <v>0.800237037037037</v>
      </c>
    </row>
    <row r="63" spans="2:12">
      <c r="B63" s="59">
        <f>IF($B$62="","",IF($B$62-1&lt;MIN(tblRuns[View date]),"",$B$62-7))</f>
        <v>46286</v>
      </c>
      <c r="C63" s="58">
        <f>IF($B$63="","",SUMIFS(tblRuns[Scheduled (min)],tblRuns[View date],"&gt;="&amp;$B$63,tblRuns[View date],"&lt;"&amp;$B$63+7)/60)</f>
        <v>225</v>
      </c>
      <c r="D63" s="35">
        <f>IF($B$63="","",SUMIFS(tblRuns[Good (units)],tblRuns[View date],"&gt;="&amp;$B$63,tblRuns[View date],"&lt;"&amp;$B$63+7))</f>
        <v>260719</v>
      </c>
      <c r="E63" s="35">
        <f>IF($B$63="","",SUMIFS(tblRuns[Demand (units)],tblRuns[View date],"&gt;="&amp;$B$63,tblRuns[View date],"&lt;"&amp;$B$63+7))</f>
        <v>262000</v>
      </c>
      <c r="F63" s="39">
        <f>IF($B$63="","",IF((SUMIFS(tblRuns[Demand (units)],tblRuns[View date],"&gt;="&amp;$B$63,tblRuns[View date],"&lt;"&amp;$B$63+7))=0,"",(SUMIFS(tblRuns[Good (units)],tblRuns[View date],"&gt;="&amp;$B$63,tblRuns[View date],"&lt;"&amp;$B$63+7))/(SUMIFS(tblRuns[Demand (units)],tblRuns[View date],"&gt;="&amp;$B$63,tblRuns[View date],"&lt;"&amp;$B$63+7))))</f>
        <v>0.995110687022901</v>
      </c>
      <c r="G63" s="35">
        <f>IF($B$63="","",IF((SUMIFS(tblRuns[Scheduled (min)],tblRuns[View date],"&gt;="&amp;$B$63,tblRuns[View date],"&lt;"&amp;$B$63+7))=0,"",(SUMIFS(tblRuns[Good (units)],tblRuns[View date],"&gt;="&amp;$B$63,tblRuns[View date],"&lt;"&amp;$B$63+7)*60)/(SUMIFS(tblRuns[Scheduled (min)],tblRuns[View date],"&gt;="&amp;$B$63,tblRuns[View date],"&lt;"&amp;$B$63+7))))</f>
        <v>1158.75111111111</v>
      </c>
      <c r="H63" s="39">
        <f>IF($B$63="","",IF((SUMIFS(tblRuns[Scheduled (min)],tblRuns[View date],"&gt;="&amp;$B$63,tblRuns[View date],"&lt;"&amp;$B$63+7))=0,"",(SUMIFS(tblRuns[Run (min)],tblRuns[View date],"&gt;="&amp;$B$63,tblRuns[View date],"&lt;"&amp;$B$63+7))/(SUMIFS(tblRuns[Scheduled (min)],tblRuns[View date],"&gt;="&amp;$B$63,tblRuns[View date],"&lt;"&amp;$B$63+7))))</f>
        <v>0.867777777777778</v>
      </c>
      <c r="I63" s="39">
        <f>IF($B$63="","",IF((SUMIFS(tblRuns[Total (units)],tblRuns[View date],"&gt;="&amp;$B$63,tblRuns[View date],"&lt;"&amp;$B$63+7))=0,"",(SUMIFS(tblRuns[Good (units)],tblRuns[View date],"&gt;="&amp;$B$63,tblRuns[View date],"&lt;"&amp;$B$63+7))/(SUMIFS(tblRuns[Total (units)],tblRuns[View date],"&gt;="&amp;$B$63,tblRuns[View date],"&lt;"&amp;$B$63+7))))</f>
        <v>0.983533521449805</v>
      </c>
      <c r="J63" s="39">
        <f>IF($B$63="","",IF((SUMIFS(tblRuns[Theoretical (units)],tblRuns[View date],"&gt;="&amp;$B$63,tblRuns[View date],"&lt;"&amp;$B$63+7))=0,"",(SUMIFS(tblRuns[Good (units)],tblRuns[View date],"&gt;="&amp;$B$63,tblRuns[View date],"&lt;"&amp;$B$63+7))/(SUMIFS(tblRuns[Theoretical (units)],tblRuns[View date],"&gt;="&amp;$B$63,tblRuns[View date],"&lt;"&amp;$B$63+7))))</f>
        <v>0.772500740740741</v>
      </c>
    </row>
    <row r="64" spans="2:12">
      <c r="B64" s="59">
        <f>IF($B$63="","",IF($B$63-1&lt;MIN(tblRuns[View date]),"",$B$63-7))</f>
        <v>46279</v>
      </c>
      <c r="C64" s="58">
        <f>IF($B$64="","",SUMIFS(tblRuns[Scheduled (min)],tblRuns[View date],"&gt;="&amp;$B$64,tblRuns[View date],"&lt;"&amp;$B$64+7)/60)</f>
        <v>225</v>
      </c>
      <c r="D64" s="35">
        <f>IF($B$64="","",SUMIFS(tblRuns[Good (units)],tblRuns[View date],"&gt;="&amp;$B$64,tblRuns[View date],"&lt;"&amp;$B$64+7))</f>
        <v>266766</v>
      </c>
      <c r="E64" s="35">
        <f>IF($B$64="","",SUMIFS(tblRuns[Demand (units)],tblRuns[View date],"&gt;="&amp;$B$64,tblRuns[View date],"&lt;"&amp;$B$64+7))</f>
        <v>262000</v>
      </c>
      <c r="F64" s="39">
        <f>IF($B$64="","",IF((SUMIFS(tblRuns[Demand (units)],tblRuns[View date],"&gt;="&amp;$B$64,tblRuns[View date],"&lt;"&amp;$B$64+7))=0,"",(SUMIFS(tblRuns[Good (units)],tblRuns[View date],"&gt;="&amp;$B$64,tblRuns[View date],"&lt;"&amp;$B$64+7))/(SUMIFS(tblRuns[Demand (units)],tblRuns[View date],"&gt;="&amp;$B$64,tblRuns[View date],"&lt;"&amp;$B$64+7))))</f>
        <v>1.01819083969466</v>
      </c>
      <c r="G64" s="35">
        <f>IF($B$64="","",IF((SUMIFS(tblRuns[Scheduled (min)],tblRuns[View date],"&gt;="&amp;$B$64,tblRuns[View date],"&lt;"&amp;$B$64+7))=0,"",(SUMIFS(tblRuns[Good (units)],tblRuns[View date],"&gt;="&amp;$B$64,tblRuns[View date],"&lt;"&amp;$B$64+7)*60)/(SUMIFS(tblRuns[Scheduled (min)],tblRuns[View date],"&gt;="&amp;$B$64,tblRuns[View date],"&lt;"&amp;$B$64+7))))</f>
        <v>1185.62666666667</v>
      </c>
      <c r="H64" s="39">
        <f>IF($B$64="","",IF((SUMIFS(tblRuns[Scheduled (min)],tblRuns[View date],"&gt;="&amp;$B$64,tblRuns[View date],"&lt;"&amp;$B$64+7))=0,"",(SUMIFS(tblRuns[Run (min)],tblRuns[View date],"&gt;="&amp;$B$64,tblRuns[View date],"&lt;"&amp;$B$64+7))/(SUMIFS(tblRuns[Scheduled (min)],tblRuns[View date],"&gt;="&amp;$B$64,tblRuns[View date],"&lt;"&amp;$B$64+7))))</f>
        <v>0.863333333333333</v>
      </c>
      <c r="I64" s="39">
        <f>IF($B$64="","",IF((SUMIFS(tblRuns[Total (units)],tblRuns[View date],"&gt;="&amp;$B$64,tblRuns[View date],"&lt;"&amp;$B$64+7))=0,"",(SUMIFS(tblRuns[Good (units)],tblRuns[View date],"&gt;="&amp;$B$64,tblRuns[View date],"&lt;"&amp;$B$64+7))/(SUMIFS(tblRuns[Total (units)],tblRuns[View date],"&gt;="&amp;$B$64,tblRuns[View date],"&lt;"&amp;$B$64+7))))</f>
        <v>0.983226263006004</v>
      </c>
      <c r="J64" s="39">
        <f>IF($B$64="","",IF((SUMIFS(tblRuns[Theoretical (units)],tblRuns[View date],"&gt;="&amp;$B$64,tblRuns[View date],"&lt;"&amp;$B$64+7))=0,"",(SUMIFS(tblRuns[Good (units)],tblRuns[View date],"&gt;="&amp;$B$64,tblRuns[View date],"&lt;"&amp;$B$64+7))/(SUMIFS(tblRuns[Theoretical (units)],tblRuns[View date],"&gt;="&amp;$B$64,tblRuns[View date],"&lt;"&amp;$B$64+7))))</f>
        <v>0.790417777777778</v>
      </c>
    </row>
    <row r="65" spans="2:12">
      <c r="B65" s="59">
        <f>IF($B$64="","",IF($B$64-1&lt;MIN(tblRuns[View date]),"",$B$64-7))</f>
        <v/>
      </c>
      <c r="C65" s="58">
        <f>IF($B$65="","",SUMIFS(tblRuns[Scheduled (min)],tblRuns[View date],"&gt;="&amp;$B$65,tblRuns[View date],"&lt;"&amp;$B$65+7)/60)</f>
        <v/>
      </c>
      <c r="D65" s="35">
        <f>IF($B$65="","",SUMIFS(tblRuns[Good (units)],tblRuns[View date],"&gt;="&amp;$B$65,tblRuns[View date],"&lt;"&amp;$B$65+7))</f>
        <v/>
      </c>
      <c r="E65" s="35">
        <f>IF($B$65="","",SUMIFS(tblRuns[Demand (units)],tblRuns[View date],"&gt;="&amp;$B$65,tblRuns[View date],"&lt;"&amp;$B$65+7))</f>
        <v/>
      </c>
      <c r="F65" s="39">
        <f>IF($B$65="","",IF((SUMIFS(tblRuns[Demand (units)],tblRuns[View date],"&gt;="&amp;$B$65,tblRuns[View date],"&lt;"&amp;$B$65+7))=0,"",(SUMIFS(tblRuns[Good (units)],tblRuns[View date],"&gt;="&amp;$B$65,tblRuns[View date],"&lt;"&amp;$B$65+7))/(SUMIFS(tblRuns[Demand (units)],tblRuns[View date],"&gt;="&amp;$B$65,tblRuns[View date],"&lt;"&amp;$B$65+7))))</f>
        <v/>
      </c>
      <c r="G65" s="35">
        <f>IF($B$65="","",IF((SUMIFS(tblRuns[Scheduled (min)],tblRuns[View date],"&gt;="&amp;$B$65,tblRuns[View date],"&lt;"&amp;$B$65+7))=0,"",(SUMIFS(tblRuns[Good (units)],tblRuns[View date],"&gt;="&amp;$B$65,tblRuns[View date],"&lt;"&amp;$B$65+7)*60)/(SUMIFS(tblRuns[Scheduled (min)],tblRuns[View date],"&gt;="&amp;$B$65,tblRuns[View date],"&lt;"&amp;$B$65+7))))</f>
        <v/>
      </c>
      <c r="H65" s="39">
        <f>IF($B$65="","",IF((SUMIFS(tblRuns[Scheduled (min)],tblRuns[View date],"&gt;="&amp;$B$65,tblRuns[View date],"&lt;"&amp;$B$65+7))=0,"",(SUMIFS(tblRuns[Run (min)],tblRuns[View date],"&gt;="&amp;$B$65,tblRuns[View date],"&lt;"&amp;$B$65+7))/(SUMIFS(tblRuns[Scheduled (min)],tblRuns[View date],"&gt;="&amp;$B$65,tblRuns[View date],"&lt;"&amp;$B$65+7))))</f>
        <v/>
      </c>
      <c r="I65" s="39">
        <f>IF($B$65="","",IF((SUMIFS(tblRuns[Total (units)],tblRuns[View date],"&gt;="&amp;$B$65,tblRuns[View date],"&lt;"&amp;$B$65+7))=0,"",(SUMIFS(tblRuns[Good (units)],tblRuns[View date],"&gt;="&amp;$B$65,tblRuns[View date],"&lt;"&amp;$B$65+7))/(SUMIFS(tblRuns[Total (units)],tblRuns[View date],"&gt;="&amp;$B$65,tblRuns[View date],"&lt;"&amp;$B$65+7))))</f>
        <v/>
      </c>
      <c r="J65" s="39">
        <f>IF($B$65="","",IF((SUMIFS(tblRuns[Theoretical (units)],tblRuns[View date],"&gt;="&amp;$B$65,tblRuns[View date],"&lt;"&amp;$B$65+7))=0,"",(SUMIFS(tblRuns[Good (units)],tblRuns[View date],"&gt;="&amp;$B$65,tblRuns[View date],"&lt;"&amp;$B$65+7))/(SUMIFS(tblRuns[Theoretical (units)],tblRuns[View date],"&gt;="&amp;$B$65,tblRuns[View date],"&lt;"&amp;$B$65+7))))</f>
        <v/>
      </c>
    </row>
    <row r="66" spans="2:12">
      <c r="B66" s="59">
        <f>IF($B$65="","",IF($B$65-1&lt;MIN(tblRuns[View date]),"",$B$65-7))</f>
        <v/>
      </c>
      <c r="C66" s="58">
        <f>IF($B$66="","",SUMIFS(tblRuns[Scheduled (min)],tblRuns[View date],"&gt;="&amp;$B$66,tblRuns[View date],"&lt;"&amp;$B$66+7)/60)</f>
        <v/>
      </c>
      <c r="D66" s="35">
        <f>IF($B$66="","",SUMIFS(tblRuns[Good (units)],tblRuns[View date],"&gt;="&amp;$B$66,tblRuns[View date],"&lt;"&amp;$B$66+7))</f>
        <v/>
      </c>
      <c r="E66" s="35">
        <f>IF($B$66="","",SUMIFS(tblRuns[Demand (units)],tblRuns[View date],"&gt;="&amp;$B$66,tblRuns[View date],"&lt;"&amp;$B$66+7))</f>
        <v/>
      </c>
      <c r="F66" s="39">
        <f>IF($B$66="","",IF((SUMIFS(tblRuns[Demand (units)],tblRuns[View date],"&gt;="&amp;$B$66,tblRuns[View date],"&lt;"&amp;$B$66+7))=0,"",(SUMIFS(tblRuns[Good (units)],tblRuns[View date],"&gt;="&amp;$B$66,tblRuns[View date],"&lt;"&amp;$B$66+7))/(SUMIFS(tblRuns[Demand (units)],tblRuns[View date],"&gt;="&amp;$B$66,tblRuns[View date],"&lt;"&amp;$B$66+7))))</f>
        <v/>
      </c>
      <c r="G66" s="35">
        <f>IF($B$66="","",IF((SUMIFS(tblRuns[Scheduled (min)],tblRuns[View date],"&gt;="&amp;$B$66,tblRuns[View date],"&lt;"&amp;$B$66+7))=0,"",(SUMIFS(tblRuns[Good (units)],tblRuns[View date],"&gt;="&amp;$B$66,tblRuns[View date],"&lt;"&amp;$B$66+7)*60)/(SUMIFS(tblRuns[Scheduled (min)],tblRuns[View date],"&gt;="&amp;$B$66,tblRuns[View date],"&lt;"&amp;$B$66+7))))</f>
        <v/>
      </c>
      <c r="H66" s="39">
        <f>IF($B$66="","",IF((SUMIFS(tblRuns[Scheduled (min)],tblRuns[View date],"&gt;="&amp;$B$66,tblRuns[View date],"&lt;"&amp;$B$66+7))=0,"",(SUMIFS(tblRuns[Run (min)],tblRuns[View date],"&gt;="&amp;$B$66,tblRuns[View date],"&lt;"&amp;$B$66+7))/(SUMIFS(tblRuns[Scheduled (min)],tblRuns[View date],"&gt;="&amp;$B$66,tblRuns[View date],"&lt;"&amp;$B$66+7))))</f>
        <v/>
      </c>
      <c r="I66" s="39">
        <f>IF($B$66="","",IF((SUMIFS(tblRuns[Total (units)],tblRuns[View date],"&gt;="&amp;$B$66,tblRuns[View date],"&lt;"&amp;$B$66+7))=0,"",(SUMIFS(tblRuns[Good (units)],tblRuns[View date],"&gt;="&amp;$B$66,tblRuns[View date],"&lt;"&amp;$B$66+7))/(SUMIFS(tblRuns[Total (units)],tblRuns[View date],"&gt;="&amp;$B$66,tblRuns[View date],"&lt;"&amp;$B$66+7))))</f>
        <v/>
      </c>
      <c r="J66" s="39">
        <f>IF($B$66="","",IF((SUMIFS(tblRuns[Theoretical (units)],tblRuns[View date],"&gt;="&amp;$B$66,tblRuns[View date],"&lt;"&amp;$B$66+7))=0,"",(SUMIFS(tblRuns[Good (units)],tblRuns[View date],"&gt;="&amp;$B$66,tblRuns[View date],"&lt;"&amp;$B$66+7))/(SUMIFS(tblRuns[Theoretical (units)],tblRuns[View date],"&gt;="&amp;$B$66,tblRuns[View date],"&lt;"&amp;$B$66+7))))</f>
        <v/>
      </c>
    </row>
    <row r="67" spans="2:12">
      <c r="B67" s="59">
        <f>IF($B$66="","",IF($B$66-1&lt;MIN(tblRuns[View date]),"",$B$66-7))</f>
        <v/>
      </c>
      <c r="C67" s="58">
        <f>IF($B$67="","",SUMIFS(tblRuns[Scheduled (min)],tblRuns[View date],"&gt;="&amp;$B$67,tblRuns[View date],"&lt;"&amp;$B$67+7)/60)</f>
        <v/>
      </c>
      <c r="D67" s="35">
        <f>IF($B$67="","",SUMIFS(tblRuns[Good (units)],tblRuns[View date],"&gt;="&amp;$B$67,tblRuns[View date],"&lt;"&amp;$B$67+7))</f>
        <v/>
      </c>
      <c r="E67" s="35">
        <f>IF($B$67="","",SUMIFS(tblRuns[Demand (units)],tblRuns[View date],"&gt;="&amp;$B$67,tblRuns[View date],"&lt;"&amp;$B$67+7))</f>
        <v/>
      </c>
      <c r="F67" s="39">
        <f>IF($B$67="","",IF((SUMIFS(tblRuns[Demand (units)],tblRuns[View date],"&gt;="&amp;$B$67,tblRuns[View date],"&lt;"&amp;$B$67+7))=0,"",(SUMIFS(tblRuns[Good (units)],tblRuns[View date],"&gt;="&amp;$B$67,tblRuns[View date],"&lt;"&amp;$B$67+7))/(SUMIFS(tblRuns[Demand (units)],tblRuns[View date],"&gt;="&amp;$B$67,tblRuns[View date],"&lt;"&amp;$B$67+7))))</f>
        <v/>
      </c>
      <c r="G67" s="35">
        <f>IF($B$67="","",IF((SUMIFS(tblRuns[Scheduled (min)],tblRuns[View date],"&gt;="&amp;$B$67,tblRuns[View date],"&lt;"&amp;$B$67+7))=0,"",(SUMIFS(tblRuns[Good (units)],tblRuns[View date],"&gt;="&amp;$B$67,tblRuns[View date],"&lt;"&amp;$B$67+7)*60)/(SUMIFS(tblRuns[Scheduled (min)],tblRuns[View date],"&gt;="&amp;$B$67,tblRuns[View date],"&lt;"&amp;$B$67+7))))</f>
        <v/>
      </c>
      <c r="H67" s="39">
        <f>IF($B$67="","",IF((SUMIFS(tblRuns[Scheduled (min)],tblRuns[View date],"&gt;="&amp;$B$67,tblRuns[View date],"&lt;"&amp;$B$67+7))=0,"",(SUMIFS(tblRuns[Run (min)],tblRuns[View date],"&gt;="&amp;$B$67,tblRuns[View date],"&lt;"&amp;$B$67+7))/(SUMIFS(tblRuns[Scheduled (min)],tblRuns[View date],"&gt;="&amp;$B$67,tblRuns[View date],"&lt;"&amp;$B$67+7))))</f>
        <v/>
      </c>
      <c r="I67" s="39">
        <f>IF($B$67="","",IF((SUMIFS(tblRuns[Total (units)],tblRuns[View date],"&gt;="&amp;$B$67,tblRuns[View date],"&lt;"&amp;$B$67+7))=0,"",(SUMIFS(tblRuns[Good (units)],tblRuns[View date],"&gt;="&amp;$B$67,tblRuns[View date],"&lt;"&amp;$B$67+7))/(SUMIFS(tblRuns[Total (units)],tblRuns[View date],"&gt;="&amp;$B$67,tblRuns[View date],"&lt;"&amp;$B$67+7))))</f>
        <v/>
      </c>
      <c r="J67" s="39">
        <f>IF($B$67="","",IF((SUMIFS(tblRuns[Theoretical (units)],tblRuns[View date],"&gt;="&amp;$B$67,tblRuns[View date],"&lt;"&amp;$B$67+7))=0,"",(SUMIFS(tblRuns[Good (units)],tblRuns[View date],"&gt;="&amp;$B$67,tblRuns[View date],"&lt;"&amp;$B$67+7))/(SUMIFS(tblRuns[Theoretical (units)],tblRuns[View date],"&gt;="&amp;$B$67,tblRuns[View date],"&lt;"&amp;$B$67+7))))</f>
        <v/>
      </c>
    </row>
    <row r="68" spans="2:12" ht="8" customHeight="1"/>
    <row r="69" spans="2:12">
      <c r="B69" s="21" t="s">
        <v>144</v>
      </c>
      <c r="C69" s="21"/>
      <c r="D69" s="21"/>
      <c r="E69" s="21"/>
      <c r="F69" s="21"/>
      <c r="G69" s="21"/>
      <c r="H69" s="21"/>
      <c r="I69" s="21"/>
      <c r="J69" s="21"/>
      <c r="K69" s="21"/>
      <c r="L69" s="21"/>
    </row>
    <row r="70" spans="2:12">
      <c r="B70" s="60">
        <f>IF(OR(COUNTA(tblLines[Line])&gt;3,COUNTA(tblShiftList[Shift])&gt;2),"Setup lists are longer than the Dashboard blocks: some lines or shifts are not shown.","")</f>
        <v/>
      </c>
      <c r="C70" s="60"/>
      <c r="D70" s="60"/>
      <c r="E70" s="60"/>
      <c r="F70" s="60"/>
      <c r="G70" s="60"/>
      <c r="H70" s="60"/>
      <c r="I70" s="60"/>
      <c r="J70" s="60"/>
      <c r="K70" s="60"/>
      <c r="L70" s="60"/>
    </row>
  </sheetData>
  <sheetProtection sheet="1" formatColumns="0" formatRows="0"/>
  <mergeCells count="46">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K35"/>
    <mergeCell ref="B41:J41"/>
    <mergeCell ref="B54:F54"/>
    <mergeCell ref="H54:L54"/>
    <mergeCell ref="B60:J60"/>
    <mergeCell ref="B69:L69"/>
    <mergeCell ref="B70:L70"/>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43:F52">
    <cfRule type="expression" dxfId="3" priority="64" stopIfTrue="1">
      <formula>AND(ISNUMBER(F43),F43&gt;=(TargetCov))</formula>
    </cfRule>
    <cfRule type="expression" dxfId="4" priority="65" stopIfTrue="1">
      <formula>AND(ISNUMBER(F43),F43&gt;=(TargetCov)*(1-0.05))</formula>
    </cfRule>
    <cfRule type="expression" dxfId="5" priority="66">
      <formula>ISNUMBER(F43)</formula>
    </cfRule>
  </conditionalFormatting>
  <conditionalFormatting sqref="F62:F67">
    <cfRule type="expression" dxfId="3" priority="70" stopIfTrue="1">
      <formula>AND(ISNUMBER(F62),F62&gt;=(TargetCov))</formula>
    </cfRule>
    <cfRule type="expression" dxfId="4" priority="71" stopIfTrue="1">
      <formula>AND(ISNUMBER(F62),F62&gt;=(TargetCov)*(1-0.05))</formula>
    </cfRule>
    <cfRule type="expression" dxfId="5" priority="72">
      <formula>ISNUMBER(F62)</formula>
    </cfRule>
  </conditionalFormatting>
  <conditionalFormatting sqref="H37:H39">
    <cfRule type="expression" dxfId="3" priority="41" stopIfTrue="1">
      <formula>AND(ISNUMBER(H37),H37&gt;=(TargetCov))</formula>
    </cfRule>
    <cfRule type="expression" dxfId="4" priority="42" stopIfTrue="1">
      <formula>AND(ISNUMBER(H37),H37&gt;=(TargetCov)*(1-0.05))</formula>
    </cfRule>
    <cfRule type="expression" dxfId="5" priority="43">
      <formula>ISNUMBER(H37)</formula>
    </cfRule>
  </conditionalFormatting>
  <conditionalFormatting sqref="J56:J57">
    <cfRule type="expression" dxfId="3" priority="67" stopIfTrue="1">
      <formula>AND(ISNUMBER(J56),J56&gt;=(TargetCov))</formula>
    </cfRule>
    <cfRule type="expression" dxfId="4" priority="68" stopIfTrue="1">
      <formula>AND(ISNUMBER(J56),J56&gt;=(TargetCov)*(1-0.05))</formula>
    </cfRule>
    <cfRule type="expression" dxfId="5" priority="69">
      <formula>ISNUMBER(J56)</formula>
    </cfRule>
  </conditionalFormatting>
  <conditionalFormatting sqref="K37:K39">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dataValidations count="3">
    <dataValidation type="list" allowBlank="1" showInputMessage="1" showErrorMessage="1" errorTitle="Check this entry" error="Pick from the list (edit the list on Setup: Lines)." promptTitle="Line" prompt="Leave blank for all lines. Pick from the list (edit the list on Setup: Lines)." sqref="C4">
      <formula1>Lines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Throughput Analysis&amp;R&amp;8&amp;A</oddHeader>
    <oddFooter>&amp;L&amp;8mfgcalcs.com - free manufacturing templates&amp;R&amp;8Page &amp;P of &amp;N</oddFooter>
  </headerFooter>
  <rowBreaks count="2" manualBreakCount="2">
    <brk id="28" max="16383" man="1"/>
    <brk id="53"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2"/>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145</v>
      </c>
      <c r="C4" s="8"/>
      <c r="D4" s="8"/>
    </row>
    <row r="5" spans="1:4" ht="5" customHeight="1"/>
    <row r="6" spans="1:4" ht="55.8" customHeight="1">
      <c r="B6" s="10" t="s">
        <v>146</v>
      </c>
      <c r="C6" s="10"/>
      <c r="D6" s="10"/>
    </row>
    <row r="8" spans="1:4" ht="21" customHeight="1">
      <c r="B8" s="8" t="s">
        <v>147</v>
      </c>
      <c r="C8" s="8"/>
      <c r="D8" s="8"/>
    </row>
    <row r="9" spans="1:4" ht="5" customHeight="1"/>
    <row r="10" spans="1:4" ht="20" customHeight="1">
      <c r="B10" s="55" t="s">
        <v>148</v>
      </c>
      <c r="C10" s="55" t="s">
        <v>149</v>
      </c>
      <c r="D10" s="31" t="s">
        <v>150</v>
      </c>
    </row>
    <row r="11" spans="1:4" ht="30.4" customHeight="1">
      <c r="B11" s="61" t="s">
        <v>151</v>
      </c>
      <c r="C11" s="62" t="s">
        <v>152</v>
      </c>
      <c r="D11" s="63" t="s">
        <v>153</v>
      </c>
    </row>
    <row r="12" spans="1:4" ht="30.4" customHeight="1">
      <c r="B12" s="61" t="s">
        <v>154</v>
      </c>
      <c r="C12" s="62" t="s">
        <v>155</v>
      </c>
      <c r="D12" s="63" t="s">
        <v>156</v>
      </c>
    </row>
    <row r="13" spans="1:4" ht="17.2" customHeight="1">
      <c r="B13" s="61" t="s">
        <v>157</v>
      </c>
      <c r="C13" s="62" t="s">
        <v>158</v>
      </c>
      <c r="D13" s="63" t="s">
        <v>153</v>
      </c>
    </row>
    <row r="14" spans="1:4" ht="17.2" customHeight="1">
      <c r="B14" s="61" t="s">
        <v>159</v>
      </c>
      <c r="C14" s="62" t="s">
        <v>160</v>
      </c>
      <c r="D14" s="63" t="s">
        <v>161</v>
      </c>
    </row>
    <row r="15" spans="1:4" ht="30.4" customHeight="1">
      <c r="B15" s="61" t="s">
        <v>162</v>
      </c>
      <c r="C15" s="62" t="s">
        <v>163</v>
      </c>
      <c r="D15" s="63" t="s">
        <v>164</v>
      </c>
    </row>
    <row r="16" spans="1:4" ht="17.2" customHeight="1">
      <c r="B16" s="61" t="s">
        <v>165</v>
      </c>
      <c r="C16" s="62" t="s">
        <v>166</v>
      </c>
      <c r="D16" s="63" t="s">
        <v>167</v>
      </c>
    </row>
    <row r="17" spans="2:4" ht="30.4" customHeight="1">
      <c r="B17" s="61" t="s">
        <v>99</v>
      </c>
      <c r="C17" s="62" t="s">
        <v>168</v>
      </c>
      <c r="D17" s="63" t="s">
        <v>167</v>
      </c>
    </row>
    <row r="18" spans="2:4" ht="17.2" customHeight="1">
      <c r="B18" s="61" t="s">
        <v>137</v>
      </c>
      <c r="C18" s="62" t="s">
        <v>169</v>
      </c>
      <c r="D18" s="63" t="s">
        <v>161</v>
      </c>
    </row>
    <row r="19" spans="2:4" ht="30.4" customHeight="1">
      <c r="B19" s="61" t="s">
        <v>138</v>
      </c>
      <c r="C19" s="62" t="s">
        <v>170</v>
      </c>
      <c r="D19" s="63" t="s">
        <v>161</v>
      </c>
    </row>
    <row r="20" spans="2:4" ht="17.2" customHeight="1">
      <c r="B20" s="61" t="s">
        <v>139</v>
      </c>
      <c r="C20" s="62" t="s">
        <v>171</v>
      </c>
      <c r="D20" s="63" t="s">
        <v>161</v>
      </c>
    </row>
    <row r="21" spans="2:4" ht="30.4" customHeight="1">
      <c r="B21" s="61" t="s">
        <v>172</v>
      </c>
      <c r="C21" s="62" t="s">
        <v>173</v>
      </c>
      <c r="D21" s="63" t="s">
        <v>167</v>
      </c>
    </row>
    <row r="22" spans="2:4" ht="30.4" customHeight="1">
      <c r="B22" s="61" t="s">
        <v>174</v>
      </c>
      <c r="C22" s="62" t="s">
        <v>175</v>
      </c>
      <c r="D22" s="63" t="s">
        <v>176</v>
      </c>
    </row>
    <row r="23" spans="2:4" ht="30.4" customHeight="1">
      <c r="B23" s="61" t="s">
        <v>177</v>
      </c>
      <c r="C23" s="62" t="s">
        <v>178</v>
      </c>
      <c r="D23" s="63" t="s">
        <v>179</v>
      </c>
    </row>
    <row r="24" spans="2:4" ht="30.4" customHeight="1">
      <c r="B24" s="61" t="s">
        <v>180</v>
      </c>
      <c r="C24" s="62" t="s">
        <v>181</v>
      </c>
      <c r="D24" s="63" t="s">
        <v>167</v>
      </c>
    </row>
    <row r="25" spans="2:4" ht="30.4" customHeight="1">
      <c r="B25" s="61" t="s">
        <v>182</v>
      </c>
      <c r="C25" s="62" t="s">
        <v>183</v>
      </c>
      <c r="D25" s="63" t="s">
        <v>179</v>
      </c>
    </row>
    <row r="27" spans="2:4" ht="21" customHeight="1">
      <c r="B27" s="8" t="s">
        <v>184</v>
      </c>
      <c r="C27" s="8"/>
      <c r="D27" s="8"/>
    </row>
    <row r="28" spans="2:4" ht="5" customHeight="1"/>
    <row r="29" spans="2:4" ht="29.4" customHeight="1">
      <c r="B29" s="26" t="s">
        <v>53</v>
      </c>
      <c r="C29" s="10" t="s">
        <v>185</v>
      </c>
      <c r="D29" s="10"/>
    </row>
    <row r="30" spans="2:4" ht="29.4" customHeight="1">
      <c r="B30" s="26" t="s">
        <v>53</v>
      </c>
      <c r="C30" s="10" t="s">
        <v>186</v>
      </c>
      <c r="D30" s="10"/>
    </row>
    <row r="31" spans="2:4" ht="29.4" customHeight="1">
      <c r="B31" s="26" t="s">
        <v>53</v>
      </c>
      <c r="C31" s="10" t="s">
        <v>187</v>
      </c>
      <c r="D31" s="10"/>
    </row>
    <row r="32" spans="2:4" ht="16.2" customHeight="1">
      <c r="B32" s="26" t="s">
        <v>53</v>
      </c>
      <c r="C32" s="10" t="s">
        <v>188</v>
      </c>
      <c r="D32" s="10"/>
    </row>
    <row r="34" spans="2:4" ht="21" customHeight="1">
      <c r="B34" s="8" t="s">
        <v>189</v>
      </c>
      <c r="C34" s="8"/>
      <c r="D34" s="8"/>
    </row>
    <row r="35" spans="2:4" ht="5" customHeight="1"/>
    <row r="36" spans="2:4" ht="29.4" customHeight="1">
      <c r="B36" s="26" t="s">
        <v>53</v>
      </c>
      <c r="C36" s="10" t="s">
        <v>190</v>
      </c>
      <c r="D36" s="10"/>
    </row>
    <row r="37" spans="2:4" ht="29.4" customHeight="1">
      <c r="B37" s="26" t="s">
        <v>53</v>
      </c>
      <c r="C37" s="10" t="s">
        <v>191</v>
      </c>
      <c r="D37" s="10"/>
    </row>
    <row r="38" spans="2:4" ht="29.4" customHeight="1">
      <c r="B38" s="26" t="s">
        <v>53</v>
      </c>
      <c r="C38" s="10" t="s">
        <v>192</v>
      </c>
      <c r="D38" s="10"/>
    </row>
    <row r="39" spans="2:4" ht="29.4" customHeight="1">
      <c r="B39" s="26" t="s">
        <v>53</v>
      </c>
      <c r="C39" s="10" t="s">
        <v>193</v>
      </c>
      <c r="D39" s="10"/>
    </row>
    <row r="41" spans="2:4" ht="21" customHeight="1">
      <c r="B41" s="8" t="s">
        <v>194</v>
      </c>
      <c r="C41" s="8"/>
      <c r="D41" s="8"/>
    </row>
    <row r="42" spans="2:4" ht="5" customHeight="1"/>
    <row r="43" spans="2:4" ht="69" customHeight="1">
      <c r="B43" s="10" t="s">
        <v>195</v>
      </c>
      <c r="C43" s="10"/>
      <c r="D43" s="10"/>
    </row>
    <row r="44" spans="2:4">
      <c r="B44" s="24" t="s">
        <v>196</v>
      </c>
      <c r="C44" s="24"/>
      <c r="D44" s="24"/>
    </row>
    <row r="46" spans="2:4" ht="21" customHeight="1">
      <c r="B46" s="8" t="s">
        <v>40</v>
      </c>
      <c r="C46" s="8"/>
      <c r="D46" s="8"/>
    </row>
    <row r="47" spans="2:4" ht="5" customHeight="1"/>
    <row r="48" spans="2:4" ht="42.6" customHeight="1">
      <c r="B48" s="10" t="s">
        <v>197</v>
      </c>
      <c r="C48" s="10"/>
      <c r="D48" s="10"/>
    </row>
    <row r="50" spans="2:4" ht="21" customHeight="1">
      <c r="B50" s="8" t="s">
        <v>198</v>
      </c>
      <c r="C50" s="8"/>
      <c r="D50" s="8"/>
    </row>
    <row r="51" spans="2:4" ht="5" customHeight="1"/>
    <row r="52" spans="2:4" ht="16.2" customHeight="1">
      <c r="B52" s="26" t="s">
        <v>53</v>
      </c>
      <c r="C52" s="10" t="s">
        <v>199</v>
      </c>
      <c r="D52" s="10"/>
    </row>
    <row r="53" spans="2:4" ht="29.4" customHeight="1">
      <c r="B53" s="26" t="s">
        <v>53</v>
      </c>
      <c r="C53" s="10" t="s">
        <v>200</v>
      </c>
      <c r="D53" s="10"/>
    </row>
    <row r="54" spans="2:4" ht="29.4" customHeight="1">
      <c r="B54" s="26" t="s">
        <v>53</v>
      </c>
      <c r="C54" s="10" t="s">
        <v>201</v>
      </c>
      <c r="D54" s="10"/>
    </row>
    <row r="55" spans="2:4">
      <c r="B55" s="21" t="s">
        <v>202</v>
      </c>
      <c r="C55" s="21"/>
      <c r="D55" s="21"/>
    </row>
    <row r="57" spans="2:4" ht="21" customHeight="1">
      <c r="B57" s="8" t="s">
        <v>203</v>
      </c>
      <c r="C57" s="8"/>
      <c r="D57" s="8"/>
    </row>
    <row r="58" spans="2:4" ht="5" customHeight="1"/>
    <row r="59" spans="2:4">
      <c r="B59" s="55" t="s">
        <v>48</v>
      </c>
      <c r="C59" s="55" t="s">
        <v>204</v>
      </c>
      <c r="D59" s="31" t="s">
        <v>87</v>
      </c>
    </row>
    <row r="60" spans="2:4" ht="16.2" customHeight="1">
      <c r="B60" s="64" t="s">
        <v>205</v>
      </c>
      <c r="C60" s="65" t="s">
        <v>206</v>
      </c>
      <c r="D60" s="66" t="s">
        <v>207</v>
      </c>
    </row>
    <row r="62" spans="2:4">
      <c r="B62" s="21" t="s">
        <v>59</v>
      </c>
      <c r="C62" s="21"/>
      <c r="D62" s="21"/>
    </row>
  </sheetData>
  <sheetProtection sheet="1" formatColumns="0" formatRows="0"/>
  <mergeCells count="27">
    <mergeCell ref="A1:D1"/>
    <mergeCell ref="B2:C2"/>
    <mergeCell ref="B4:D4"/>
    <mergeCell ref="B6:D6"/>
    <mergeCell ref="B8:D8"/>
    <mergeCell ref="B27:D27"/>
    <mergeCell ref="C29:D29"/>
    <mergeCell ref="C30:D30"/>
    <mergeCell ref="C31:D31"/>
    <mergeCell ref="C32:D32"/>
    <mergeCell ref="B34:D34"/>
    <mergeCell ref="C36:D36"/>
    <mergeCell ref="C37:D37"/>
    <mergeCell ref="C38:D38"/>
    <mergeCell ref="C39:D39"/>
    <mergeCell ref="B41:D41"/>
    <mergeCell ref="B43:D43"/>
    <mergeCell ref="B44:D44"/>
    <mergeCell ref="B46:D46"/>
    <mergeCell ref="B48:D48"/>
    <mergeCell ref="B50:D50"/>
    <mergeCell ref="C52:D52"/>
    <mergeCell ref="C53:D53"/>
    <mergeCell ref="C54:D54"/>
    <mergeCell ref="B55:D55"/>
    <mergeCell ref="B57:D57"/>
    <mergeCell ref="B62:D62"/>
  </mergeCells>
  <hyperlinks>
    <hyperlink ref="D2" r:id="rId1" tooltip="Free manufacturing calculators and templates"/>
    <hyperlink ref="B44" r:id="rId2"/>
  </hyperlinks>
  <printOptions horizontalCentered="1"/>
  <pageMargins left="0.4" right="0.4" top="0.7" bottom="0.65" header="0.3" footer="0.3"/>
  <pageSetup fitToHeight="0" orientation="portrait"/>
  <headerFooter>
    <oddHeader>&amp;L&amp;8MFG Calcs - Throughput Analysis&amp;R&amp;8&amp;A</oddHeader>
    <oddFooter>&amp;L&amp;8mfgcalcs.com - free manufacturing templates&amp;R&amp;8Page &amp;P of &amp;N</oddFooter>
  </headerFooter>
  <rowBreaks count="2" manualBreakCount="2">
    <brk id="26" max="16383" man="1"/>
    <brk id="56"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X89"/>
  <sheetViews>
    <sheetView showGridLines="0" workbookViewId="0"/>
  </sheetViews>
  <sheetFormatPr defaultRowHeight="15"/>
  <cols>
    <col min="1" max="1" width="2.7109375" customWidth="1"/>
    <col min="2" max="19" width="12.7109375" customWidth="1"/>
    <col min="20" max="20" width="10.7109375" customWidth="1"/>
    <col min="21" max="22" width="12.28515625" customWidth="1"/>
    <col min="23" max="23" width="24.7109375" customWidth="1"/>
    <col min="24" max="24" width="30.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26</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67" t="s">
        <v>208</v>
      </c>
      <c r="C4" s="67"/>
      <c r="D4" s="22" t="str">
        <f>IF(COUNTIF($K$11:$K$55,"PASS")=45,"PASS","FAIL")</f>
        <v>PASS</v>
      </c>
      <c r="E4" s="22"/>
      <c r="F4" s="23" t="str">
        <f>COUNTIF($K$11:$K$55,"PASS")&amp;" of 45 checks pass"</f>
        <v>45 of 45 checks pass</v>
      </c>
      <c r="G4" s="23"/>
      <c r="H4" s="23"/>
      <c r="I4" s="23"/>
      <c r="J4" s="23"/>
    </row>
    <row r="6" spans="1:24" ht="29.4" customHeight="1">
      <c r="B6" s="10" t="s">
        <v>209</v>
      </c>
      <c r="C6" s="10"/>
      <c r="D6" s="10"/>
      <c r="E6" s="10"/>
      <c r="F6" s="10"/>
      <c r="G6" s="10"/>
      <c r="H6" s="10"/>
      <c r="I6" s="10"/>
      <c r="J6" s="10"/>
      <c r="K6" s="10"/>
      <c r="L6" s="10"/>
    </row>
    <row r="8" spans="1:24" ht="21" customHeight="1">
      <c r="B8" s="8" t="s">
        <v>210</v>
      </c>
      <c r="C8" s="8"/>
      <c r="D8" s="8"/>
      <c r="E8" s="8"/>
      <c r="F8" s="8"/>
      <c r="G8" s="8"/>
      <c r="H8" s="8"/>
      <c r="I8" s="8"/>
      <c r="J8" s="8"/>
      <c r="K8" s="8"/>
      <c r="L8" s="8"/>
    </row>
    <row r="9" spans="1:24" ht="5" customHeight="1"/>
    <row r="10" spans="1:24" ht="30" customHeight="1">
      <c r="B10" s="31" t="s">
        <v>211</v>
      </c>
      <c r="C10" s="55" t="s">
        <v>106</v>
      </c>
      <c r="D10" s="55"/>
      <c r="E10" s="55"/>
      <c r="F10" s="55"/>
      <c r="G10" s="31" t="s">
        <v>212</v>
      </c>
      <c r="H10" s="31" t="s">
        <v>213</v>
      </c>
      <c r="I10" s="31" t="s">
        <v>214</v>
      </c>
      <c r="J10" s="31" t="s">
        <v>215</v>
      </c>
      <c r="K10" s="31" t="s">
        <v>216</v>
      </c>
    </row>
    <row r="11" spans="1:24" ht="16.2" customHeight="1">
      <c r="B11" s="68">
        <v>1</v>
      </c>
      <c r="C11" s="65" t="s">
        <v>217</v>
      </c>
      <c r="D11" s="65"/>
      <c r="E11" s="65"/>
      <c r="F11" s="65"/>
      <c r="G11" s="69">
        <v>800</v>
      </c>
      <c r="H11" s="70">
        <f>$L$73</f>
        <v>800</v>
      </c>
      <c r="I11" s="71">
        <f>IF(AND(ISNUMBER($G$11),ISNUMBER($H$11)),ABS($H$11-$G$11),"")</f>
        <v>0</v>
      </c>
      <c r="J11" s="72">
        <v>1E-09</v>
      </c>
      <c r="K11" s="40" t="str">
        <f>IF(AND(ISNUMBER($G$11),ISNUMBER($H$11)),IF(ABS($H$11-$G$11)&lt;=$J$11,"PASS","FAIL"),"FAIL")</f>
        <v>PASS</v>
      </c>
    </row>
    <row r="12" spans="1:24" ht="16.2" customHeight="1">
      <c r="B12" s="68">
        <v>2</v>
      </c>
      <c r="C12" s="65" t="s">
        <v>218</v>
      </c>
      <c r="D12" s="65"/>
      <c r="E12" s="65"/>
      <c r="F12" s="65"/>
      <c r="G12" s="69">
        <v>85.36</v>
      </c>
      <c r="H12" s="70">
        <f>$M$73</f>
        <v>85.36</v>
      </c>
      <c r="I12" s="71">
        <f>IF(AND(ISNUMBER($G$12),ISNUMBER($H$12)),ABS($H$12-$G$12),"")</f>
        <v>0</v>
      </c>
      <c r="J12" s="72">
        <v>1E-09</v>
      </c>
      <c r="K12" s="40" t="str">
        <f>IF(AND(ISNUMBER($G$12),ISNUMBER($H$12)),IF(ABS($H$12-$G$12)&lt;=$J$12,"PASS","FAIL"),"FAIL")</f>
        <v>PASS</v>
      </c>
    </row>
    <row r="13" spans="1:24" ht="16.2" customHeight="1">
      <c r="B13" s="68">
        <v>3</v>
      </c>
      <c r="C13" s="65" t="s">
        <v>219</v>
      </c>
      <c r="D13" s="65"/>
      <c r="E13" s="65"/>
      <c r="F13" s="65"/>
      <c r="G13" s="73">
        <v>0.8536</v>
      </c>
      <c r="H13" s="74">
        <f>$P$73</f>
        <v>0.8536</v>
      </c>
      <c r="I13" s="71">
        <f>IF(AND(ISNUMBER($G$13),ISNUMBER($H$13)),ABS($H$13-$G$13),"")</f>
        <v>0</v>
      </c>
      <c r="J13" s="72">
        <v>1E-09</v>
      </c>
      <c r="K13" s="40" t="str">
        <f>IF(AND(ISNUMBER($G$13),ISNUMBER($H$13)),IF(ABS($H$13-$G$13)&lt;=$J$13,"PASS","FAIL"),"FAIL")</f>
        <v>PASS</v>
      </c>
    </row>
    <row r="14" spans="1:24" ht="16.2" customHeight="1">
      <c r="B14" s="68">
        <v>4</v>
      </c>
      <c r="C14" s="65" t="s">
        <v>220</v>
      </c>
      <c r="D14" s="65"/>
      <c r="E14" s="65"/>
      <c r="F14" s="65"/>
      <c r="G14" s="73">
        <v>0.9755428571428572</v>
      </c>
      <c r="H14" s="74">
        <f>$T$73</f>
        <v>0.975542857142857</v>
      </c>
      <c r="I14" s="71">
        <f>IF(AND(ISNUMBER($G$14),ISNUMBER($H$14)),ABS($H$14-$G$14),"")</f>
        <v>0</v>
      </c>
      <c r="J14" s="72">
        <v>1E-09</v>
      </c>
      <c r="K14" s="40" t="str">
        <f>IF(AND(ISNUMBER($G$14),ISNUMBER($H$14)),IF(ABS($H$14-$G$14)&lt;=$J$14,"PASS","FAIL"),"FAIL")</f>
        <v>PASS</v>
      </c>
    </row>
    <row r="15" spans="1:24" ht="16.2" customHeight="1">
      <c r="B15" s="68">
        <v>5</v>
      </c>
      <c r="C15" s="65" t="s">
        <v>221</v>
      </c>
      <c r="D15" s="65"/>
      <c r="E15" s="65"/>
      <c r="F15" s="65"/>
      <c r="G15" s="69">
        <v>9000</v>
      </c>
      <c r="H15" s="70">
        <f>$L$74</f>
        <v>9000</v>
      </c>
      <c r="I15" s="71">
        <f>IF(AND(ISNUMBER($G$15),ISNUMBER($H$15)),ABS($H$15-$G$15),"")</f>
        <v>0</v>
      </c>
      <c r="J15" s="72">
        <v>1E-09</v>
      </c>
      <c r="K15" s="40" t="str">
        <f>IF(AND(ISNUMBER($G$15),ISNUMBER($H$15)),IF(ABS($H$15-$G$15)&lt;=$J$15,"PASS","FAIL"),"FAIL")</f>
        <v>PASS</v>
      </c>
    </row>
    <row r="16" spans="1:24" ht="16.2" customHeight="1">
      <c r="B16" s="68">
        <v>6</v>
      </c>
      <c r="C16" s="65" t="s">
        <v>222</v>
      </c>
      <c r="D16" s="65"/>
      <c r="E16" s="65"/>
      <c r="F16" s="65"/>
      <c r="G16" s="69">
        <v>1069.2</v>
      </c>
      <c r="H16" s="70">
        <f>$M$74</f>
        <v>1069.2</v>
      </c>
      <c r="I16" s="71">
        <f>IF(AND(ISNUMBER($G$16),ISNUMBER($H$16)),ABS($H$16-$G$16),"")</f>
        <v>0</v>
      </c>
      <c r="J16" s="72">
        <v>1E-09</v>
      </c>
      <c r="K16" s="40" t="str">
        <f>IF(AND(ISNUMBER($G$16),ISNUMBER($H$16)),IF(ABS($H$16-$G$16)&lt;=$J$16,"PASS","FAIL"),"FAIL")</f>
        <v>PASS</v>
      </c>
    </row>
    <row r="17" spans="2:11" ht="16.2" customHeight="1">
      <c r="B17" s="68">
        <v>7</v>
      </c>
      <c r="C17" s="65" t="s">
        <v>223</v>
      </c>
      <c r="D17" s="65"/>
      <c r="E17" s="65"/>
      <c r="F17" s="65"/>
      <c r="G17" s="73">
        <v>0.891</v>
      </c>
      <c r="H17" s="74">
        <f>$P$74</f>
        <v>0.891</v>
      </c>
      <c r="I17" s="71">
        <f>IF(AND(ISNUMBER($G$17),ISNUMBER($H$17)),ABS($H$17-$G$17),"")</f>
        <v>0</v>
      </c>
      <c r="J17" s="72">
        <v>1E-09</v>
      </c>
      <c r="K17" s="40" t="str">
        <f>IF(AND(ISNUMBER($G$17),ISNUMBER($H$17)),IF(ABS($H$17-$G$17)&lt;=$J$17,"PASS","FAIL"),"FAIL")</f>
        <v>PASS</v>
      </c>
    </row>
    <row r="18" spans="2:11" ht="16.2" customHeight="1">
      <c r="B18" s="68">
        <v>8</v>
      </c>
      <c r="C18" s="65" t="s">
        <v>224</v>
      </c>
      <c r="D18" s="65"/>
      <c r="E18" s="65"/>
      <c r="F18" s="65"/>
      <c r="G18" s="73">
        <v>1.002375</v>
      </c>
      <c r="H18" s="74">
        <f>$T$74</f>
        <v>1.002375</v>
      </c>
      <c r="I18" s="71">
        <f>IF(AND(ISNUMBER($G$18),ISNUMBER($H$18)),ABS($H$18-$G$18),"")</f>
        <v>0</v>
      </c>
      <c r="J18" s="72">
        <v>1E-09</v>
      </c>
      <c r="K18" s="40" t="str">
        <f>IF(AND(ISNUMBER($G$18),ISNUMBER($H$18)),IF(ABS($H$18-$G$18)&lt;=$J$18,"PASS","FAIL"),"FAIL")</f>
        <v>PASS</v>
      </c>
    </row>
    <row r="19" spans="2:11" ht="16.2" customHeight="1">
      <c r="B19" s="68">
        <v>9</v>
      </c>
      <c r="C19" s="65" t="s">
        <v>225</v>
      </c>
      <c r="D19" s="65"/>
      <c r="E19" s="65"/>
      <c r="F19" s="65"/>
      <c r="G19" s="69">
        <v>9000</v>
      </c>
      <c r="H19" s="70">
        <f>$L$75</f>
        <v>9000</v>
      </c>
      <c r="I19" s="71">
        <f>IF(AND(ISNUMBER($G$19),ISNUMBER($H$19)),ABS($H$19-$G$19),"")</f>
        <v>0</v>
      </c>
      <c r="J19" s="72">
        <v>1E-09</v>
      </c>
      <c r="K19" s="40" t="str">
        <f>IF(AND(ISNUMBER($G$19),ISNUMBER($H$19)),IF(ABS($H$19-$G$19)&lt;=$J$19,"PASS","FAIL"),"FAIL")</f>
        <v>PASS</v>
      </c>
    </row>
    <row r="20" spans="2:11" ht="16.2" customHeight="1">
      <c r="B20" s="68">
        <v>10</v>
      </c>
      <c r="C20" s="65" t="s">
        <v>226</v>
      </c>
      <c r="D20" s="65"/>
      <c r="E20" s="65"/>
      <c r="F20" s="65"/>
      <c r="G20" s="69">
        <v>1003.2</v>
      </c>
      <c r="H20" s="70">
        <f>$M$75</f>
        <v>1003.2</v>
      </c>
      <c r="I20" s="71">
        <f>IF(AND(ISNUMBER($G$20),ISNUMBER($H$20)),ABS($H$20-$G$20),"")</f>
        <v>0</v>
      </c>
      <c r="J20" s="72">
        <v>1E-09</v>
      </c>
      <c r="K20" s="40" t="str">
        <f>IF(AND(ISNUMBER($G$20),ISNUMBER($H$20)),IF(ABS($H$20-$G$20)&lt;=$J$20,"PASS","FAIL"),"FAIL")</f>
        <v>PASS</v>
      </c>
    </row>
    <row r="21" spans="2:11" ht="16.2" customHeight="1">
      <c r="B21" s="68">
        <v>11</v>
      </c>
      <c r="C21" s="65" t="s">
        <v>227</v>
      </c>
      <c r="D21" s="65"/>
      <c r="E21" s="65"/>
      <c r="F21" s="65"/>
      <c r="G21" s="73">
        <v>0.836</v>
      </c>
      <c r="H21" s="74">
        <f>$P$75</f>
        <v>0.836</v>
      </c>
      <c r="I21" s="71">
        <f>IF(AND(ISNUMBER($G$21),ISNUMBER($H$21)),ABS($H$21-$G$21),"")</f>
        <v>0</v>
      </c>
      <c r="J21" s="72">
        <v>1E-09</v>
      </c>
      <c r="K21" s="40" t="str">
        <f>IF(AND(ISNUMBER($G$21),ISNUMBER($H$21)),IF(ABS($H$21-$G$21)&lt;=$J$21,"PASS","FAIL"),"FAIL")</f>
        <v>PASS</v>
      </c>
    </row>
    <row r="22" spans="2:11" ht="16.2" customHeight="1">
      <c r="B22" s="68">
        <v>12</v>
      </c>
      <c r="C22" s="65" t="s">
        <v>228</v>
      </c>
      <c r="D22" s="65"/>
      <c r="E22" s="65"/>
      <c r="F22" s="65"/>
      <c r="G22" s="73">
        <v>0.9405</v>
      </c>
      <c r="H22" s="74">
        <f>$T$75</f>
        <v>0.9405</v>
      </c>
      <c r="I22" s="71">
        <f>IF(AND(ISNUMBER($G$22),ISNUMBER($H$22)),ABS($H$22-$G$22),"")</f>
        <v>0</v>
      </c>
      <c r="J22" s="72">
        <v>1E-09</v>
      </c>
      <c r="K22" s="40" t="str">
        <f>IF(AND(ISNUMBER($G$22),ISNUMBER($H$22)),IF(ABS($H$22-$G$22)&lt;=$J$22,"PASS","FAIL"),"FAIL")</f>
        <v>PASS</v>
      </c>
    </row>
    <row r="23" spans="2:11" ht="16.2" customHeight="1">
      <c r="B23" s="68">
        <v>13</v>
      </c>
      <c r="C23" s="65" t="s">
        <v>229</v>
      </c>
      <c r="D23" s="65"/>
      <c r="E23" s="65"/>
      <c r="F23" s="65"/>
      <c r="G23" s="73">
        <v>0.88</v>
      </c>
      <c r="H23" s="74">
        <f>$N$73</f>
        <v>0.88</v>
      </c>
      <c r="I23" s="71">
        <f>IF(AND(ISNUMBER($G$23),ISNUMBER($H$23)),ABS($H$23-$G$23),"")</f>
        <v>0</v>
      </c>
      <c r="J23" s="72">
        <v>1E-09</v>
      </c>
      <c r="K23" s="40" t="str">
        <f>IF(AND(ISNUMBER($G$23),ISNUMBER($H$23)),IF(ABS($H$23-$G$23)&lt;=$J$23,"PASS","FAIL"),"FAIL")</f>
        <v>PASS</v>
      </c>
    </row>
    <row r="24" spans="2:11" ht="16.2" customHeight="1">
      <c r="B24" s="68">
        <v>14</v>
      </c>
      <c r="C24" s="65" t="s">
        <v>230</v>
      </c>
      <c r="D24" s="65"/>
      <c r="E24" s="65"/>
      <c r="F24" s="65"/>
      <c r="G24" s="73">
        <v>0.97</v>
      </c>
      <c r="H24" s="74">
        <f>$O$73</f>
        <v>0.97</v>
      </c>
      <c r="I24" s="71">
        <f>IF(AND(ISNUMBER($G$24),ISNUMBER($H$24)),ABS($H$24-$G$24),"")</f>
        <v>0</v>
      </c>
      <c r="J24" s="72">
        <v>1E-09</v>
      </c>
      <c r="K24" s="40" t="str">
        <f>IF(AND(ISNUMBER($G$24),ISNUMBER($H$24)),IF(ABS($H$24-$G$24)&lt;=$J$24,"PASS","FAIL"),"FAIL")</f>
        <v>PASS</v>
      </c>
    </row>
    <row r="25" spans="2:11" ht="16.2" customHeight="1">
      <c r="B25" s="68">
        <v>15</v>
      </c>
      <c r="C25" s="65" t="s">
        <v>231</v>
      </c>
      <c r="D25" s="65"/>
      <c r="E25" s="65"/>
      <c r="F25" s="65"/>
      <c r="G25" s="69">
        <v>0</v>
      </c>
      <c r="H25" s="70">
        <f>$R$73</f>
        <v>0</v>
      </c>
      <c r="I25" s="71">
        <f>IF(AND(ISNUMBER($G$25),ISNUMBER($H$25)),ABS($H$25-$G$25),"")</f>
        <v>0</v>
      </c>
      <c r="J25" s="72">
        <v>1E-09</v>
      </c>
      <c r="K25" s="40" t="str">
        <f>IF(AND(ISNUMBER($G$25),ISNUMBER($H$25)),IF(ABS($H$25-$G$25)&lt;=$J$25,"PASS","FAIL"),"FAIL")</f>
        <v>PASS</v>
      </c>
    </row>
    <row r="26" spans="2:11" ht="16.2" customHeight="1">
      <c r="B26" s="68">
        <v>16</v>
      </c>
      <c r="C26" s="65" t="s">
        <v>232</v>
      </c>
      <c r="D26" s="65"/>
      <c r="E26" s="65"/>
      <c r="F26" s="65"/>
      <c r="G26" s="69">
        <v>0</v>
      </c>
      <c r="H26" s="70">
        <f>$Q$75</f>
        <v>0</v>
      </c>
      <c r="I26" s="71">
        <f>IF(AND(ISNUMBER($G$26),ISNUMBER($H$26)),ABS($H$26-$G$26),"")</f>
        <v>0</v>
      </c>
      <c r="J26" s="72">
        <v>1E-09</v>
      </c>
      <c r="K26" s="40" t="str">
        <f>IF(AND(ISNUMBER($G$26),ISNUMBER($H$26)),IF(ABS($H$26-$G$26)&lt;=$J$26,"PASS","FAIL"),"FAIL")</f>
        <v>PASS</v>
      </c>
    </row>
    <row r="27" spans="2:11" ht="16.2" customHeight="1">
      <c r="B27" s="68">
        <v>17</v>
      </c>
      <c r="C27" s="65" t="s">
        <v>233</v>
      </c>
      <c r="D27" s="65"/>
      <c r="E27" s="65"/>
      <c r="F27" s="65"/>
      <c r="G27" s="69">
        <v>1400</v>
      </c>
      <c r="H27" s="70">
        <f>$R$75</f>
        <v>1400</v>
      </c>
      <c r="I27" s="71">
        <f>IF(AND(ISNUMBER($G$27),ISNUMBER($H$27)),ABS($H$27-$G$27),"")</f>
        <v>0</v>
      </c>
      <c r="J27" s="72">
        <v>1E-09</v>
      </c>
      <c r="K27" s="40" t="str">
        <f>IF(AND(ISNUMBER($G$27),ISNUMBER($H$27)),IF(ABS($H$27-$G$27)&lt;=$J$27,"PASS","FAIL"),"FAIL")</f>
        <v>PASS</v>
      </c>
    </row>
    <row r="28" spans="2:11" ht="16.2" customHeight="1">
      <c r="B28" s="68">
        <v>18</v>
      </c>
      <c r="C28" s="65" t="s">
        <v>234</v>
      </c>
      <c r="D28" s="65"/>
      <c r="E28" s="65"/>
      <c r="F28" s="65"/>
      <c r="G28" s="69">
        <v>900</v>
      </c>
      <c r="H28" s="70">
        <f>$Q$74</f>
        <v>900</v>
      </c>
      <c r="I28" s="71">
        <f>IF(AND(ISNUMBER($G$28),ISNUMBER($H$28)),ABS($H$28-$G$28),"")</f>
        <v>0</v>
      </c>
      <c r="J28" s="72">
        <v>1E-09</v>
      </c>
      <c r="K28" s="40" t="str">
        <f>IF(AND(ISNUMBER($G$28),ISNUMBER($H$28)),IF(ABS($H$28-$G$28)&lt;=$J$28,"PASS","FAIL"),"FAIL")</f>
        <v>PASS</v>
      </c>
    </row>
    <row r="29" spans="2:11" ht="16.2" customHeight="1">
      <c r="B29" s="68">
        <v>19</v>
      </c>
      <c r="C29" s="65" t="s">
        <v>235</v>
      </c>
      <c r="D29" s="65"/>
      <c r="E29" s="65"/>
      <c r="F29" s="65"/>
      <c r="G29" s="69">
        <v>81</v>
      </c>
      <c r="H29" s="70">
        <f>$S$74</f>
        <v>81</v>
      </c>
      <c r="I29" s="71">
        <f>IF(AND(ISNUMBER($G$29),ISNUMBER($H$29)),ABS($H$29-$G$29),"")</f>
        <v>0</v>
      </c>
      <c r="J29" s="72">
        <v>1E-09</v>
      </c>
      <c r="K29" s="40" t="str">
        <f>IF(AND(ISNUMBER($G$29),ISNUMBER($H$29)),IF(ABS($H$29-$G$29)&lt;=$J$29,"PASS","FAIL"),"FAIL")</f>
        <v>PASS</v>
      </c>
    </row>
    <row r="30" spans="2:11" ht="16.2" customHeight="1">
      <c r="B30" s="68">
        <v>20</v>
      </c>
      <c r="C30" s="65" t="s">
        <v>236</v>
      </c>
      <c r="D30" s="65"/>
      <c r="E30" s="65"/>
      <c r="F30" s="65"/>
      <c r="G30" s="75">
        <v>682.88</v>
      </c>
      <c r="H30" s="38">
        <f>$L$73-$Q$73-$R$73-$S$73</f>
        <v>682.88</v>
      </c>
      <c r="I30" s="71">
        <f>IF(AND(ISNUMBER($G$30),ISNUMBER($H$30)),ABS($H$30-$G$30),"")</f>
        <v>0</v>
      </c>
      <c r="J30" s="72">
        <v>1E-09</v>
      </c>
      <c r="K30" s="40" t="str">
        <f>IF(AND(ISNUMBER($G$30),ISNUMBER($H$30)),IF(ABS($H$30-$G$30)&lt;=$J$30,"PASS","FAIL"),"FAIL")</f>
        <v>PASS</v>
      </c>
    </row>
    <row r="31" spans="2:11" ht="16.2" customHeight="1">
      <c r="B31" s="68">
        <v>21</v>
      </c>
      <c r="C31" s="65" t="s">
        <v>237</v>
      </c>
      <c r="D31" s="65"/>
      <c r="E31" s="65"/>
      <c r="F31" s="65"/>
      <c r="G31" s="75">
        <v>8019</v>
      </c>
      <c r="H31" s="38">
        <f>$L$74-$Q$74-$R$74-$S$74</f>
        <v>8019</v>
      </c>
      <c r="I31" s="71">
        <f>IF(AND(ISNUMBER($G$31),ISNUMBER($H$31)),ABS($H$31-$G$31),"")</f>
        <v>0</v>
      </c>
      <c r="J31" s="72">
        <v>1E-09</v>
      </c>
      <c r="K31" s="40" t="str">
        <f>IF(AND(ISNUMBER($G$31),ISNUMBER($H$31)),IF(ABS($H$31-$G$31)&lt;=$J$31,"PASS","FAIL"),"FAIL")</f>
        <v>PASS</v>
      </c>
    </row>
    <row r="32" spans="2:11" ht="16.2" customHeight="1">
      <c r="B32" s="68">
        <v>22</v>
      </c>
      <c r="C32" s="65" t="s">
        <v>238</v>
      </c>
      <c r="D32" s="65"/>
      <c r="E32" s="65"/>
      <c r="F32" s="65"/>
      <c r="G32" s="75">
        <v>7524</v>
      </c>
      <c r="H32" s="38">
        <f>$L$75-$Q$75-$R$75-$S$75</f>
        <v>7524</v>
      </c>
      <c r="I32" s="71">
        <f>IF(AND(ISNUMBER($G$32),ISNUMBER($H$32)),ABS($H$32-$G$32),"")</f>
        <v>0</v>
      </c>
      <c r="J32" s="72">
        <v>1E-09</v>
      </c>
      <c r="K32" s="40" t="str">
        <f>IF(AND(ISNUMBER($G$32),ISNUMBER($H$32)),IF(ABS($H$32-$G$32)&lt;=$J$32,"PASS","FAIL"),"FAIL")</f>
        <v>PASS</v>
      </c>
    </row>
    <row r="33" spans="2:11" ht="16.2" customHeight="1">
      <c r="B33" s="68">
        <v>23</v>
      </c>
      <c r="C33" s="65" t="s">
        <v>239</v>
      </c>
      <c r="D33" s="65"/>
      <c r="E33" s="65"/>
      <c r="F33" s="65"/>
      <c r="G33" s="64" t="s">
        <v>240</v>
      </c>
      <c r="H33" s="76" t="str">
        <f>$U$73</f>
        <v>Near target</v>
      </c>
      <c r="I33" s="76"/>
      <c r="J33" s="66" t="s">
        <v>241</v>
      </c>
      <c r="K33" s="40" t="str">
        <f>IF($H$33&amp;""=$G$33&amp;"","PASS","FAIL")</f>
        <v>PASS</v>
      </c>
    </row>
    <row r="34" spans="2:11" ht="16.2" customHeight="1">
      <c r="B34" s="68">
        <v>24</v>
      </c>
      <c r="C34" s="65" t="s">
        <v>242</v>
      </c>
      <c r="D34" s="65"/>
      <c r="E34" s="65"/>
      <c r="F34" s="65"/>
      <c r="G34" s="64" t="s">
        <v>243</v>
      </c>
      <c r="H34" s="76" t="str">
        <f>$U$74</f>
        <v>On target</v>
      </c>
      <c r="I34" s="76"/>
      <c r="J34" s="66" t="s">
        <v>241</v>
      </c>
      <c r="K34" s="40" t="str">
        <f>IF($H$34&amp;""=$G$34&amp;"","PASS","FAIL")</f>
        <v>PASS</v>
      </c>
    </row>
    <row r="35" spans="2:11" ht="16.2" customHeight="1">
      <c r="B35" s="68">
        <v>25</v>
      </c>
      <c r="C35" s="65" t="s">
        <v>244</v>
      </c>
      <c r="D35" s="65"/>
      <c r="E35" s="65"/>
      <c r="F35" s="65"/>
      <c r="G35" s="64" t="s">
        <v>245</v>
      </c>
      <c r="H35" s="76" t="str">
        <f>$U$75</f>
        <v>Below target</v>
      </c>
      <c r="I35" s="76"/>
      <c r="J35" s="66" t="s">
        <v>241</v>
      </c>
      <c r="K35" s="40" t="str">
        <f>IF($H$35&amp;""=$G$35&amp;"","PASS","FAIL")</f>
        <v>PASS</v>
      </c>
    </row>
    <row r="36" spans="2:11" ht="16.2" customHeight="1">
      <c r="B36" s="68">
        <v>26</v>
      </c>
      <c r="C36" s="65" t="s">
        <v>246</v>
      </c>
      <c r="D36" s="65"/>
      <c r="E36" s="65"/>
      <c r="F36" s="65"/>
      <c r="G36" s="64" t="s">
        <v>247</v>
      </c>
      <c r="H36" s="76" t="str">
        <f>$W$76</f>
        <v>Good &gt; total</v>
      </c>
      <c r="I36" s="76"/>
      <c r="J36" s="66" t="s">
        <v>241</v>
      </c>
      <c r="K36" s="40" t="str">
        <f>IF($H$36&amp;""=$G$36&amp;"","PASS","FAIL")</f>
        <v>PASS</v>
      </c>
    </row>
    <row r="37" spans="2:11" ht="16.2" customHeight="1">
      <c r="B37" s="68">
        <v>27</v>
      </c>
      <c r="C37" s="65" t="s">
        <v>248</v>
      </c>
      <c r="D37" s="65"/>
      <c r="E37" s="65"/>
      <c r="F37" s="65"/>
      <c r="G37" s="64" t="s">
        <v>249</v>
      </c>
      <c r="H37" s="76" t="str">
        <f>$W$77</f>
        <v>Faster than cycle: check cycle</v>
      </c>
      <c r="I37" s="76"/>
      <c r="J37" s="66" t="s">
        <v>241</v>
      </c>
      <c r="K37" s="40" t="str">
        <f>IF($H$37&amp;""=$G$37&amp;"","PASS","FAIL")</f>
        <v>PASS</v>
      </c>
    </row>
    <row r="38" spans="2:11" ht="16.2" customHeight="1">
      <c r="B38" s="68">
        <v>28</v>
      </c>
      <c r="C38" s="65" t="s">
        <v>250</v>
      </c>
      <c r="D38" s="65"/>
      <c r="E38" s="65"/>
      <c r="F38" s="65"/>
      <c r="G38" s="64" t="s">
        <v>251</v>
      </c>
      <c r="H38" s="76" t="str">
        <f>$W$74</f>
        <v>OK</v>
      </c>
      <c r="I38" s="76"/>
      <c r="J38" s="66" t="s">
        <v>241</v>
      </c>
      <c r="K38" s="40" t="str">
        <f>IF($H$38&amp;""=$G$38&amp;"","PASS","FAIL")</f>
        <v>PASS</v>
      </c>
    </row>
    <row r="39" spans="2:11" ht="16.2" customHeight="1">
      <c r="B39" s="68">
        <v>29</v>
      </c>
      <c r="C39" s="65" t="s">
        <v>252</v>
      </c>
      <c r="D39" s="65"/>
      <c r="E39" s="65"/>
      <c r="F39" s="65"/>
      <c r="G39" s="69">
        <v>673.9189610389609</v>
      </c>
      <c r="H39" s="70">
        <f>IF((SUMIFS(tblVerifyRuns[Scheduled (min)],tblVerifyRuns[View date],"&gt;0"))=0,"",(SUMIFS(tblVerifyRuns[Good (units)],tblVerifyRuns[View date],"&gt;0")*60)/(SUMIFS(tblVerifyRuns[Scheduled (min)],tblVerifyRuns[View date],"&gt;0")))</f>
        <v>673.918961038961</v>
      </c>
      <c r="I39" s="71">
        <f>IF(AND(ISNUMBER($G$39),ISNUMBER($H$39)),ABS($H$39-$G$39),"")</f>
        <v>0</v>
      </c>
      <c r="J39" s="72">
        <v>1E-09</v>
      </c>
      <c r="K39" s="40" t="str">
        <f>IF(AND(ISNUMBER($G$39),ISNUMBER($H$39)),IF(ABS($H$39-$G$39)&lt;=$J$39,"PASS","FAIL"),"FAIL")</f>
        <v>PASS</v>
      </c>
    </row>
    <row r="40" spans="2:11" ht="16.2" customHeight="1">
      <c r="B40" s="68">
        <v>30</v>
      </c>
      <c r="C40" s="65" t="s">
        <v>253</v>
      </c>
      <c r="D40" s="65"/>
      <c r="E40" s="65"/>
      <c r="F40" s="65"/>
      <c r="G40" s="73">
        <v>1.021491338582677</v>
      </c>
      <c r="H40" s="74">
        <f>IF((SUMIFS(tblVerifyRuns[Demand (units)],tblVerifyRuns[View date],"&gt;0"))=0,"",(SUMIFS(tblVerifyRuns[Good (units)],tblVerifyRuns[View date],"&gt;0"))/(SUMIFS(tblVerifyRuns[Demand (units)],tblVerifyRuns[View date],"&gt;0")))</f>
        <v>1.02149133858268</v>
      </c>
      <c r="I40" s="71">
        <f>IF(AND(ISNUMBER($G$40),ISNUMBER($H$40)),ABS($H$40-$G$40),"")</f>
        <v>0</v>
      </c>
      <c r="J40" s="72">
        <v>1E-09</v>
      </c>
      <c r="K40" s="40" t="str">
        <f>IF(AND(ISNUMBER($G$40),ISNUMBER($H$40)),IF(ABS($H$40-$G$40)&lt;=$J$40,"PASS","FAIL"),"FAIL")</f>
        <v>PASS</v>
      </c>
    </row>
    <row r="41" spans="2:11" ht="16.2" customHeight="1">
      <c r="B41" s="68">
        <v>31</v>
      </c>
      <c r="C41" s="65" t="s">
        <v>254</v>
      </c>
      <c r="D41" s="65"/>
      <c r="E41" s="65"/>
      <c r="F41" s="65"/>
      <c r="G41" s="73">
        <v>0.9071986013986013</v>
      </c>
      <c r="H41" s="74">
        <f>IF((SUMIFS(tblVerifyRuns[Theoretical (units)],tblVerifyRuns[View date],"&gt;0"))=0,"",(SUMIFS(tblVerifyRuns[Good (units)],tblVerifyRuns[View date],"&gt;0"))/(SUMIFS(tblVerifyRuns[Theoretical (units)],tblVerifyRuns[View date],"&gt;0")))</f>
        <v>0.907198601398601</v>
      </c>
      <c r="I41" s="71">
        <f>IF(AND(ISNUMBER($G$41),ISNUMBER($H$41)),ABS($H$41-$G$41),"")</f>
        <v>0</v>
      </c>
      <c r="J41" s="72">
        <v>1E-09</v>
      </c>
      <c r="K41" s="40" t="str">
        <f>IF(AND(ISNUMBER($G$41),ISNUMBER($H$41)),IF(ABS($H$41-$G$41)&lt;=$J$41,"PASS","FAIL"),"FAIL")</f>
        <v>PASS</v>
      </c>
    </row>
    <row r="42" spans="2:11" ht="16.2" customHeight="1">
      <c r="B42" s="68">
        <v>32</v>
      </c>
      <c r="C42" s="65" t="s">
        <v>255</v>
      </c>
      <c r="D42" s="65"/>
      <c r="E42" s="65"/>
      <c r="F42" s="65"/>
      <c r="G42" s="73">
        <v>0.9425974025974027</v>
      </c>
      <c r="H42" s="74">
        <f>IF((SUMIFS(tblVerifyRuns[Scheduled (min)],tblVerifyRuns[View date],"&gt;0"))=0,"",(SUMIFS(tblVerifyRuns[Run (min)],tblVerifyRuns[View date],"&gt;0"))/(SUMIFS(tblVerifyRuns[Scheduled (min)],tblVerifyRuns[View date],"&gt;0")))</f>
        <v>0.942597402597403</v>
      </c>
      <c r="I42" s="71">
        <f>IF(AND(ISNUMBER($G$42),ISNUMBER($H$42)),ABS($H$42-$G$42),"")</f>
        <v>0</v>
      </c>
      <c r="J42" s="72">
        <v>1E-09</v>
      </c>
      <c r="K42" s="40" t="str">
        <f>IF(AND(ISNUMBER($G$42),ISNUMBER($H$42)),IF(ABS($H$42-$G$42)&lt;=$J$42,"PASS","FAIL"),"FAIL")</f>
        <v>PASS</v>
      </c>
    </row>
    <row r="43" spans="2:11" ht="16.2" customHeight="1">
      <c r="B43" s="68">
        <v>33</v>
      </c>
      <c r="C43" s="65" t="s">
        <v>256</v>
      </c>
      <c r="D43" s="65"/>
      <c r="E43" s="65"/>
      <c r="F43" s="65"/>
      <c r="G43" s="73">
        <v>0.9901495954816057</v>
      </c>
      <c r="H43" s="74">
        <f>IF((SUMIFS(tblVerifyRuns[Total (units)],tblVerifyRuns[View date],"&gt;0"))=0,"",(SUMIFS(tblVerifyRuns[Good (units)],tblVerifyRuns[View date],"&gt;0"))/(SUMIFS(tblVerifyRuns[Total (units)],tblVerifyRuns[View date],"&gt;0")))</f>
        <v>0.990149595481606</v>
      </c>
      <c r="I43" s="71">
        <f>IF(AND(ISNUMBER($G$43),ISNUMBER($H$43)),ABS($H$43-$G$43),"")</f>
        <v>0</v>
      </c>
      <c r="J43" s="72">
        <v>1E-09</v>
      </c>
      <c r="K43" s="40" t="str">
        <f>IF(AND(ISNUMBER($G$43),ISNUMBER($H$43)),IF(ABS($H$43-$G$43)&lt;=$J$43,"PASS","FAIL"),"FAIL")</f>
        <v>PASS</v>
      </c>
    </row>
    <row r="44" spans="2:11" ht="16.2" customHeight="1">
      <c r="B44" s="68">
        <v>34</v>
      </c>
      <c r="C44" s="65" t="s">
        <v>257</v>
      </c>
      <c r="D44" s="65"/>
      <c r="E44" s="65"/>
      <c r="F44" s="65"/>
      <c r="G44" s="75">
        <v>545.8799999999974</v>
      </c>
      <c r="H44" s="38">
        <f>IF(SUMIFS(tblVerifyRuns[Demand (units)],tblVerifyRuns[View date],"&gt;0")=0,"",SUMIFS(tblVerifyRuns[Good (units)],tblVerifyRuns[View date],"&gt;0")-SUMIFS(tblVerifyRuns[Demand (units)],tblVerifyRuns[View date],"&gt;0"))</f>
        <v>545.880000000001</v>
      </c>
      <c r="I44" s="71">
        <f>IF(AND(ISNUMBER($G$44),ISNUMBER($H$44)),ABS($H$44-$G$44),"")</f>
        <v>3.63797880709171e-12</v>
      </c>
      <c r="J44" s="72">
        <v>1E-09</v>
      </c>
      <c r="K44" s="40" t="str">
        <f>IF(AND(ISNUMBER($G$44),ISNUMBER($H$44)),IF(ABS($H$44-$G$44)&lt;=$J$44,"PASS","FAIL"),"FAIL")</f>
        <v>PASS</v>
      </c>
    </row>
    <row r="45" spans="2:11" ht="16.2" customHeight="1">
      <c r="B45" s="68">
        <v>35</v>
      </c>
      <c r="C45" s="65" t="s">
        <v>258</v>
      </c>
      <c r="D45" s="65"/>
      <c r="E45" s="65"/>
      <c r="F45" s="65"/>
      <c r="G45" s="64" t="s">
        <v>259</v>
      </c>
      <c r="H45" s="76" t="str">
        <f>IF(MAX(SUMIFS(tblVerifyRuns[Downtime loss (units)],tblVerifyRuns[View date],"&gt;0"),SUMIFS(tblVerifyRuns[Speed loss (units)],tblVerifyRuns[View date],"&gt;0"),SUMIFS(tblVerifyRuns[Quality loss (units)],tblVerifyRuns[View date],"&gt;0"))&lt;=0,"None in view",IF(SUMIFS(tblVerifyRuns[Downtime loss (units)],tblVerifyRuns[View date],"&gt;0")&gt;=MAX(SUMIFS(tblVerifyRuns[Speed loss (units)],tblVerifyRuns[View date],"&gt;0"),SUMIFS(tblVerifyRuns[Quality loss (units)],tblVerifyRuns[View date],"&gt;0")),"Downtime",IF(SUMIFS(tblVerifyRuns[Speed loss (units)],tblVerifyRuns[View date],"&gt;0")&gt;=SUMIFS(tblVerifyRuns[Quality loss (units)],tblVerifyRuns[View date],"&gt;0"),"Slow running","Scrap and rework")))</f>
        <v>Slow running</v>
      </c>
      <c r="I45" s="76"/>
      <c r="J45" s="66" t="s">
        <v>241</v>
      </c>
      <c r="K45" s="40" t="str">
        <f>IF($H$45&amp;""=$G$45&amp;"","PASS","FAIL")</f>
        <v>PASS</v>
      </c>
    </row>
    <row r="46" spans="2:11" ht="16.2" customHeight="1">
      <c r="B46" s="68">
        <v>36</v>
      </c>
      <c r="C46" s="65" t="s">
        <v>260</v>
      </c>
      <c r="D46" s="65"/>
      <c r="E46" s="65"/>
      <c r="F46" s="65"/>
      <c r="G46" s="69">
        <v>146</v>
      </c>
      <c r="H46" s="70">
        <f>$E$81</f>
        <v>146</v>
      </c>
      <c r="I46" s="71">
        <f>IF(AND(ISNUMBER($G$46),ISNUMBER($H$46)),ABS($H$46-$G$46),"")</f>
        <v>0</v>
      </c>
      <c r="J46" s="72">
        <v>1E-09</v>
      </c>
      <c r="K46" s="40" t="str">
        <f>IF(AND(ISNUMBER($G$46),ISNUMBER($H$46)),IF(ABS($H$46-$G$46)&lt;=$J$46,"PASS","FAIL"),"FAIL")</f>
        <v>PASS</v>
      </c>
    </row>
    <row r="47" spans="2:11" ht="16.2" customHeight="1">
      <c r="B47" s="68">
        <v>37</v>
      </c>
      <c r="C47" s="65" t="s">
        <v>261</v>
      </c>
      <c r="D47" s="65"/>
      <c r="E47" s="65"/>
      <c r="F47" s="65"/>
      <c r="G47" s="69">
        <v>150</v>
      </c>
      <c r="H47" s="70">
        <f>$F$81</f>
        <v>150</v>
      </c>
      <c r="I47" s="71">
        <f>IF(AND(ISNUMBER($G$47),ISNUMBER($H$47)),ABS($H$47-$G$47),"")</f>
        <v>0</v>
      </c>
      <c r="J47" s="72">
        <v>1E-09</v>
      </c>
      <c r="K47" s="40" t="str">
        <f>IF(AND(ISNUMBER($G$47),ISNUMBER($H$47)),IF(ABS($H$47-$G$47)&lt;=$J$47,"PASS","FAIL"),"FAIL")</f>
        <v>PASS</v>
      </c>
    </row>
    <row r="48" spans="2:11" ht="16.2" customHeight="1">
      <c r="B48" s="68">
        <v>38</v>
      </c>
      <c r="C48" s="65" t="s">
        <v>262</v>
      </c>
      <c r="D48" s="65"/>
      <c r="E48" s="65"/>
      <c r="F48" s="65"/>
      <c r="G48" s="73">
        <v>0.9306285714285715</v>
      </c>
      <c r="H48" s="74">
        <f>$H$81</f>
        <v>0.930628571428572</v>
      </c>
      <c r="I48" s="71">
        <f>IF(AND(ISNUMBER($G$48),ISNUMBER($H$48)),ABS($H$48-$G$48),"")</f>
        <v>0</v>
      </c>
      <c r="J48" s="72">
        <v>1E-09</v>
      </c>
      <c r="K48" s="40" t="str">
        <f>IF(AND(ISNUMBER($G$48),ISNUMBER($H$48)),IF(ABS($H$48-$G$48)&lt;=$J$48,"PASS","FAIL"),"FAIL")</f>
        <v>PASS</v>
      </c>
    </row>
    <row r="49" spans="2:12" ht="16.2" customHeight="1">
      <c r="B49" s="68">
        <v>39</v>
      </c>
      <c r="C49" s="65" t="s">
        <v>263</v>
      </c>
      <c r="D49" s="65"/>
      <c r="E49" s="65"/>
      <c r="F49" s="65"/>
      <c r="G49" s="69">
        <v>37.35645854513584</v>
      </c>
      <c r="H49" s="70">
        <f>$J$81</f>
        <v>37.3564585451358</v>
      </c>
      <c r="I49" s="71">
        <f>IF(AND(ISNUMBER($G$49),ISNUMBER($H$49)),ABS($H$49-$G$49),"")</f>
        <v>0</v>
      </c>
      <c r="J49" s="72">
        <v>1E-09</v>
      </c>
      <c r="K49" s="40" t="str">
        <f>IF(AND(ISNUMBER($G$49),ISNUMBER($H$49)),IF(ABS($H$49-$G$49)&lt;=$J$49,"PASS","FAIL"),"FAIL")</f>
        <v>PASS</v>
      </c>
    </row>
    <row r="50" spans="2:12" ht="16.2" customHeight="1">
      <c r="B50" s="68">
        <v>40</v>
      </c>
      <c r="C50" s="65" t="s">
        <v>264</v>
      </c>
      <c r="D50" s="65"/>
      <c r="E50" s="65"/>
      <c r="F50" s="65"/>
      <c r="G50" s="73">
        <v>0.09125</v>
      </c>
      <c r="H50" s="74">
        <f>$D$87</f>
        <v>0.09125</v>
      </c>
      <c r="I50" s="71">
        <f>IF(AND(ISNUMBER($G$50),ISNUMBER($H$50)),ABS($H$50-$G$50),"")</f>
        <v>0</v>
      </c>
      <c r="J50" s="72">
        <v>1E-09</v>
      </c>
      <c r="K50" s="40" t="str">
        <f>IF(AND(ISNUMBER($G$50),ISNUMBER($H$50)),IF(ABS($H$50-$G$50)&lt;=$J$50,"PASS","FAIL"),"FAIL")</f>
        <v>PASS</v>
      </c>
    </row>
    <row r="51" spans="2:12" ht="16.2" customHeight="1">
      <c r="B51" s="68">
        <v>41</v>
      </c>
      <c r="C51" s="65" t="s">
        <v>265</v>
      </c>
      <c r="D51" s="65"/>
      <c r="E51" s="65"/>
      <c r="F51" s="65"/>
      <c r="G51" s="69">
        <v>900</v>
      </c>
      <c r="H51" s="70">
        <f>$E$82</f>
        <v>900</v>
      </c>
      <c r="I51" s="71">
        <f>IF(AND(ISNUMBER($G$51),ISNUMBER($H$51)),ABS($H$51-$G$51),"")</f>
        <v>0</v>
      </c>
      <c r="J51" s="72">
        <v>1E-09</v>
      </c>
      <c r="K51" s="40" t="str">
        <f>IF(AND(ISNUMBER($G$51),ISNUMBER($H$51)),IF(ABS($H$51-$G$51)&lt;=$J$51,"PASS","FAIL"),"FAIL")</f>
        <v>PASS</v>
      </c>
    </row>
    <row r="52" spans="2:12" ht="16.2" customHeight="1">
      <c r="B52" s="68">
        <v>42</v>
      </c>
      <c r="C52" s="65" t="s">
        <v>266</v>
      </c>
      <c r="D52" s="65"/>
      <c r="E52" s="65"/>
      <c r="F52" s="65"/>
      <c r="G52" s="69">
        <v>1200</v>
      </c>
      <c r="H52" s="70">
        <f>$F$82</f>
        <v>1200</v>
      </c>
      <c r="I52" s="71">
        <f>IF(AND(ISNUMBER($G$52),ISNUMBER($H$52)),ABS($H$52-$G$52),"")</f>
        <v>0</v>
      </c>
      <c r="J52" s="72">
        <v>1E-09</v>
      </c>
      <c r="K52" s="40" t="str">
        <f>IF(AND(ISNUMBER($G$52),ISNUMBER($H$52)),IF(ABS($H$52-$G$52)&lt;=$J$52,"PASS","FAIL"),"FAIL")</f>
        <v>PASS</v>
      </c>
    </row>
    <row r="53" spans="2:12" ht="16.2" customHeight="1">
      <c r="B53" s="68">
        <v>43</v>
      </c>
      <c r="C53" s="65" t="s">
        <v>267</v>
      </c>
      <c r="D53" s="65"/>
      <c r="E53" s="65"/>
      <c r="F53" s="65"/>
      <c r="G53" s="73">
        <v>1.026791666666667</v>
      </c>
      <c r="H53" s="74">
        <f>$H$82</f>
        <v>1.02679166666667</v>
      </c>
      <c r="I53" s="71">
        <f>IF(AND(ISNUMBER($G$53),ISNUMBER($H$53)),ABS($H$53-$G$53),"")</f>
        <v>0</v>
      </c>
      <c r="J53" s="72">
        <v>1E-09</v>
      </c>
      <c r="K53" s="40" t="str">
        <f>IF(AND(ISNUMBER($G$53),ISNUMBER($H$53)),IF(ABS($H$53-$G$53)&lt;=$J$53,"PASS","FAIL"),"FAIL")</f>
        <v>PASS</v>
      </c>
    </row>
    <row r="54" spans="2:12" ht="16.2" customHeight="1">
      <c r="B54" s="68">
        <v>44</v>
      </c>
      <c r="C54" s="65" t="s">
        <v>268</v>
      </c>
      <c r="D54" s="65"/>
      <c r="E54" s="65"/>
      <c r="F54" s="65"/>
      <c r="G54" s="69">
        <v>3.228826807228915</v>
      </c>
      <c r="H54" s="70">
        <f>$J$82</f>
        <v>3.22882680722892</v>
      </c>
      <c r="I54" s="71">
        <f>IF(AND(ISNUMBER($G$54),ISNUMBER($H$54)),ABS($H$54-$G$54),"")</f>
        <v>0</v>
      </c>
      <c r="J54" s="72">
        <v>1E-09</v>
      </c>
      <c r="K54" s="40" t="str">
        <f>IF(AND(ISNUMBER($G$54),ISNUMBER($H$54)),IF(ABS($H$54-$G$54)&lt;=$J$54,"PASS","FAIL"),"FAIL")</f>
        <v>PASS</v>
      </c>
    </row>
    <row r="55" spans="2:12" ht="16.2" customHeight="1">
      <c r="B55" s="68">
        <v>45</v>
      </c>
      <c r="C55" s="65" t="s">
        <v>269</v>
      </c>
      <c r="D55" s="65"/>
      <c r="E55" s="65"/>
      <c r="F55" s="65"/>
      <c r="G55" s="73">
        <v>0.03333333333333333</v>
      </c>
      <c r="H55" s="74">
        <f>$D$88</f>
        <v>0.0333333333333333</v>
      </c>
      <c r="I55" s="71">
        <f>IF(AND(ISNUMBER($G$55),ISNUMBER($H$55)),ABS($H$55-$G$55),"")</f>
        <v>0</v>
      </c>
      <c r="J55" s="72">
        <v>1E-09</v>
      </c>
      <c r="K55" s="40" t="str">
        <f>IF(AND(ISNUMBER($G$55),ISNUMBER($H$55)),IF(ABS($H$55-$G$55)&lt;=$J$55,"PASS","FAIL"),"FAIL")</f>
        <v>PASS</v>
      </c>
    </row>
    <row r="57" spans="2:12" ht="21" customHeight="1">
      <c r="B57" s="8" t="s">
        <v>270</v>
      </c>
      <c r="C57" s="8"/>
      <c r="D57" s="8"/>
      <c r="E57" s="8"/>
      <c r="F57" s="8"/>
      <c r="G57" s="8"/>
      <c r="H57" s="8"/>
      <c r="I57" s="8"/>
      <c r="J57" s="8"/>
      <c r="K57" s="8"/>
      <c r="L57" s="8"/>
    </row>
    <row r="58" spans="2:12" ht="5" customHeight="1"/>
    <row r="59" spans="2:12">
      <c r="B59" s="21" t="s">
        <v>271</v>
      </c>
      <c r="C59" s="21"/>
      <c r="D59" s="21"/>
      <c r="E59" s="21"/>
      <c r="F59" s="21"/>
      <c r="G59" s="21"/>
      <c r="H59" s="21"/>
      <c r="I59" s="21"/>
      <c r="J59" s="21"/>
      <c r="K59" s="21"/>
      <c r="L59" s="21"/>
    </row>
    <row r="60" spans="2:12">
      <c r="B60" s="30" t="s">
        <v>272</v>
      </c>
      <c r="C60" s="30"/>
      <c r="D60" s="30"/>
      <c r="E60" s="30"/>
      <c r="F60" s="30"/>
    </row>
    <row r="61" spans="2:12">
      <c r="B61" s="27" t="s">
        <v>273</v>
      </c>
      <c r="C61" s="27"/>
      <c r="D61" s="27"/>
      <c r="E61" s="77">
        <v>0</v>
      </c>
      <c r="F61" s="7"/>
    </row>
    <row r="62" spans="2:12">
      <c r="B62" s="27" t="s">
        <v>274</v>
      </c>
      <c r="C62" s="27"/>
      <c r="D62" s="27"/>
      <c r="E62" s="77">
        <v>2958465</v>
      </c>
      <c r="F62" s="7"/>
    </row>
    <row r="63" spans="2:12">
      <c r="B63" s="27" t="s">
        <v>275</v>
      </c>
      <c r="C63" s="27"/>
      <c r="D63" s="27"/>
      <c r="E63" s="64" t="s">
        <v>109</v>
      </c>
      <c r="F63" s="64"/>
    </row>
    <row r="64" spans="2:12">
      <c r="B64" s="27" t="s">
        <v>71</v>
      </c>
      <c r="C64" s="27"/>
      <c r="D64" s="27"/>
      <c r="E64" s="78">
        <v>1</v>
      </c>
      <c r="F64" s="7"/>
    </row>
    <row r="66" spans="2:24">
      <c r="B66" s="30" t="s">
        <v>276</v>
      </c>
      <c r="C66" s="30"/>
      <c r="D66" s="30"/>
      <c r="E66" s="30"/>
      <c r="F66" s="30"/>
      <c r="G66" s="30"/>
      <c r="H66" s="30"/>
      <c r="I66" s="30"/>
      <c r="J66" s="30"/>
      <c r="K66" s="30"/>
      <c r="L66" s="30"/>
    </row>
    <row r="67" spans="2:24" ht="32" customHeight="1">
      <c r="B67" s="31" t="s">
        <v>60</v>
      </c>
      <c r="C67" s="31" t="s">
        <v>61</v>
      </c>
      <c r="D67" s="31" t="s">
        <v>62</v>
      </c>
      <c r="E67" s="31" t="s">
        <v>63</v>
      </c>
      <c r="F67" s="31" t="s">
        <v>64</v>
      </c>
      <c r="G67" s="31" t="s">
        <v>65</v>
      </c>
    </row>
    <row r="68" spans="2:24">
      <c r="B68" s="64" t="s">
        <v>277</v>
      </c>
      <c r="C68" s="75">
        <v>36</v>
      </c>
      <c r="D68" s="79">
        <v>2</v>
      </c>
      <c r="E68" s="77">
        <v>1400</v>
      </c>
      <c r="F68" s="35">
        <f>IF(AND(ISNUMBER(tblVerifyLines[[#This Row],[Daily demand (units)]]),N(tblVerifyLines[[#This Row],[Shifts per day]])&gt;0),tblVerifyLines[[#This Row],[Daily demand (units)]]/tblVerifyLines[[#This Row],[Shifts per day]],"")</f>
        <v>700</v>
      </c>
      <c r="G68" s="64" t="s">
        <v>278</v>
      </c>
    </row>
    <row r="69" spans="2:24">
      <c r="B69" s="64" t="s">
        <v>279</v>
      </c>
      <c r="C69" s="75">
        <v>3</v>
      </c>
      <c r="D69" s="79">
        <v>2</v>
      </c>
      <c r="E69" s="77">
        <v>16000</v>
      </c>
      <c r="F69" s="35">
        <f>IF(AND(ISNUMBER(tblVerifyLines[[#This Row],[Daily demand (units)]]),N(tblVerifyLines[[#This Row],[Shifts per day]])&gt;0),tblVerifyLines[[#This Row],[Daily demand (units)]]/tblVerifyLines[[#This Row],[Shifts per day]],"")</f>
        <v>8000</v>
      </c>
      <c r="G69" s="64" t="s">
        <v>280</v>
      </c>
    </row>
    <row r="71" spans="2:24">
      <c r="B71" s="30" t="s">
        <v>281</v>
      </c>
      <c r="C71" s="30"/>
      <c r="D71" s="30"/>
      <c r="E71" s="30"/>
      <c r="F71" s="30"/>
      <c r="G71" s="30"/>
      <c r="H71" s="30"/>
      <c r="I71" s="30"/>
      <c r="J71" s="30"/>
      <c r="K71" s="30"/>
      <c r="L71" s="30"/>
    </row>
    <row r="72" spans="2:24" ht="32" customHeight="1">
      <c r="B72" s="31" t="s">
        <v>87</v>
      </c>
      <c r="C72" s="31" t="s">
        <v>66</v>
      </c>
      <c r="D72" s="31" t="s">
        <v>60</v>
      </c>
      <c r="E72" s="31" t="s">
        <v>88</v>
      </c>
      <c r="F72" s="31" t="s">
        <v>89</v>
      </c>
      <c r="G72" s="31" t="s">
        <v>90</v>
      </c>
      <c r="H72" s="31" t="s">
        <v>91</v>
      </c>
      <c r="I72" s="31" t="s">
        <v>92</v>
      </c>
      <c r="J72" s="31" t="s">
        <v>93</v>
      </c>
      <c r="K72" s="31" t="s">
        <v>94</v>
      </c>
      <c r="L72" s="31" t="s">
        <v>95</v>
      </c>
      <c r="M72" s="31" t="s">
        <v>96</v>
      </c>
      <c r="N72" s="31" t="s">
        <v>97</v>
      </c>
      <c r="O72" s="31" t="s">
        <v>98</v>
      </c>
      <c r="P72" s="31" t="s">
        <v>99</v>
      </c>
      <c r="Q72" s="31" t="s">
        <v>100</v>
      </c>
      <c r="R72" s="31" t="s">
        <v>101</v>
      </c>
      <c r="S72" s="31" t="s">
        <v>102</v>
      </c>
      <c r="T72" s="31" t="s">
        <v>103</v>
      </c>
      <c r="U72" s="31" t="s">
        <v>104</v>
      </c>
      <c r="V72" s="31" t="s">
        <v>105</v>
      </c>
      <c r="W72" s="31" t="s">
        <v>106</v>
      </c>
      <c r="X72" s="31" t="s">
        <v>107</v>
      </c>
    </row>
    <row r="73" spans="2:24">
      <c r="B73" s="80">
        <v>46027</v>
      </c>
      <c r="C73" s="64" t="s">
        <v>282</v>
      </c>
      <c r="D73" s="64" t="s">
        <v>277</v>
      </c>
      <c r="E73" s="77">
        <v>480</v>
      </c>
      <c r="F73" s="77">
        <v>57.6</v>
      </c>
      <c r="G73" s="77">
        <v>704</v>
      </c>
      <c r="H73" s="77">
        <v>682.88</v>
      </c>
      <c r="I73" s="75">
        <v>36</v>
      </c>
      <c r="J73" s="77">
        <v>700</v>
      </c>
      <c r="K73" s="35">
        <f>IF(tblVerifyRuns[[#This Row],[Date]]="","",tblVerifyRuns[[#This Row],[Scheduled (min)]]-tblVerifyRuns[[#This Row],[Downtime (min)]])</f>
        <v>422.4</v>
      </c>
      <c r="L73" s="35">
        <f>IF(tblVerifyRuns[[#This Row],[Date]]="","",IF(ISNUMBER(tblVerifyRuns[[#This Row],[Cycle (s/unit)]]),tblVerifyRuns[[#This Row],[Scheduled (min)]]*60/tblVerifyRuns[[#This Row],[Cycle (s/unit)]],""))</f>
        <v>800</v>
      </c>
      <c r="M73" s="35">
        <f>IF(tblVerifyRuns[[#This Row],[Date]]="","",IF(tblVerifyRuns[[#This Row],[Scheduled (min)]]&gt;0,tblVerifyRuns[[#This Row],[Good (units)]]/(tblVerifyRuns[[#This Row],[Scheduled (min)]]/60),""))</f>
        <v>85.36</v>
      </c>
      <c r="N73" s="39">
        <f>IF(tblVerifyRuns[[#This Row],[Date]]="","",IF(tblVerifyRuns[[#This Row],[Scheduled (min)]]&gt;0,tblVerifyRuns[[#This Row],[Run (min)]]/tblVerifyRuns[[#This Row],[Scheduled (min)]],""))</f>
        <v>0.88</v>
      </c>
      <c r="O73" s="39">
        <f>IF(tblVerifyRuns[[#This Row],[Date]]="","",IF(tblVerifyRuns[[#This Row],[Total (units)]]&gt;0,tblVerifyRuns[[#This Row],[Good (units)]]/tblVerifyRuns[[#This Row],[Total (units)]],""))</f>
        <v>0.97</v>
      </c>
      <c r="P73" s="39">
        <f>IF(tblVerifyRuns[[#This Row],[Date]]="","",IF(N(tblVerifyRuns[[#This Row],[Theoretical (units)]])&gt;0,tblVerifyRuns[[#This Row],[Good (units)]]/tblVerifyRuns[[#This Row],[Theoretical (units)]],""))</f>
        <v>0.8536</v>
      </c>
      <c r="Q73" s="35">
        <f>IF(tblVerifyRuns[[#This Row],[Date]]="","",IF(ISNUMBER(tblVerifyRuns[[#This Row],[Cycle (s/unit)]]),tblVerifyRuns[[#This Row],[Downtime (min)]]*60/tblVerifyRuns[[#This Row],[Cycle (s/unit)]],""))</f>
        <v>96</v>
      </c>
      <c r="R73" s="35">
        <f>IF(tblVerifyRuns[[#This Row],[Date]]="","",IF(ISNUMBER(tblVerifyRuns[[#This Row],[Cycle (s/unit)]]),tblVerifyRuns[[#This Row],[Run (min)]]*60/tblVerifyRuns[[#This Row],[Cycle (s/unit)]]-tblVerifyRuns[[#This Row],[Total (units)]],""))</f>
        <v>0</v>
      </c>
      <c r="S73" s="35">
        <f>IF(tblVerifyRuns[[#This Row],[Date]]="","",tblVerifyRuns[[#This Row],[Total (units)]]-tblVerifyRuns[[#This Row],[Good (units)]])</f>
        <v>21.12</v>
      </c>
      <c r="T73" s="39">
        <f>IF(tblVerifyRuns[[#This Row],[Date]]="","",IF(N(tblVerifyRuns[[#This Row],[Demand (units)]])&gt;0,tblVerifyRuns[[#This Row],[Good (units)]]/tblVerifyRuns[[#This Row],[Demand (units)]],""))</f>
        <v>0.975542857142857</v>
      </c>
      <c r="U73" s="40" t="str">
        <f>IF(NOT(ISNUMBER(tblVerifyRuns[[#This Row],[Demand coverage]])),"",IF(tblVerifyRuns[[#This Row],[Demand coverage]]&gt;=$E$64,"On target",IF(tblVerifyRuns[[#This Row],[Demand coverage]]&gt;=$E$64*(1-0.05),"Near target","Below target")))</f>
        <v>Near target</v>
      </c>
      <c r="V73" s="41">
        <f>IF(tblVerifyRuns[[#This Row],[Date]]="","",IF(AND(tblVerifyRuns[[#This Row],[Date]]&gt;=$E$61,tblVerifyRuns[[#This Row],[Date]]&lt;=$E$62,OR($E$63="",tblVerifyRuns[[#This Row],[Line]]=$E$63)),tblVerifyRuns[[#This Row],[Date]],""))</f>
        <v>46027</v>
      </c>
      <c r="W73" s="42" t="str">
        <f>IF(tblVerifyRuns[[#This Row],[Date]]="","",IF(tblVerifyRuns[[#This Row],[Shift]]="","Missing shift",IF(tblVerifyRuns[[#This Row],[Line]]="","Missing line",IF(tblVerifyRuns[[#This Row],[Scheduled (min)]]="","Missing scheduled",IF(tblVerifyRuns[[#This Row],[Total (units)]]="","Missing total",IF(tblVerifyRuns[[#This Row],[Good (units)]]="","Missing good",IF(tblVerifyRuns[[#This Row],[Cycle (s/unit)]]="","Line not on Setup list",IF(tblVerifyRuns[[#This Row],[Good (units)]]&gt;tblVerifyRuns[[#This Row],[Total (units)]],"Good &gt; total",IF(tblVerifyRuns[[#This Row],[Downtime (min)]]&gt;tblVerifyRuns[[#This Row],[Scheduled (min)]],"Downtime &gt; scheduled",IF(N(tblVerifyRuns[[#This Row],[Speed loss (units)]])&lt;0,"Faster than cycle: check cycle",IF(COUNTIFS(tblVerifyRuns[Date],tblVerifyRuns[[#This Row],[Date]],tblVerifyRuns[Shift],tblVerifyRuns[[#This Row],[Shift]],tblVerifyRuns[Line],tblVerifyRuns[[#This Row],[Line]])&gt;1,"Duplicate shift row","OK")))))))))))</f>
        <v>OK</v>
      </c>
      <c r="X73" s="64" t="s">
        <v>109</v>
      </c>
    </row>
    <row r="74" spans="2:24">
      <c r="B74" s="80">
        <v>46027</v>
      </c>
      <c r="C74" s="64" t="s">
        <v>282</v>
      </c>
      <c r="D74" s="64" t="s">
        <v>279</v>
      </c>
      <c r="E74" s="77">
        <v>450</v>
      </c>
      <c r="F74" s="77">
        <v>45</v>
      </c>
      <c r="G74" s="77">
        <v>8100</v>
      </c>
      <c r="H74" s="77">
        <v>8019</v>
      </c>
      <c r="I74" s="75">
        <v>3</v>
      </c>
      <c r="J74" s="77">
        <v>8000</v>
      </c>
      <c r="K74" s="35">
        <f>IF(tblVerifyRuns[[#This Row],[Date]]="","",tblVerifyRuns[[#This Row],[Scheduled (min)]]-tblVerifyRuns[[#This Row],[Downtime (min)]])</f>
        <v>405</v>
      </c>
      <c r="L74" s="35">
        <f>IF(tblVerifyRuns[[#This Row],[Date]]="","",IF(ISNUMBER(tblVerifyRuns[[#This Row],[Cycle (s/unit)]]),tblVerifyRuns[[#This Row],[Scheduled (min)]]*60/tblVerifyRuns[[#This Row],[Cycle (s/unit)]],""))</f>
        <v>9000</v>
      </c>
      <c r="M74" s="35">
        <f>IF(tblVerifyRuns[[#This Row],[Date]]="","",IF(tblVerifyRuns[[#This Row],[Scheduled (min)]]&gt;0,tblVerifyRuns[[#This Row],[Good (units)]]/(tblVerifyRuns[[#This Row],[Scheduled (min)]]/60),""))</f>
        <v>1069.2</v>
      </c>
      <c r="N74" s="39">
        <f>IF(tblVerifyRuns[[#This Row],[Date]]="","",IF(tblVerifyRuns[[#This Row],[Scheduled (min)]]&gt;0,tblVerifyRuns[[#This Row],[Run (min)]]/tblVerifyRuns[[#This Row],[Scheduled (min)]],""))</f>
        <v>0.9</v>
      </c>
      <c r="O74" s="39">
        <f>IF(tblVerifyRuns[[#This Row],[Date]]="","",IF(tblVerifyRuns[[#This Row],[Total (units)]]&gt;0,tblVerifyRuns[[#This Row],[Good (units)]]/tblVerifyRuns[[#This Row],[Total (units)]],""))</f>
        <v>0.99</v>
      </c>
      <c r="P74" s="39">
        <f>IF(tblVerifyRuns[[#This Row],[Date]]="","",IF(N(tblVerifyRuns[[#This Row],[Theoretical (units)]])&gt;0,tblVerifyRuns[[#This Row],[Good (units)]]/tblVerifyRuns[[#This Row],[Theoretical (units)]],""))</f>
        <v>0.891</v>
      </c>
      <c r="Q74" s="35">
        <f>IF(tblVerifyRuns[[#This Row],[Date]]="","",IF(ISNUMBER(tblVerifyRuns[[#This Row],[Cycle (s/unit)]]),tblVerifyRuns[[#This Row],[Downtime (min)]]*60/tblVerifyRuns[[#This Row],[Cycle (s/unit)]],""))</f>
        <v>900</v>
      </c>
      <c r="R74" s="35">
        <f>IF(tblVerifyRuns[[#This Row],[Date]]="","",IF(ISNUMBER(tblVerifyRuns[[#This Row],[Cycle (s/unit)]]),tblVerifyRuns[[#This Row],[Run (min)]]*60/tblVerifyRuns[[#This Row],[Cycle (s/unit)]]-tblVerifyRuns[[#This Row],[Total (units)]],""))</f>
        <v>0</v>
      </c>
      <c r="S74" s="35">
        <f>IF(tblVerifyRuns[[#This Row],[Date]]="","",tblVerifyRuns[[#This Row],[Total (units)]]-tblVerifyRuns[[#This Row],[Good (units)]])</f>
        <v>81</v>
      </c>
      <c r="T74" s="39">
        <f>IF(tblVerifyRuns[[#This Row],[Date]]="","",IF(N(tblVerifyRuns[[#This Row],[Demand (units)]])&gt;0,tblVerifyRuns[[#This Row],[Good (units)]]/tblVerifyRuns[[#This Row],[Demand (units)]],""))</f>
        <v>1.002375</v>
      </c>
      <c r="U74" s="40" t="str">
        <f>IF(NOT(ISNUMBER(tblVerifyRuns[[#This Row],[Demand coverage]])),"",IF(tblVerifyRuns[[#This Row],[Demand coverage]]&gt;=$E$64,"On target",IF(tblVerifyRuns[[#This Row],[Demand coverage]]&gt;=$E$64*(1-0.05),"Near target","Below target")))</f>
        <v>On target</v>
      </c>
      <c r="V74" s="41">
        <f>IF(tblVerifyRuns[[#This Row],[Date]]="","",IF(AND(tblVerifyRuns[[#This Row],[Date]]&gt;=$E$61,tblVerifyRuns[[#This Row],[Date]]&lt;=$E$62,OR($E$63="",tblVerifyRuns[[#This Row],[Line]]=$E$63)),tblVerifyRuns[[#This Row],[Date]],""))</f>
        <v>46027</v>
      </c>
      <c r="W74" s="42" t="str">
        <f>IF(tblVerifyRuns[[#This Row],[Date]]="","",IF(tblVerifyRuns[[#This Row],[Shift]]="","Missing shift",IF(tblVerifyRuns[[#This Row],[Line]]="","Missing line",IF(tblVerifyRuns[[#This Row],[Scheduled (min)]]="","Missing scheduled",IF(tblVerifyRuns[[#This Row],[Total (units)]]="","Missing total",IF(tblVerifyRuns[[#This Row],[Good (units)]]="","Missing good",IF(tblVerifyRuns[[#This Row],[Cycle (s/unit)]]="","Line not on Setup list",IF(tblVerifyRuns[[#This Row],[Good (units)]]&gt;tblVerifyRuns[[#This Row],[Total (units)]],"Good &gt; total",IF(tblVerifyRuns[[#This Row],[Downtime (min)]]&gt;tblVerifyRuns[[#This Row],[Scheduled (min)]],"Downtime &gt; scheduled",IF(N(tblVerifyRuns[[#This Row],[Speed loss (units)]])&lt;0,"Faster than cycle: check cycle",IF(COUNTIFS(tblVerifyRuns[Date],tblVerifyRuns[[#This Row],[Date]],tblVerifyRuns[Shift],tblVerifyRuns[[#This Row],[Shift]],tblVerifyRuns[Line],tblVerifyRuns[[#This Row],[Line]])&gt;1,"Duplicate shift row","OK")))))))))))</f>
        <v>OK</v>
      </c>
      <c r="X74" s="64" t="s">
        <v>109</v>
      </c>
    </row>
    <row r="75" spans="2:24">
      <c r="B75" s="80">
        <v>46027</v>
      </c>
      <c r="C75" s="64" t="s">
        <v>283</v>
      </c>
      <c r="D75" s="64" t="s">
        <v>279</v>
      </c>
      <c r="E75" s="77">
        <v>450</v>
      </c>
      <c r="F75" s="77">
        <v>0</v>
      </c>
      <c r="G75" s="77">
        <v>7600</v>
      </c>
      <c r="H75" s="77">
        <v>7524</v>
      </c>
      <c r="I75" s="75">
        <v>3</v>
      </c>
      <c r="J75" s="77">
        <v>8000</v>
      </c>
      <c r="K75" s="35">
        <f>IF(tblVerifyRuns[[#This Row],[Date]]="","",tblVerifyRuns[[#This Row],[Scheduled (min)]]-tblVerifyRuns[[#This Row],[Downtime (min)]])</f>
        <v>450</v>
      </c>
      <c r="L75" s="35">
        <f>IF(tblVerifyRuns[[#This Row],[Date]]="","",IF(ISNUMBER(tblVerifyRuns[[#This Row],[Cycle (s/unit)]]),tblVerifyRuns[[#This Row],[Scheduled (min)]]*60/tblVerifyRuns[[#This Row],[Cycle (s/unit)]],""))</f>
        <v>9000</v>
      </c>
      <c r="M75" s="35">
        <f>IF(tblVerifyRuns[[#This Row],[Date]]="","",IF(tblVerifyRuns[[#This Row],[Scheduled (min)]]&gt;0,tblVerifyRuns[[#This Row],[Good (units)]]/(tblVerifyRuns[[#This Row],[Scheduled (min)]]/60),""))</f>
        <v>1003.2</v>
      </c>
      <c r="N75" s="39">
        <f>IF(tblVerifyRuns[[#This Row],[Date]]="","",IF(tblVerifyRuns[[#This Row],[Scheduled (min)]]&gt;0,tblVerifyRuns[[#This Row],[Run (min)]]/tblVerifyRuns[[#This Row],[Scheduled (min)]],""))</f>
        <v>1</v>
      </c>
      <c r="O75" s="39">
        <f>IF(tblVerifyRuns[[#This Row],[Date]]="","",IF(tblVerifyRuns[[#This Row],[Total (units)]]&gt;0,tblVerifyRuns[[#This Row],[Good (units)]]/tblVerifyRuns[[#This Row],[Total (units)]],""))</f>
        <v>0.99</v>
      </c>
      <c r="P75" s="39">
        <f>IF(tblVerifyRuns[[#This Row],[Date]]="","",IF(N(tblVerifyRuns[[#This Row],[Theoretical (units)]])&gt;0,tblVerifyRuns[[#This Row],[Good (units)]]/tblVerifyRuns[[#This Row],[Theoretical (units)]],""))</f>
        <v>0.836</v>
      </c>
      <c r="Q75" s="35">
        <f>IF(tblVerifyRuns[[#This Row],[Date]]="","",IF(ISNUMBER(tblVerifyRuns[[#This Row],[Cycle (s/unit)]]),tblVerifyRuns[[#This Row],[Downtime (min)]]*60/tblVerifyRuns[[#This Row],[Cycle (s/unit)]],""))</f>
        <v>0</v>
      </c>
      <c r="R75" s="35">
        <f>IF(tblVerifyRuns[[#This Row],[Date]]="","",IF(ISNUMBER(tblVerifyRuns[[#This Row],[Cycle (s/unit)]]),tblVerifyRuns[[#This Row],[Run (min)]]*60/tblVerifyRuns[[#This Row],[Cycle (s/unit)]]-tblVerifyRuns[[#This Row],[Total (units)]],""))</f>
        <v>1400</v>
      </c>
      <c r="S75" s="35">
        <f>IF(tblVerifyRuns[[#This Row],[Date]]="","",tblVerifyRuns[[#This Row],[Total (units)]]-tblVerifyRuns[[#This Row],[Good (units)]])</f>
        <v>76</v>
      </c>
      <c r="T75" s="39">
        <f>IF(tblVerifyRuns[[#This Row],[Date]]="","",IF(N(tblVerifyRuns[[#This Row],[Demand (units)]])&gt;0,tblVerifyRuns[[#This Row],[Good (units)]]/tblVerifyRuns[[#This Row],[Demand (units)]],""))</f>
        <v>0.9405</v>
      </c>
      <c r="U75" s="40" t="str">
        <f>IF(NOT(ISNUMBER(tblVerifyRuns[[#This Row],[Demand coverage]])),"",IF(tblVerifyRuns[[#This Row],[Demand coverage]]&gt;=$E$64,"On target",IF(tblVerifyRuns[[#This Row],[Demand coverage]]&gt;=$E$64*(1-0.05),"Near target","Below target")))</f>
        <v>Below target</v>
      </c>
      <c r="V75" s="41">
        <f>IF(tblVerifyRuns[[#This Row],[Date]]="","",IF(AND(tblVerifyRuns[[#This Row],[Date]]&gt;=$E$61,tblVerifyRuns[[#This Row],[Date]]&lt;=$E$62,OR($E$63="",tblVerifyRuns[[#This Row],[Line]]=$E$63)),tblVerifyRuns[[#This Row],[Date]],""))</f>
        <v>46027</v>
      </c>
      <c r="W75" s="42" t="str">
        <f>IF(tblVerifyRuns[[#This Row],[Date]]="","",IF(tblVerifyRuns[[#This Row],[Shift]]="","Missing shift",IF(tblVerifyRuns[[#This Row],[Line]]="","Missing line",IF(tblVerifyRuns[[#This Row],[Scheduled (min)]]="","Missing scheduled",IF(tblVerifyRuns[[#This Row],[Total (units)]]="","Missing total",IF(tblVerifyRuns[[#This Row],[Good (units)]]="","Missing good",IF(tblVerifyRuns[[#This Row],[Cycle (s/unit)]]="","Line not on Setup list",IF(tblVerifyRuns[[#This Row],[Good (units)]]&gt;tblVerifyRuns[[#This Row],[Total (units)]],"Good &gt; total",IF(tblVerifyRuns[[#This Row],[Downtime (min)]]&gt;tblVerifyRuns[[#This Row],[Scheduled (min)]],"Downtime &gt; scheduled",IF(N(tblVerifyRuns[[#This Row],[Speed loss (units)]])&lt;0,"Faster than cycle: check cycle",IF(COUNTIFS(tblVerifyRuns[Date],tblVerifyRuns[[#This Row],[Date]],tblVerifyRuns[Shift],tblVerifyRuns[[#This Row],[Shift]],tblVerifyRuns[Line],tblVerifyRuns[[#This Row],[Line]])&gt;1,"Duplicate shift row","OK")))))))))))</f>
        <v>OK</v>
      </c>
      <c r="X75" s="64" t="s">
        <v>109</v>
      </c>
    </row>
    <row r="76" spans="2:24">
      <c r="B76" s="80">
        <v>46027</v>
      </c>
      <c r="C76" s="64" t="s">
        <v>283</v>
      </c>
      <c r="D76" s="64" t="s">
        <v>277</v>
      </c>
      <c r="E76" s="77">
        <v>480</v>
      </c>
      <c r="F76" s="77">
        <v>30</v>
      </c>
      <c r="G76" s="77">
        <v>600</v>
      </c>
      <c r="H76" s="77">
        <v>620</v>
      </c>
      <c r="I76" s="75">
        <v>36</v>
      </c>
      <c r="J76" s="77">
        <v>700</v>
      </c>
      <c r="K76" s="35">
        <f>IF(tblVerifyRuns[[#This Row],[Date]]="","",tblVerifyRuns[[#This Row],[Scheduled (min)]]-tblVerifyRuns[[#This Row],[Downtime (min)]])</f>
        <v>450</v>
      </c>
      <c r="L76" s="35">
        <f>IF(tblVerifyRuns[[#This Row],[Date]]="","",IF(ISNUMBER(tblVerifyRuns[[#This Row],[Cycle (s/unit)]]),tblVerifyRuns[[#This Row],[Scheduled (min)]]*60/tblVerifyRuns[[#This Row],[Cycle (s/unit)]],""))</f>
        <v>800</v>
      </c>
      <c r="M76" s="35">
        <f>IF(tblVerifyRuns[[#This Row],[Date]]="","",IF(tblVerifyRuns[[#This Row],[Scheduled (min)]]&gt;0,tblVerifyRuns[[#This Row],[Good (units)]]/(tblVerifyRuns[[#This Row],[Scheduled (min)]]/60),""))</f>
        <v>77.5</v>
      </c>
      <c r="N76" s="39">
        <f>IF(tblVerifyRuns[[#This Row],[Date]]="","",IF(tblVerifyRuns[[#This Row],[Scheduled (min)]]&gt;0,tblVerifyRuns[[#This Row],[Run (min)]]/tblVerifyRuns[[#This Row],[Scheduled (min)]],""))</f>
        <v>0.9375</v>
      </c>
      <c r="O76" s="39">
        <f>IF(tblVerifyRuns[[#This Row],[Date]]="","",IF(tblVerifyRuns[[#This Row],[Total (units)]]&gt;0,tblVerifyRuns[[#This Row],[Good (units)]]/tblVerifyRuns[[#This Row],[Total (units)]],""))</f>
        <v>1.03333333333333</v>
      </c>
      <c r="P76" s="39">
        <f>IF(tblVerifyRuns[[#This Row],[Date]]="","",IF(N(tblVerifyRuns[[#This Row],[Theoretical (units)]])&gt;0,tblVerifyRuns[[#This Row],[Good (units)]]/tblVerifyRuns[[#This Row],[Theoretical (units)]],""))</f>
        <v>0.775</v>
      </c>
      <c r="Q76" s="35">
        <f>IF(tblVerifyRuns[[#This Row],[Date]]="","",IF(ISNUMBER(tblVerifyRuns[[#This Row],[Cycle (s/unit)]]),tblVerifyRuns[[#This Row],[Downtime (min)]]*60/tblVerifyRuns[[#This Row],[Cycle (s/unit)]],""))</f>
        <v>50</v>
      </c>
      <c r="R76" s="35">
        <f>IF(tblVerifyRuns[[#This Row],[Date]]="","",IF(ISNUMBER(tblVerifyRuns[[#This Row],[Cycle (s/unit)]]),tblVerifyRuns[[#This Row],[Run (min)]]*60/tblVerifyRuns[[#This Row],[Cycle (s/unit)]]-tblVerifyRuns[[#This Row],[Total (units)]],""))</f>
        <v>150</v>
      </c>
      <c r="S76" s="35">
        <f>IF(tblVerifyRuns[[#This Row],[Date]]="","",tblVerifyRuns[[#This Row],[Total (units)]]-tblVerifyRuns[[#This Row],[Good (units)]])</f>
        <v>-20</v>
      </c>
      <c r="T76" s="39">
        <f>IF(tblVerifyRuns[[#This Row],[Date]]="","",IF(N(tblVerifyRuns[[#This Row],[Demand (units)]])&gt;0,tblVerifyRuns[[#This Row],[Good (units)]]/tblVerifyRuns[[#This Row],[Demand (units)]],""))</f>
        <v>0.885714285714286</v>
      </c>
      <c r="U76" s="40" t="str">
        <f>IF(NOT(ISNUMBER(tblVerifyRuns[[#This Row],[Demand coverage]])),"",IF(tblVerifyRuns[[#This Row],[Demand coverage]]&gt;=$E$64,"On target",IF(tblVerifyRuns[[#This Row],[Demand coverage]]&gt;=$E$64*(1-0.05),"Near target","Below target")))</f>
        <v>Below target</v>
      </c>
      <c r="V76" s="41">
        <f>IF(tblVerifyRuns[[#This Row],[Date]]="","",IF(AND(tblVerifyRuns[[#This Row],[Date]]&gt;=$E$61,tblVerifyRuns[[#This Row],[Date]]&lt;=$E$62,OR($E$63="",tblVerifyRuns[[#This Row],[Line]]=$E$63)),tblVerifyRuns[[#This Row],[Date]],""))</f>
        <v>46027</v>
      </c>
      <c r="W76" s="42" t="str">
        <f>IF(tblVerifyRuns[[#This Row],[Date]]="","",IF(tblVerifyRuns[[#This Row],[Shift]]="","Missing shift",IF(tblVerifyRuns[[#This Row],[Line]]="","Missing line",IF(tblVerifyRuns[[#This Row],[Scheduled (min)]]="","Missing scheduled",IF(tblVerifyRuns[[#This Row],[Total (units)]]="","Missing total",IF(tblVerifyRuns[[#This Row],[Good (units)]]="","Missing good",IF(tblVerifyRuns[[#This Row],[Cycle (s/unit)]]="","Line not on Setup list",IF(tblVerifyRuns[[#This Row],[Good (units)]]&gt;tblVerifyRuns[[#This Row],[Total (units)]],"Good &gt; total",IF(tblVerifyRuns[[#This Row],[Downtime (min)]]&gt;tblVerifyRuns[[#This Row],[Scheduled (min)]],"Downtime &gt; scheduled",IF(N(tblVerifyRuns[[#This Row],[Speed loss (units)]])&lt;0,"Faster than cycle: check cycle",IF(COUNTIFS(tblVerifyRuns[Date],tblVerifyRuns[[#This Row],[Date]],tblVerifyRuns[Shift],tblVerifyRuns[[#This Row],[Shift]],tblVerifyRuns[Line],tblVerifyRuns[[#This Row],[Line]])&gt;1,"Duplicate shift row","OK")))))))))))</f>
        <v>Good &gt; total</v>
      </c>
      <c r="X76" s="64" t="s">
        <v>109</v>
      </c>
    </row>
    <row r="77" spans="2:24">
      <c r="B77" s="80">
        <v>46028</v>
      </c>
      <c r="C77" s="64" t="s">
        <v>282</v>
      </c>
      <c r="D77" s="64" t="s">
        <v>279</v>
      </c>
      <c r="E77" s="77">
        <v>450</v>
      </c>
      <c r="F77" s="77">
        <v>0</v>
      </c>
      <c r="G77" s="77">
        <v>9200</v>
      </c>
      <c r="H77" s="77">
        <v>9100</v>
      </c>
      <c r="I77" s="75">
        <v>3</v>
      </c>
      <c r="J77" s="77">
        <v>8000</v>
      </c>
      <c r="K77" s="35">
        <f>IF(tblVerifyRuns[[#This Row],[Date]]="","",tblVerifyRuns[[#This Row],[Scheduled (min)]]-tblVerifyRuns[[#This Row],[Downtime (min)]])</f>
        <v>450</v>
      </c>
      <c r="L77" s="35">
        <f>IF(tblVerifyRuns[[#This Row],[Date]]="","",IF(ISNUMBER(tblVerifyRuns[[#This Row],[Cycle (s/unit)]]),tblVerifyRuns[[#This Row],[Scheduled (min)]]*60/tblVerifyRuns[[#This Row],[Cycle (s/unit)]],""))</f>
        <v>9000</v>
      </c>
      <c r="M77" s="35">
        <f>IF(tblVerifyRuns[[#This Row],[Date]]="","",IF(tblVerifyRuns[[#This Row],[Scheduled (min)]]&gt;0,tblVerifyRuns[[#This Row],[Good (units)]]/(tblVerifyRuns[[#This Row],[Scheduled (min)]]/60),""))</f>
        <v>1213.33333333333</v>
      </c>
      <c r="N77" s="39">
        <f>IF(tblVerifyRuns[[#This Row],[Date]]="","",IF(tblVerifyRuns[[#This Row],[Scheduled (min)]]&gt;0,tblVerifyRuns[[#This Row],[Run (min)]]/tblVerifyRuns[[#This Row],[Scheduled (min)]],""))</f>
        <v>1</v>
      </c>
      <c r="O77" s="39">
        <f>IF(tblVerifyRuns[[#This Row],[Date]]="","",IF(tblVerifyRuns[[#This Row],[Total (units)]]&gt;0,tblVerifyRuns[[#This Row],[Good (units)]]/tblVerifyRuns[[#This Row],[Total (units)]],""))</f>
        <v>0.989130434782609</v>
      </c>
      <c r="P77" s="39">
        <f>IF(tblVerifyRuns[[#This Row],[Date]]="","",IF(N(tblVerifyRuns[[#This Row],[Theoretical (units)]])&gt;0,tblVerifyRuns[[#This Row],[Good (units)]]/tblVerifyRuns[[#This Row],[Theoretical (units)]],""))</f>
        <v>1.01111111111111</v>
      </c>
      <c r="Q77" s="35">
        <f>IF(tblVerifyRuns[[#This Row],[Date]]="","",IF(ISNUMBER(tblVerifyRuns[[#This Row],[Cycle (s/unit)]]),tblVerifyRuns[[#This Row],[Downtime (min)]]*60/tblVerifyRuns[[#This Row],[Cycle (s/unit)]],""))</f>
        <v>0</v>
      </c>
      <c r="R77" s="35">
        <f>IF(tblVerifyRuns[[#This Row],[Date]]="","",IF(ISNUMBER(tblVerifyRuns[[#This Row],[Cycle (s/unit)]]),tblVerifyRuns[[#This Row],[Run (min)]]*60/tblVerifyRuns[[#This Row],[Cycle (s/unit)]]-tblVerifyRuns[[#This Row],[Total (units)]],""))</f>
        <v>-200</v>
      </c>
      <c r="S77" s="35">
        <f>IF(tblVerifyRuns[[#This Row],[Date]]="","",tblVerifyRuns[[#This Row],[Total (units)]]-tblVerifyRuns[[#This Row],[Good (units)]])</f>
        <v>100</v>
      </c>
      <c r="T77" s="39">
        <f>IF(tblVerifyRuns[[#This Row],[Date]]="","",IF(N(tblVerifyRuns[[#This Row],[Demand (units)]])&gt;0,tblVerifyRuns[[#This Row],[Good (units)]]/tblVerifyRuns[[#This Row],[Demand (units)]],""))</f>
        <v>1.1375</v>
      </c>
      <c r="U77" s="40" t="str">
        <f>IF(NOT(ISNUMBER(tblVerifyRuns[[#This Row],[Demand coverage]])),"",IF(tblVerifyRuns[[#This Row],[Demand coverage]]&gt;=$E$64,"On target",IF(tblVerifyRuns[[#This Row],[Demand coverage]]&gt;=$E$64*(1-0.05),"Near target","Below target")))</f>
        <v>On target</v>
      </c>
      <c r="V77" s="41">
        <f>IF(tblVerifyRuns[[#This Row],[Date]]="","",IF(AND(tblVerifyRuns[[#This Row],[Date]]&gt;=$E$61,tblVerifyRuns[[#This Row],[Date]]&lt;=$E$62,OR($E$63="",tblVerifyRuns[[#This Row],[Line]]=$E$63)),tblVerifyRuns[[#This Row],[Date]],""))</f>
        <v>46028</v>
      </c>
      <c r="W77" s="42" t="str">
        <f>IF(tblVerifyRuns[[#This Row],[Date]]="","",IF(tblVerifyRuns[[#This Row],[Shift]]="","Missing shift",IF(tblVerifyRuns[[#This Row],[Line]]="","Missing line",IF(tblVerifyRuns[[#This Row],[Scheduled (min)]]="","Missing scheduled",IF(tblVerifyRuns[[#This Row],[Total (units)]]="","Missing total",IF(tblVerifyRuns[[#This Row],[Good (units)]]="","Missing good",IF(tblVerifyRuns[[#This Row],[Cycle (s/unit)]]="","Line not on Setup list",IF(tblVerifyRuns[[#This Row],[Good (units)]]&gt;tblVerifyRuns[[#This Row],[Total (units)]],"Good &gt; total",IF(tblVerifyRuns[[#This Row],[Downtime (min)]]&gt;tblVerifyRuns[[#This Row],[Scheduled (min)]],"Downtime &gt; scheduled",IF(N(tblVerifyRuns[[#This Row],[Speed loss (units)]])&lt;0,"Faster than cycle: check cycle",IF(COUNTIFS(tblVerifyRuns[Date],tblVerifyRuns[[#This Row],[Date]],tblVerifyRuns[Shift],tblVerifyRuns[[#This Row],[Shift]],tblVerifyRuns[Line],tblVerifyRuns[[#This Row],[Line]])&gt;1,"Duplicate shift row","OK")))))))))))</f>
        <v>Faster than cycle: check cycle</v>
      </c>
      <c r="X77" s="64" t="s">
        <v>109</v>
      </c>
    </row>
    <row r="79" spans="2:24">
      <c r="B79" s="30" t="s">
        <v>284</v>
      </c>
      <c r="C79" s="30"/>
      <c r="D79" s="30"/>
      <c r="E79" s="30"/>
      <c r="F79" s="30"/>
      <c r="G79" s="30"/>
      <c r="H79" s="30"/>
      <c r="I79" s="30"/>
      <c r="J79" s="30"/>
      <c r="K79" s="30"/>
      <c r="L79" s="30"/>
    </row>
    <row r="80" spans="2:24" ht="32" customHeight="1">
      <c r="B80" s="55" t="s">
        <v>60</v>
      </c>
      <c r="C80" s="31" t="s">
        <v>95</v>
      </c>
      <c r="D80" s="31" t="s">
        <v>91</v>
      </c>
      <c r="E80" s="31" t="s">
        <v>100</v>
      </c>
      <c r="F80" s="31" t="s">
        <v>101</v>
      </c>
      <c r="G80" s="31" t="s">
        <v>102</v>
      </c>
      <c r="H80" s="31" t="s">
        <v>103</v>
      </c>
      <c r="I80" s="31" t="s">
        <v>130</v>
      </c>
      <c r="J80" s="31" t="s">
        <v>131</v>
      </c>
      <c r="K80" s="31" t="s">
        <v>104</v>
      </c>
    </row>
    <row r="81" spans="2:12">
      <c r="B81" s="56" t="str">
        <f>IFERROR(INDEX(tblVerifyLines[Line],1)&amp;"","")</f>
        <v>A</v>
      </c>
      <c r="C81" s="35">
        <f>IF($B$81="","",SUMIFS(tblVerifyRuns[Theoretical (units)],tblVerifyRuns[Line],$B$81,tblVerifyRuns[View date],"&gt;0"))</f>
        <v>1600</v>
      </c>
      <c r="D81" s="35">
        <f>IF($B$81="","",SUMIFS(tblVerifyRuns[Good (units)],tblVerifyRuns[Line],$B$81,tblVerifyRuns[View date],"&gt;0"))</f>
        <v>1302.88</v>
      </c>
      <c r="E81" s="35">
        <f>IF($B$81="","",SUMIFS(tblVerifyRuns[Downtime loss (units)],tblVerifyRuns[Line],$B$81,tblVerifyRuns[View date],"&gt;0"))</f>
        <v>146</v>
      </c>
      <c r="F81" s="35">
        <f>IF($B$81="","",SUMIFS(tblVerifyRuns[Speed loss (units)],tblVerifyRuns[Line],$B$81,tblVerifyRuns[View date],"&gt;0"))</f>
        <v>150</v>
      </c>
      <c r="G81" s="35">
        <f>IF($B$81="","",SUMIFS(tblVerifyRuns[Quality loss (units)],tblVerifyRuns[Line],$B$81,tblVerifyRuns[View date],"&gt;0"))</f>
        <v>1.12</v>
      </c>
      <c r="H81" s="39">
        <f>IF($B$81="","",IF((SUMIFS(tblVerifyRuns[Demand (units)],tblVerifyRuns[Line],$B$81,tblVerifyRuns[View date],"&gt;0"))=0,"",(SUMIFS(tblVerifyRuns[Good (units)],tblVerifyRuns[Line],$B$81,tblVerifyRuns[View date],"&gt;0"))/(SUMIFS(tblVerifyRuns[Demand (units)],tblVerifyRuns[Line],$B$81,tblVerifyRuns[View date],"&gt;0"))))</f>
        <v>0.930628571428572</v>
      </c>
      <c r="I81" s="38">
        <f>IF($B$81="","",IFERROR(INDEX(tblVerifyLines[Bottleneck cycle (s/unit)],MATCH($B$81,tblVerifyLines[Line],0)),""))</f>
        <v>36</v>
      </c>
      <c r="J81" s="38">
        <f>IF($B$81="","",IF((SUMIFS(tblVerifyRuns[Total (units)],tblVerifyRuns[Line],$B$81,tblVerifyRuns[View date],"&gt;0")*SUMIFS(tblVerifyRuns[Demand (units)],tblVerifyRuns[Line],$B$81,tblVerifyRuns[View date],"&gt;0"))=0,"",(SUMIFS(tblVerifyRuns[Run (min)],tblVerifyRuns[Line],$B$81,tblVerifyRuns[View date],"&gt;0")*60*SUMIFS(tblVerifyRuns[Good (units)],tblVerifyRuns[Line],$B$81,tblVerifyRuns[View date],"&gt;0"))/(SUMIFS(tblVerifyRuns[Total (units)],tblVerifyRuns[Line],$B$81,tblVerifyRuns[View date],"&gt;0")*SUMIFS(tblVerifyRuns[Demand (units)],tblVerifyRuns[Line],$B$81,tblVerifyRuns[View date],"&gt;0"))))</f>
        <v>37.3564585451358</v>
      </c>
      <c r="K81" s="40" t="str">
        <f>IF($B$81="","",IF(NOT(ISNUMBER($H$81)),"",IF($H$81&gt;=$E$64,"On target",IF($H$81&gt;=$E$64*0.95,"Near target","Below target"))))</f>
        <v>Below target</v>
      </c>
    </row>
    <row r="82" spans="2:12">
      <c r="B82" s="56" t="str">
        <f>IFERROR(INDEX(tblVerifyLines[Line],2)&amp;"","")</f>
        <v>B</v>
      </c>
      <c r="C82" s="35">
        <f>IF($B$82="","",SUMIFS(tblVerifyRuns[Theoretical (units)],tblVerifyRuns[Line],$B$82,tblVerifyRuns[View date],"&gt;0"))</f>
        <v>27000</v>
      </c>
      <c r="D82" s="35">
        <f>IF($B$82="","",SUMIFS(tblVerifyRuns[Good (units)],tblVerifyRuns[Line],$B$82,tblVerifyRuns[View date],"&gt;0"))</f>
        <v>24643</v>
      </c>
      <c r="E82" s="35">
        <f>IF($B$82="","",SUMIFS(tblVerifyRuns[Downtime loss (units)],tblVerifyRuns[Line],$B$82,tblVerifyRuns[View date],"&gt;0"))</f>
        <v>900</v>
      </c>
      <c r="F82" s="35">
        <f>IF($B$82="","",SUMIFS(tblVerifyRuns[Speed loss (units)],tblVerifyRuns[Line],$B$82,tblVerifyRuns[View date],"&gt;0"))</f>
        <v>1200</v>
      </c>
      <c r="G82" s="35">
        <f>IF($B$82="","",SUMIFS(tblVerifyRuns[Quality loss (units)],tblVerifyRuns[Line],$B$82,tblVerifyRuns[View date],"&gt;0"))</f>
        <v>257</v>
      </c>
      <c r="H82" s="39">
        <f>IF($B$82="","",IF((SUMIFS(tblVerifyRuns[Demand (units)],tblVerifyRuns[Line],$B$82,tblVerifyRuns[View date],"&gt;0"))=0,"",(SUMIFS(tblVerifyRuns[Good (units)],tblVerifyRuns[Line],$B$82,tblVerifyRuns[View date],"&gt;0"))/(SUMIFS(tblVerifyRuns[Demand (units)],tblVerifyRuns[Line],$B$82,tblVerifyRuns[View date],"&gt;0"))))</f>
        <v>1.02679166666667</v>
      </c>
      <c r="I82" s="38">
        <f>IF($B$82="","",IFERROR(INDEX(tblVerifyLines[Bottleneck cycle (s/unit)],MATCH($B$82,tblVerifyLines[Line],0)),""))</f>
        <v>3</v>
      </c>
      <c r="J82" s="38">
        <f>IF($B$82="","",IF((SUMIFS(tblVerifyRuns[Total (units)],tblVerifyRuns[Line],$B$82,tblVerifyRuns[View date],"&gt;0")*SUMIFS(tblVerifyRuns[Demand (units)],tblVerifyRuns[Line],$B$82,tblVerifyRuns[View date],"&gt;0"))=0,"",(SUMIFS(tblVerifyRuns[Run (min)],tblVerifyRuns[Line],$B$82,tblVerifyRuns[View date],"&gt;0")*60*SUMIFS(tblVerifyRuns[Good (units)],tblVerifyRuns[Line],$B$82,tblVerifyRuns[View date],"&gt;0"))/(SUMIFS(tblVerifyRuns[Total (units)],tblVerifyRuns[Line],$B$82,tblVerifyRuns[View date],"&gt;0")*SUMIFS(tblVerifyRuns[Demand (units)],tblVerifyRuns[Line],$B$82,tblVerifyRuns[View date],"&gt;0"))))</f>
        <v>3.22882680722892</v>
      </c>
      <c r="K82" s="40" t="str">
        <f>IF($B$82="","",IF(NOT(ISNUMBER($H$82)),"",IF($H$82&gt;=$E$64,"On target",IF($H$82&gt;=$E$64*0.95,"Near target","Below target"))))</f>
        <v>On target</v>
      </c>
    </row>
    <row r="83" spans="2:12">
      <c r="B83" s="56">
        <f>IFERROR(INDEX(tblVerifyLines[Line],3)&amp;"","")</f>
        <v/>
      </c>
      <c r="C83" s="35">
        <f>IF($B$83="","",SUMIFS(tblVerifyRuns[Theoretical (units)],tblVerifyRuns[Line],$B$83,tblVerifyRuns[View date],"&gt;0"))</f>
        <v/>
      </c>
      <c r="D83" s="35">
        <f>IF($B$83="","",SUMIFS(tblVerifyRuns[Good (units)],tblVerifyRuns[Line],$B$83,tblVerifyRuns[View date],"&gt;0"))</f>
        <v/>
      </c>
      <c r="E83" s="35">
        <f>IF($B$83="","",SUMIFS(tblVerifyRuns[Downtime loss (units)],tblVerifyRuns[Line],$B$83,tblVerifyRuns[View date],"&gt;0"))</f>
        <v/>
      </c>
      <c r="F83" s="35">
        <f>IF($B$83="","",SUMIFS(tblVerifyRuns[Speed loss (units)],tblVerifyRuns[Line],$B$83,tblVerifyRuns[View date],"&gt;0"))</f>
        <v/>
      </c>
      <c r="G83" s="35">
        <f>IF($B$83="","",SUMIFS(tblVerifyRuns[Quality loss (units)],tblVerifyRuns[Line],$B$83,tblVerifyRuns[View date],"&gt;0"))</f>
        <v/>
      </c>
      <c r="H83" s="39">
        <f>IF($B$83="","",IF((SUMIFS(tblVerifyRuns[Demand (units)],tblVerifyRuns[Line],$B$83,tblVerifyRuns[View date],"&gt;0"))=0,"",(SUMIFS(tblVerifyRuns[Good (units)],tblVerifyRuns[Line],$B$83,tblVerifyRuns[View date],"&gt;0"))/(SUMIFS(tblVerifyRuns[Demand (units)],tblVerifyRuns[Line],$B$83,tblVerifyRuns[View date],"&gt;0"))))</f>
        <v/>
      </c>
      <c r="I83" s="38">
        <f>IF($B$83="","",IFERROR(INDEX(tblVerifyLines[Bottleneck cycle (s/unit)],MATCH($B$83,tblVerifyLines[Line],0)),""))</f>
        <v/>
      </c>
      <c r="J83" s="38">
        <f>IF($B$83="","",IF((SUMIFS(tblVerifyRuns[Total (units)],tblVerifyRuns[Line],$B$83,tblVerifyRuns[View date],"&gt;0")*SUMIFS(tblVerifyRuns[Demand (units)],tblVerifyRuns[Line],$B$83,tblVerifyRuns[View date],"&gt;0"))=0,"",(SUMIFS(tblVerifyRuns[Run (min)],tblVerifyRuns[Line],$B$83,tblVerifyRuns[View date],"&gt;0")*60*SUMIFS(tblVerifyRuns[Good (units)],tblVerifyRuns[Line],$B$83,tblVerifyRuns[View date],"&gt;0"))/(SUMIFS(tblVerifyRuns[Total (units)],tblVerifyRuns[Line],$B$83,tblVerifyRuns[View date],"&gt;0")*SUMIFS(tblVerifyRuns[Demand (units)],tblVerifyRuns[Line],$B$83,tblVerifyRuns[View date],"&gt;0"))))</f>
        <v/>
      </c>
      <c r="K83" s="40">
        <f>IF($B$83="","",IF(NOT(ISNUMBER($H$83)),"",IF($H$83&gt;=$E$64,"On target",IF($H$83&gt;=$E$64*0.95,"Near target","Below target"))))</f>
        <v/>
      </c>
    </row>
    <row r="85" spans="2:12">
      <c r="B85" s="30" t="s">
        <v>285</v>
      </c>
      <c r="C85" s="30"/>
      <c r="D85" s="30"/>
      <c r="E85" s="30"/>
      <c r="F85" s="30"/>
      <c r="G85" s="30"/>
      <c r="H85" s="30"/>
      <c r="I85" s="30"/>
      <c r="J85" s="30"/>
      <c r="K85" s="30"/>
      <c r="L85" s="30"/>
    </row>
    <row r="86" spans="2:12" ht="20" customHeight="1">
      <c r="B86" s="55" t="s">
        <v>60</v>
      </c>
      <c r="C86" s="31" t="s">
        <v>136</v>
      </c>
      <c r="D86" s="31" t="s">
        <v>137</v>
      </c>
      <c r="E86" s="31" t="s">
        <v>138</v>
      </c>
      <c r="F86" s="31" t="s">
        <v>139</v>
      </c>
    </row>
    <row r="87" spans="2:12">
      <c r="B87" s="56" t="str">
        <f>INDEX($B$81:$B$83,1)</f>
        <v>A</v>
      </c>
      <c r="C87" s="39">
        <f>IF(N($C$81)=0,"",$D$81/$C$81)</f>
        <v>0.8143</v>
      </c>
      <c r="D87" s="39">
        <f>IF(N($C$81)=0,"",$E$81/$C$81)</f>
        <v>0.09125</v>
      </c>
      <c r="E87" s="39">
        <f>IF(N($C$81)=0,"",$F$81/$C$81)</f>
        <v>0.09375</v>
      </c>
      <c r="F87" s="39">
        <f>IF(N($C$81)=0,"",$G$81/$C$81)</f>
        <v>0.000700000000000003</v>
      </c>
    </row>
    <row r="88" spans="2:12">
      <c r="B88" s="56" t="str">
        <f>INDEX($B$81:$B$83,2)</f>
        <v>B</v>
      </c>
      <c r="C88" s="39">
        <f>IF(N($C$82)=0,"",$D$82/$C$82)</f>
        <v>0.912703703703704</v>
      </c>
      <c r="D88" s="39">
        <f>IF(N($C$82)=0,"",$E$82/$C$82)</f>
        <v>0.0333333333333333</v>
      </c>
      <c r="E88" s="39">
        <f>IF(N($C$82)=0,"",$F$82/$C$82)</f>
        <v>0.0444444444444444</v>
      </c>
      <c r="F88" s="39">
        <f>IF(N($C$82)=0,"",$G$82/$C$82)</f>
        <v>0.00951851851851852</v>
      </c>
    </row>
    <row r="89" spans="2:12">
      <c r="B89" s="56">
        <f>INDEX($B$81:$B$83,3)</f>
        <v/>
      </c>
      <c r="C89" s="39">
        <f>IF(N($C$83)=0,"",$D$83/$C$83)</f>
        <v/>
      </c>
      <c r="D89" s="39">
        <f>IF(N($C$83)=0,"",$E$83/$C$83)</f>
        <v/>
      </c>
      <c r="E89" s="39">
        <f>IF(N($C$83)=0,"",$F$83/$C$83)</f>
        <v/>
      </c>
      <c r="F89" s="39">
        <f>IF(N($C$83)=0,"",$G$83/$C$83)</f>
        <v/>
      </c>
    </row>
  </sheetData>
  <sheetProtection sheet="1" formatColumns="0" formatRows="0"/>
  <mergeCells count="65">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 ref="B57:L57"/>
    <mergeCell ref="B59:L59"/>
    <mergeCell ref="B60:F60"/>
    <mergeCell ref="B61:D61"/>
    <mergeCell ref="B62:D62"/>
    <mergeCell ref="B63:D63"/>
    <mergeCell ref="E63:F63"/>
    <mergeCell ref="B64:D64"/>
    <mergeCell ref="B66:L66"/>
    <mergeCell ref="B71:L71"/>
    <mergeCell ref="B79:L79"/>
    <mergeCell ref="B85:L8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81:H83">
    <cfRule type="expression" dxfId="3" priority="43" stopIfTrue="1">
      <formula>AND(ISNUMBER(H81),H81&gt;=($E$64))</formula>
    </cfRule>
    <cfRule type="expression" dxfId="4" priority="44" stopIfTrue="1">
      <formula>AND(ISNUMBER(H81),H81&gt;=($E$64)*(1-0.05))</formula>
    </cfRule>
    <cfRule type="expression" dxfId="5" priority="45">
      <formula>ISNUMBER(H81)</formula>
    </cfRule>
  </conditionalFormatting>
  <conditionalFormatting sqref="K11:K5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81:K83">
    <cfRule type="cellIs" dxfId="0" priority="46" operator="equal">
      <formula>"On target"</formula>
    </cfRule>
    <cfRule type="cellIs" dxfId="0" priority="47" operator="equal">
      <formula>"PASS"</formula>
    </cfRule>
    <cfRule type="cellIs" dxfId="0" priority="48" operator="equal">
      <formula>"OK"</formula>
    </cfRule>
    <cfRule type="cellIs" dxfId="0" priority="49" operator="equal">
      <formula>"Within limits"</formula>
    </cfRule>
    <cfRule type="cellIs" dxfId="0" priority="50" operator="equal">
      <formula>"Under capacity"</formula>
    </cfRule>
    <cfRule type="cellIs" dxfId="0" priority="51" operator="equal">
      <formula>"Complete"</formula>
    </cfRule>
    <cfRule type="cellIs" dxfId="0" priority="52" operator="equal">
      <formula>"Yes"</formula>
    </cfRule>
    <cfRule type="cellIs" dxfId="1" priority="53" operator="equal">
      <formula>"Near target"</formula>
    </cfRule>
    <cfRule type="cellIs" dxfId="1" priority="54" operator="equal">
      <formula>"Check"</formula>
    </cfRule>
    <cfRule type="cellIs" dxfId="1" priority="55" operator="equal">
      <formula>"Due soon"</formula>
    </cfRule>
    <cfRule type="cellIs" dxfId="1" priority="56" operator="equal">
      <formula>"Near capacity"</formula>
    </cfRule>
    <cfRule type="cellIs" dxfId="1" priority="57" operator="equal">
      <formula>"In progress"</formula>
    </cfRule>
    <cfRule type="cellIs" dxfId="1" priority="58" operator="equal">
      <formula>"Partial"</formula>
    </cfRule>
    <cfRule type="cellIs" dxfId="2" priority="59" operator="equal">
      <formula>"Below target"</formula>
    </cfRule>
    <cfRule type="cellIs" dxfId="2" priority="60" operator="equal">
      <formula>"Above target"</formula>
    </cfRule>
    <cfRule type="cellIs" dxfId="2" priority="61" operator="equal">
      <formula>"FAIL"</formula>
    </cfRule>
    <cfRule type="cellIs" dxfId="2" priority="62" operator="equal">
      <formula>"Over capacity"</formula>
    </cfRule>
    <cfRule type="cellIs" dxfId="2" priority="63" operator="equal">
      <formula>"Overdue"</formula>
    </cfRule>
    <cfRule type="cellIs" dxfId="2" priority="64" operator="equal">
      <formula>"Out of limits"</formula>
    </cfRule>
    <cfRule type="cellIs" dxfId="2" priority="65" operator="equal">
      <formula>"No"</formula>
    </cfRule>
  </conditionalFormatting>
  <conditionalFormatting sqref="W73:W77">
    <cfRule type="expression" dxfId="3" priority="41">
      <formula>$W73="OK"</formula>
    </cfRule>
    <cfRule type="expression" dxfId="1" priority="42">
      <formula>AND($W73&lt;&gt;"",$W73&lt;&gt;"OK")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Throughput Analysis&amp;R&amp;8&amp;A</oddHeader>
    <oddFooter>&amp;L&amp;8mfgcalcs.com - free manufacturing templates&amp;R&amp;8Page &amp;P of &amp;N</oddFooter>
  </headerFooter>
  <rowBreaks count="1" manualBreakCount="1">
    <brk id="65"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Start Here</vt:lpstr>
      <vt:lpstr>Setup</vt:lpstr>
      <vt:lpstr>Shift Log</vt:lpstr>
      <vt:lpstr>Dashboard</vt:lpstr>
      <vt:lpstr>Method</vt:lpstr>
      <vt:lpstr>Verify</vt:lpstr>
      <vt:lpstr>DashFrom</vt:lpstr>
      <vt:lpstr>DashLine</vt:lpstr>
      <vt:lpstr>DashTo</vt:lpstr>
      <vt:lpstr>KpiBiggest</vt:lpstr>
      <vt:lpstr>KpiCoverage</vt:lpstr>
      <vt:lpstr>KpiGood</vt:lpstr>
      <vt:lpstr>KpiPctTheo</vt:lpstr>
      <vt:lpstr>KpiRate</vt:lpstr>
      <vt:lpstr>KpiSurplus</vt:lpstr>
      <vt:lpstr>KpiUptime</vt:lpstr>
      <vt:lpstr>KpiYield</vt:lpstr>
      <vt:lpstr>PlantName</vt:lpstr>
      <vt:lpstr>Dashboard!Print_Area</vt:lpstr>
      <vt:lpstr>Method!Print_Area</vt:lpstr>
      <vt:lpstr>Setup!Print_Area</vt:lpstr>
      <vt:lpstr>'Shift Log'!Print_Area</vt:lpstr>
      <vt:lpstr>'Start Here'!Print_Area</vt:lpstr>
      <vt:lpstr>Verify!Print_Area</vt:lpstr>
      <vt:lpstr>Method!Print_Titles</vt:lpstr>
      <vt:lpstr>'Shift Log'!Print_Titles</vt:lpstr>
      <vt:lpstr>SelfCheck</vt:lpstr>
      <vt:lpstr>SelfCheckSummary</vt:lpstr>
      <vt:lpstr>TargetCov</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Throughput Analysis - free Excel template from MFG Calcs</dc:title>
  <dc:subject>Log every line and shift, and see good units per hour against what demand needs, and how many units were lost to downtime, slow running and scrap.</dc:subject>
  <dc:creator>MFG Calcs</dc:creator>
  <cp:keywords>throughput, production rate, units per hour, theoretical output, demand coverage, downtime, speed loss, yield, bottleneck</cp:keywords>
  <dc:description>https://www.mfgcalcs.com/templates/throughput-analysis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throughput-analysis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https://www.mfgcalcs.com/templates/throughput-analysis</vt:lpwstr>
  </property>
  <property fmtid="{D5CDD505-2E9C-101B-9397-08002B2CF9AE}" pid="7" name="Template sheet roles">
    <vt:lpwstr>Start Here=start;Setup=setup;Shift Log=work;Dashboard=dashboard;Method=method;Verify=verify</vt:lpwstr>
  </property>
</Properties>
</file>