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Study" sheetId="3" r:id="rId3"/>
    <sheet name="Dashboard" sheetId="4" r:id="rId4"/>
    <sheet name="Method" sheetId="5" r:id="rId5"/>
    <sheet name="Verify" sheetId="6" r:id="rId6"/>
  </sheets>
  <definedNames>
    <definedName name="Allowance">Setup!$C$18</definedName>
    <definedName name="Analyst">Setup!$C$7</definedName>
    <definedName name="AvailMin">Setup!$C$12</definedName>
    <definedName name="Demand">Setup!$C$13</definedName>
    <definedName name="KpiCycle">Dashboard!$B$7</definedName>
    <definedName name="KpiGap">Dashboard!$D$7</definedName>
    <definedName name="KpiSAM">Dashboard!$J$7</definedName>
    <definedName name="KpiUtil">Dashboard!$G$7</definedName>
    <definedName name="OpName">Setup!$C$6</definedName>
    <definedName name="_xlnm.Print_Area" localSheetId="3">Dashboard!$A$1:$L$65</definedName>
    <definedName name="_xlnm.Print_Area" localSheetId="4">Method!$A$1:$D$60</definedName>
    <definedName name="_xlnm.Print_Area" localSheetId="1">Setup!$A$1:$E$20</definedName>
    <definedName name="_xlnm.Print_Area" localSheetId="0">'Start Here'!$A$1:$F$56</definedName>
    <definedName name="_xlnm.Print_Area" localSheetId="2">Study!$A$1:$Y$15</definedName>
    <definedName name="_xlnm.Print_Area" localSheetId="5">Verify!$A$1:$Y$39</definedName>
    <definedName name="_xlnm.Print_Titles" localSheetId="4">Method!$1:$2</definedName>
    <definedName name="_xlnm.Print_Titles" localSheetId="2">Study!$1:$5</definedName>
    <definedName name="SelfCheck">Verify!$D$4</definedName>
    <definedName name="SelfCheckSummary">Verify!$F$4</definedName>
    <definedName name="StudyDate">Setup!$C$8</definedName>
    <definedName name="Takt">Setup!$C$14</definedName>
  </definedNames>
  <calcPr calcId="124519" fullCalcOnLoad="1"/>
</workbook>
</file>

<file path=xl/sharedStrings.xml><?xml version="1.0" encoding="utf-8"?>
<sst xmlns="http://schemas.openxmlformats.org/spreadsheetml/2006/main" count="379" uniqueCount="235">
  <si>
    <t>Time Study and Standard Work</t>
  </si>
  <si>
    <t>Read this first: what the workbook does and how to use it.</t>
  </si>
  <si>
    <t>mfgcalcs.com</t>
  </si>
  <si>
    <t>Turn stopwatch readings into normal and standard times per element, check the study size, and compare the standard work combination with takt time.</t>
  </si>
  <si>
    <t>For: Industrial and manufacturing engineers, work-study and lean practitioners, team leaders and apparel production engineers setting standard minutes.</t>
  </si>
  <si>
    <t>Version 1.0.0  ·  updated 15 October 2026</t>
  </si>
  <si>
    <t>Quick start</t>
  </si>
  <si>
    <t>1.</t>
  </si>
  <si>
    <t>On Setup, type the operation, the available time and demand per shift (they give takt) and your PF&amp;D allowance.</t>
  </si>
  <si>
    <t>2.</t>
  </si>
  <si>
    <t>On Study, list the elements in order with their type (Manual, Machine or Walk), then type up to ten stopwatch readings per element in seconds.</t>
  </si>
  <si>
    <t>3.</t>
  </si>
  <si>
    <t>Rate each manual and walk element against your normal pace (100% = normal); machine elements are not rated.</t>
  </si>
  <si>
    <t>4.</t>
  </si>
  <si>
    <t>Read the Check column: it says when an element needs more cycles or has an outlier reading.</t>
  </si>
  <si>
    <t>5.</t>
  </si>
  <si>
    <t>Open the Dashboard: standard cycle against takt, operator utilisation, standard minutes per unit and the combination chart.</t>
  </si>
  <si>
    <t>What is in this workbook</t>
  </si>
  <si>
    <t>Start Here</t>
  </si>
  <si>
    <t>Setup</t>
  </si>
  <si>
    <t>The operation studied, takt time inputs and the PF&amp;D allowance.</t>
  </si>
  <si>
    <t>Study</t>
  </si>
  <si>
    <t>One row per element in work order: type, stopwatch readings in seconds and the rating.</t>
  </si>
  <si>
    <t>Dashboard</t>
  </si>
  <si>
    <t>Standard cycle against takt, operator work and the standard work combination, from the study.</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</si>
  <si>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</si>
  <si>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</si>
  <si>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</si>
  <si>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</si>
  <si>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</si>
  <si>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</si>
  <si>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</si>
  <si>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</si>
  <si>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</si>
  <si>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</si>
  <si>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</si>
  <si>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</si>
  <si>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</si>
  <si>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</si>
  <si>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</si>
  <si>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</si>
  <si>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</si>
  <si>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</si>
  <si>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</si>
  <si>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</si>
  <si>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Standard Work Combination Calculator on mfgcalcs.com</t>
  </si>
  <si>
    <t>Latest version</t>
  </si>
  <si>
    <t>mfgcalcs.com/templates/time-study-standard-work</t>
  </si>
  <si>
    <t>More free templates</t>
  </si>
  <si>
    <t>mfgcalcs.com/templates</t>
  </si>
  <si>
    <t>Version</t>
  </si>
  <si>
    <t>1.0.0 (updated 15 October 2026)</t>
  </si>
  <si>
    <t>About the example data</t>
  </si>
  <si>
    <t>Every number already in this workbook is example data for Fenwick Controls, a fictional business invented for this template, so the dashboard and charts show something meaningful on day one. It covers ten elements of a valve cartridge assembly and leak-test station, timed over ten cycles,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</si>
  <si>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</si>
  <si>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</si>
  <si>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</si>
  <si>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</si>
  <si>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</si>
  <si>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</si>
  <si>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</si>
  <si>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</si>
  <si>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Operation</t>
  </si>
  <si>
    <t>Operation studied</t>
  </si>
  <si>
    <t>Valve cartridge assembly and leak test, station 3 (example)</t>
  </si>
  <si>
    <t>Analyst</t>
  </si>
  <si>
    <t>R. Osei (example)</t>
  </si>
  <si>
    <t>Study date</t>
  </si>
  <si>
    <t>Takt time</t>
  </si>
  <si>
    <t>Available time per shift</t>
  </si>
  <si>
    <t>min</t>
  </si>
  <si>
    <t>Customer demand per shift</t>
  </si>
  <si>
    <t>units</t>
  </si>
  <si>
    <t>s/unit</t>
  </si>
  <si>
    <t>Allowance</t>
  </si>
  <si>
    <t>PF&amp;D allowance</t>
  </si>
  <si>
    <t>The allowance and the ratings are your study's judgement; nothing in this workbook assumes a published allowance table. Machine-controlled elements get neither a rating nor an allowance.</t>
  </si>
  <si>
    <t>No.</t>
  </si>
  <si>
    <t>Element</t>
  </si>
  <si>
    <t>Type</t>
  </si>
  <si>
    <t>Obs 1 (s)</t>
  </si>
  <si>
    <t>Obs 2 (s)</t>
  </si>
  <si>
    <t>Obs 3 (s)</t>
  </si>
  <si>
    <t>Obs 4 (s)</t>
  </si>
  <si>
    <t>Obs 5 (s)</t>
  </si>
  <si>
    <t>Obs 6 (s)</t>
  </si>
  <si>
    <t>Obs 7 (s)</t>
  </si>
  <si>
    <t>Obs 8 (s)</t>
  </si>
  <si>
    <t>Obs 9 (s)</t>
  </si>
  <si>
    <t>Obs 10 (s)</t>
  </si>
  <si>
    <t>Rating (%)</t>
  </si>
  <si>
    <t>Cycles</t>
  </si>
  <si>
    <t>Mean (s)</t>
  </si>
  <si>
    <t>Min (s)</t>
  </si>
  <si>
    <t>Max (s)</t>
  </si>
  <si>
    <t>Normal (s)</t>
  </si>
  <si>
    <t>Allowance (%)</t>
  </si>
  <si>
    <t>Standard (s)</t>
  </si>
  <si>
    <t>Start (s)</t>
  </si>
  <si>
    <t>Cycles needed</t>
  </si>
  <si>
    <t>Check</t>
  </si>
  <si>
    <t>Example data for Fenwick Controls (fictional). Replace it with your own: select the example rows, right-click, Delete &gt; Table Rows. Yellow = you type; blue = calculated; Check names any problem. Keep the rows in work order.</t>
  </si>
  <si>
    <t>Pick housing and O-ring</t>
  </si>
  <si>
    <t>Manual</t>
  </si>
  <si>
    <t>Fit O-ring</t>
  </si>
  <si>
    <t>Press in spool</t>
  </si>
  <si>
    <t>Walk to tester (2 m)</t>
  </si>
  <si>
    <t>Walk</t>
  </si>
  <si>
    <t>Load, start leak test</t>
  </si>
  <si>
    <t>Leak test (automatic)</t>
  </si>
  <si>
    <t>Machine</t>
  </si>
  <si>
    <t>Unload, read result</t>
  </si>
  <si>
    <t>Fit cap, apply label</t>
  </si>
  <si>
    <t>Tote and scan label</t>
  </si>
  <si>
    <t>Walk back (3 m)</t>
  </si>
  <si>
    <t>STANDARD CYCLE TIME (S)</t>
  </si>
  <si>
    <t>GAP TO TAKT (S)</t>
  </si>
  <si>
    <t>OPERATOR UTILISATION</t>
  </si>
  <si>
    <t>STANDARD MINUTES PER UNIT (SAM)</t>
  </si>
  <si>
    <t>Takt - standard cycle; negative = over takt</t>
  </si>
  <si>
    <t>Manual + walk time / takt</t>
  </si>
  <si>
    <t>Standard cycle / 60</t>
  </si>
  <si>
    <t>Orange = manual, green = machine (automatic), yellow = walk. Each element starts where the one before it ends.</t>
  </si>
  <si>
    <t>Observed cycles exclude rating and allowance; the standard cycle includes both.</t>
  </si>
  <si>
    <t>Standard time by element type</t>
  </si>
  <si>
    <t>Element type</t>
  </si>
  <si>
    <t>Elements</t>
  </si>
  <si>
    <t>Observed (s)</t>
  </si>
  <si>
    <t>Share of cycle</t>
  </si>
  <si>
    <t>Observed cycle by cycle (sum of the elements' readings)</t>
  </si>
  <si>
    <t>Cycle</t>
  </si>
  <si>
    <t>Observed cycle (s)</t>
  </si>
  <si>
    <t>Elements timed</t>
  </si>
  <si>
    <t>Takt (s)</t>
  </si>
  <si>
    <t>Standard cycle (s)</t>
  </si>
  <si>
    <t>Standard work combination (chart data, in work order)</t>
  </si>
  <si>
    <t>Element (work order)</t>
  </si>
  <si>
    <t>Manual (s)</t>
  </si>
  <si>
    <t>Machine (s)</t>
  </si>
  <si>
    <t>Walk (s)</t>
  </si>
  <si>
    <t>End (s)</t>
  </si>
  <si>
    <t>The Dashboard shows the first 12 elements and 10 cycles. For a longer operation, split it into two studies (one workbook each) or extend the blocks (see Method).</t>
  </si>
  <si>
    <t>What this workbook calculates</t>
  </si>
  <si>
    <t>A stopwatch time study divides the operation into elements, times each element over several cycles and levels the observed times to a normal pace with a performance rating. Normal time plus an allowance for personal needs, fatigue and delay (PF&amp;D) is the standard time. Summed in work order, the standard times give the standard cycle, which is compared with takt time (available time / demand); the operator's own work (manual plus walking) against takt is the operator's utilisation.</t>
  </si>
  <si>
    <t>Calculations</t>
  </si>
  <si>
    <t>Quantity</t>
  </si>
  <si>
    <t>How it is calculated</t>
  </si>
  <si>
    <t>Units</t>
  </si>
  <si>
    <t>Number of readings typed for the element.</t>
  </si>
  <si>
    <t>-</t>
  </si>
  <si>
    <t>Mean, min, max</t>
  </si>
  <si>
    <t>Of the element's readings.</t>
  </si>
  <si>
    <t>s</t>
  </si>
  <si>
    <t>Normal time</t>
  </si>
  <si>
    <t>Mean x rating for manual and walk elements; the mean for machine elements (not rated).</t>
  </si>
  <si>
    <t>The Setup PF&amp;D allowance for manual and walk elements; 0 for machine elements.</t>
  </si>
  <si>
    <t>%</t>
  </si>
  <si>
    <t>Standard time</t>
  </si>
  <si>
    <t>Normal time x (1 + allowance).</t>
  </si>
  <si>
    <t>Start</t>
  </si>
  <si>
    <t>Sum of the standard times of the elements with a lower number (where the element starts in the cycle).</t>
  </si>
  <si>
    <t>(40 x sqrt(n x sum of x^2 - (sum of x)^2) / sum of x)^2, rounded up: cycles for 95% confidence that the mean is within +/-5% (the classic sample-size formula found in work-study textbooks).</t>
  </si>
  <si>
    <t>cycles</t>
  </si>
  <si>
    <t>Available minutes per shift x 60 / demand per shift.</t>
  </si>
  <si>
    <t>Standard cycle</t>
  </si>
  <si>
    <t>Sum of all standard times (elements in sequence, as the live calculator assumes).</t>
  </si>
  <si>
    <t>Operator work time</t>
  </si>
  <si>
    <t>Standard time of manual + walk elements.</t>
  </si>
  <si>
    <t>Operator utilisation</t>
  </si>
  <si>
    <t>Operator work time / takt.</t>
  </si>
  <si>
    <t>Gap to takt</t>
  </si>
  <si>
    <t>Takt - standard cycle; negative when the cycle runs over takt.</t>
  </si>
  <si>
    <t>Standard minutes (SAM)</t>
  </si>
  <si>
    <t>Standard cycle / 60.</t>
  </si>
  <si>
    <t>min/unit</t>
  </si>
  <si>
    <t>Observed cycle</t>
  </si>
  <si>
    <t>For each studied cycle, the sum of the element readings in that column.</t>
  </si>
  <si>
    <t>Assumptions</t>
  </si>
  <si>
    <t>Elements run one after another, so the standard cycle is the sum of all standard times (the live calculator's assumption). Where the operator works while a machine runs, the real cycle is shorter; the combination chart shows where that overlap could be.</t>
  </si>
  <si>
    <t>Ratings are the analyst's judgement of pace against a normal pace of 100%; they apply to manual and walk elements only.</t>
  </si>
  <si>
    <t>One allowance applies to all manual and walk elements; split elements or adjust ratings if parts of the job need more.</t>
  </si>
  <si>
    <t>Limitations</t>
  </si>
  <si>
    <t>Up to ten readings per element; the 'Cycles needed' column says when that is not enough for the chosen precision.</t>
  </si>
  <si>
    <t>The outlier rule (a reading above 1.5x or below 0.5x the mean) only flags readings to look at; decide yourself whether a reading is foreign to the element and delete it.</t>
  </si>
  <si>
    <t>The Dashboard chart shows the first 12 elements and 10 cycles; the KPI tiles include every element.</t>
  </si>
  <si>
    <t>This is a stopwatch study, not a predetermined time system (MTM, MOST); it measures this operator on this day.</t>
  </si>
  <si>
    <t>Agreement with the live calculator</t>
  </si>
  <si>
    <t>The live Standard Work Combination calculator takes manual, machine (auto) and walk times and takt, and returns the total combination time, operator work time, operator utilisation and the gap to takt. This workbook computes the same four results from the study's standard times by type; verify.py runs the calculator's engine on the calculator's own example (35 s manual, 20 s machine, 5 s walk, 65 s takt: 60 s total, 40 s operator, 61.5%, 5 s to spare) and on the example study's totals, and both agree. The calculator starts from times you already have; this workbook produces them from stopwatch readings.</t>
  </si>
  <si>
    <t>Open the Standard Work Combination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</si>
  <si>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</si>
  <si>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</si>
  <si>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Freivalds, A. and Niebel, B. W., Niebel's Methods, Standards, and Work Design (McGraw-Hill): time study, rating, allowances and the sample-size formula.</t>
  </si>
  <si>
    <t>International Labour Office, Introduction to Work Study (ILO, Geneva): work measurement and allowances.</t>
  </si>
  <si>
    <t>MFG Calcs Standard Work Combination calculator (standard-work-combination): manual + machine + walk against takt.</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</si>
  <si>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</si>
  <si>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</si>
  <si>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</si>
  <si>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</si>
  <si>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</si>
  <si>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</si>
  <si>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</si>
  <si>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</si>
  <si>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</si>
  <si>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</si>
  <si>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Expected (reference)</t>
  </si>
  <si>
    <t>Workbook result</t>
  </si>
  <si>
    <t>Difference</t>
  </si>
  <si>
    <t>Tolerance</t>
  </si>
  <si>
    <t>Result</t>
  </si>
  <si>
    <t>Element 1 (manual, rated 110%): mean</t>
  </si>
  <si>
    <t>Element 1: normal time</t>
  </si>
  <si>
    <t>Element 1: standard time</t>
  </si>
  <si>
    <t>Element 1: cycles needed (95%, +/-5%)</t>
  </si>
  <si>
    <t>Element 2 (machine): standard time, no rating or allowance</t>
  </si>
  <si>
    <t>Element 3 (walk): standard time</t>
  </si>
  <si>
    <t>Element 4 (manual, rated 90%): standard time</t>
  </si>
  <si>
    <t>Element 4: start in the cycle</t>
  </si>
  <si>
    <t>Element 5: Check reports too few readings</t>
  </si>
  <si>
    <t>Fewer than 3 readings</t>
  </si>
  <si>
    <t>exact</t>
  </si>
  <si>
    <t>Element 1: Check OK</t>
  </si>
  <si>
    <t>OK</t>
  </si>
  <si>
    <t>All elements: standard cycle (Dashboard formula)</t>
  </si>
  <si>
    <t>All elements: operator work time</t>
  </si>
  <si>
    <t>All elements: operator utilisation</t>
  </si>
  <si>
    <t>All elements: gap to takt</t>
  </si>
  <si>
    <t>Fixed test inputs</t>
  </si>
  <si>
    <t>White cells are fixed test inputs; blue cells are the workbook's formulas evaluated on them.</t>
  </si>
  <si>
    <t>Parameters</t>
  </si>
  <si>
    <t>Takt time (s)</t>
  </si>
  <si>
    <t>Test table: Elements</t>
  </si>
  <si>
    <t>Load</t>
  </si>
  <si>
    <t>Machine cycle</t>
  </si>
  <si>
    <t>Unload</t>
  </si>
  <si>
    <t>Inspect</t>
  </si>
</sst>
</file>

<file path=xl/styles.xml><?xml version="1.0" encoding="utf-8"?>
<styleSheet xmlns="http://schemas.openxmlformats.org/spreadsheetml/2006/main">
  <numFmts count="9">
    <numFmt numFmtId="164" formatCode="d mmm yyyy"/>
    <numFmt numFmtId="165" formatCode="#,##0"/>
    <numFmt numFmtId="166" formatCode="#,##0.0"/>
    <numFmt numFmtId="167" formatCode="0.0%"/>
    <numFmt numFmtId="168" formatCode="#,##0.00"/>
    <numFmt numFmtId="169" formatCode="+#,##0.0;-#,##0.0;0.0"/>
    <numFmt numFmtId="170" formatCode="#,##0.000"/>
    <numFmt numFmtId="171" formatCode="&quot;Takt &quot;#,##0.0"/>
    <numFmt numFmtId="172"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sz val="9"/>
      <color rgb="FF8A4A06"/>
      <name val="Calibri"/>
      <family val="2"/>
      <scheme val="minor"/>
    </font>
    <font>
      <b/>
      <sz val="10"/>
      <color rgb="FFFFFFFF"/>
      <name val="Calibri"/>
      <family val="2"/>
      <scheme val="minor"/>
    </font>
    <font>
      <sz val="9"/>
      <color rgb="FF1B2430"/>
      <name val="Calibri"/>
      <family val="2"/>
      <scheme val="minor"/>
    </font>
    <font>
      <i/>
      <sz val="9"/>
      <color rgb="FF6B7280"/>
      <name val="Calibri"/>
      <family val="2"/>
      <scheme val="minor"/>
    </font>
    <font>
      <b/>
      <sz val="9"/>
      <color rgb="FF4A5361"/>
      <name val="Calibri"/>
      <family val="2"/>
      <scheme val="minor"/>
    </font>
    <font>
      <sz val="9"/>
      <color rgb="FF4A5361"/>
      <name val="Calibri"/>
      <family val="2"/>
      <scheme val="minor"/>
    </font>
    <font>
      <b/>
      <sz val="10"/>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4">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9" fillId="4" borderId="3" xfId="0" applyNumberFormat="1" applyFont="1" applyFill="1" applyBorder="1" applyAlignment="1">
      <alignment vertical="center"/>
    </xf>
    <xf numFmtId="167" fontId="10" fillId="3" borderId="2" xfId="0" applyNumberFormat="1" applyFont="1" applyFill="1" applyBorder="1" applyAlignment="1" applyProtection="1">
      <alignment vertical="center"/>
      <protection locked="0"/>
    </xf>
    <xf numFmtId="0" fontId="17" fillId="7" borderId="2" xfId="0" applyFont="1" applyFill="1" applyBorder="1" applyAlignment="1">
      <alignment vertical="center" wrapText="1"/>
    </xf>
    <xf numFmtId="0" fontId="18" fillId="2" borderId="5" xfId="0" applyFont="1" applyFill="1" applyBorder="1" applyAlignment="1">
      <alignment horizontal="center" vertical="center" wrapText="1"/>
    </xf>
    <xf numFmtId="0" fontId="10" fillId="3" borderId="2" xfId="0" applyFont="1" applyFill="1" applyBorder="1" applyAlignment="1" applyProtection="1">
      <alignment vertical="top" wrapText="1"/>
      <protection locked="0"/>
    </xf>
    <xf numFmtId="166" fontId="10" fillId="3" borderId="2" xfId="0" applyNumberFormat="1" applyFont="1" applyFill="1" applyBorder="1" applyAlignment="1" applyProtection="1">
      <alignment vertical="center"/>
      <protection locked="0"/>
    </xf>
    <xf numFmtId="165"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0" fontId="19" fillId="4" borderId="3" xfId="0" applyFont="1" applyFill="1" applyBorder="1" applyAlignment="1">
      <alignment vertical="center"/>
    </xf>
    <xf numFmtId="0" fontId="20" fillId="0" borderId="0" xfId="0" applyFont="1" applyAlignment="1">
      <alignment vertical="center"/>
    </xf>
    <xf numFmtId="0" fontId="21" fillId="9" borderId="6" xfId="0" applyFont="1" applyFill="1" applyBorder="1" applyAlignment="1">
      <alignment vertical="center" wrapText="1"/>
    </xf>
    <xf numFmtId="166" fontId="4" fillId="9" borderId="7" xfId="0" applyNumberFormat="1" applyFont="1" applyFill="1" applyBorder="1" applyAlignment="1">
      <alignment horizontal="left" vertical="center"/>
    </xf>
    <xf numFmtId="169" fontId="4" fillId="9" borderId="7" xfId="0" applyNumberFormat="1" applyFont="1" applyFill="1" applyBorder="1" applyAlignment="1">
      <alignment horizontal="left" vertical="center"/>
    </xf>
    <xf numFmtId="167" fontId="4" fillId="9" borderId="7" xfId="0" applyNumberFormat="1" applyFont="1" applyFill="1" applyBorder="1" applyAlignment="1">
      <alignment horizontal="left" vertical="center"/>
    </xf>
    <xf numFmtId="170" fontId="4" fillId="9" borderId="7" xfId="0" applyNumberFormat="1" applyFont="1" applyFill="1" applyBorder="1" applyAlignment="1">
      <alignment horizontal="left" vertical="center"/>
    </xf>
    <xf numFmtId="171" fontId="22" fillId="9" borderId="7" xfId="0" applyNumberFormat="1" applyFont="1" applyFill="1" applyBorder="1" applyAlignment="1">
      <alignment horizontal="left" vertical="center"/>
    </xf>
    <xf numFmtId="0" fontId="22" fillId="9" borderId="7" xfId="0" applyFont="1" applyFill="1" applyBorder="1" applyAlignment="1">
      <alignment vertical="center"/>
    </xf>
    <xf numFmtId="0" fontId="21" fillId="9" borderId="8" xfId="0" applyFont="1" applyFill="1" applyBorder="1" applyAlignment="1">
      <alignment vertical="center"/>
    </xf>
    <xf numFmtId="0" fontId="23" fillId="0" borderId="0" xfId="0" applyFont="1" applyAlignment="1">
      <alignmen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165" fontId="9" fillId="0" borderId="9" xfId="0" applyNumberFormat="1" applyFont="1" applyBorder="1" applyAlignment="1">
      <alignment vertical="center"/>
    </xf>
    <xf numFmtId="166" fontId="10" fillId="0" borderId="9" xfId="0" applyNumberFormat="1" applyFont="1" applyBorder="1" applyAlignment="1">
      <alignment vertical="center"/>
    </xf>
    <xf numFmtId="0" fontId="10" fillId="4" borderId="3" xfId="0"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5" fontId="9" fillId="0" borderId="9" xfId="0" applyNumberFormat="1" applyFont="1" applyBorder="1" applyAlignment="1">
      <alignment horizontal="center" vertical="center"/>
    </xf>
    <xf numFmtId="168" fontId="10" fillId="0" borderId="9" xfId="0" applyNumberFormat="1" applyFont="1" applyBorder="1" applyAlignment="1">
      <alignment vertical="center"/>
    </xf>
    <xf numFmtId="172" fontId="10" fillId="4" borderId="3" xfId="0" applyNumberFormat="1" applyFont="1" applyFill="1" applyBorder="1" applyAlignment="1">
      <alignment vertical="center"/>
    </xf>
    <xf numFmtId="172" fontId="10" fillId="0" borderId="9" xfId="0" applyNumberFormat="1" applyFont="1" applyBorder="1" applyAlignment="1">
      <alignment vertical="center"/>
    </xf>
    <xf numFmtId="0" fontId="10" fillId="4" borderId="3" xfId="0" applyFont="1" applyFill="1" applyBorder="1" applyAlignment="1">
      <alignment horizontal="center" vertical="center"/>
    </xf>
    <xf numFmtId="170" fontId="10" fillId="0" borderId="9" xfId="0" applyNumberFormat="1" applyFont="1" applyBorder="1" applyAlignment="1">
      <alignment vertical="center"/>
    </xf>
    <xf numFmtId="170" fontId="10" fillId="4" borderId="3" xfId="0" applyNumberFormat="1" applyFont="1" applyFill="1" applyBorder="1" applyAlignment="1">
      <alignment vertical="center"/>
    </xf>
    <xf numFmtId="165" fontId="10" fillId="0" borderId="9" xfId="0" applyNumberFormat="1" applyFont="1" applyBorder="1" applyAlignment="1">
      <alignment vertical="center"/>
    </xf>
    <xf numFmtId="167" fontId="10" fillId="0" borderId="9"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Standard work combination (s)</a:t>
            </a:r>
          </a:p>
        </c:rich>
      </c:tx>
      <c:layout/>
    </c:title>
    <c:plotArea>
      <c:layout/>
      <c:barChart>
        <c:barDir val="bar"/>
        <c:grouping val="stacked"/>
        <c:ser>
          <c:idx val="0"/>
          <c:order val="0"/>
          <c:tx>
            <c:v> </c:v>
          </c:tx>
          <c:spPr>
            <a:noFill/>
            <a:ln>
              <a:noFill/>
            </a:ln>
          </c:spPr>
          <c:cat>
            <c:strRef>
              <c:f>Dashboard!$B$51:$B$62</c:f>
              <c:strCache>
                <c:ptCount val="12"/>
                <c:pt idx="0">
                  <c:v>Pick housing and O-ring</c:v>
                </c:pt>
                <c:pt idx="1">
                  <c:v>Fit O-ring</c:v>
                </c:pt>
                <c:pt idx="2">
                  <c:v>Press in spool</c:v>
                </c:pt>
                <c:pt idx="3">
                  <c:v>Walk to tester (2 m)</c:v>
                </c:pt>
                <c:pt idx="4">
                  <c:v>Load, start leak test</c:v>
                </c:pt>
                <c:pt idx="5">
                  <c:v>Leak test (automatic)</c:v>
                </c:pt>
                <c:pt idx="6">
                  <c:v>Unload, read result</c:v>
                </c:pt>
                <c:pt idx="7">
                  <c:v>Fit cap, apply label</c:v>
                </c:pt>
                <c:pt idx="8">
                  <c:v>Tote and scan label</c:v>
                </c:pt>
                <c:pt idx="9">
                  <c:v>Walk back (3 m)</c:v>
                </c:pt>
                <c:pt idx="10">
                  <c:v/>
                </c:pt>
                <c:pt idx="11">
                  <c:v/>
                </c:pt>
              </c:strCache>
            </c:strRef>
          </c:cat>
          <c:val>
            <c:numRef>
              <c:f>Dashboard!$C$51:$C$62</c:f>
              <c:numCache>
                <c:formatCode>General</c:formatCode>
                <c:ptCount val="12"/>
                <c:pt idx="0">
                  <c:v>0</c:v>
                </c:pt>
                <c:pt idx="1">
                  <c:v>3.6288</c:v>
                </c:pt>
                <c:pt idx="2">
                  <c:v>8.66152</c:v>
                </c:pt>
                <c:pt idx="3">
                  <c:v>15.23536</c:v>
                </c:pt>
                <c:pt idx="4">
                  <c:v>17.85616</c:v>
                </c:pt>
                <c:pt idx="5">
                  <c:v>21.18256</c:v>
                </c:pt>
                <c:pt idx="6">
                  <c:v>33.21256</c:v>
                </c:pt>
                <c:pt idx="7">
                  <c:v>36.30544</c:v>
                </c:pt>
                <c:pt idx="8">
                  <c:v>40.7104</c:v>
                </c:pt>
                <c:pt idx="9">
                  <c:v>43.7792</c:v>
                </c:pt>
                <c:pt idx="10">
                  <c:v>0</c:v>
                </c:pt>
                <c:pt idx="11">
                  <c:v>0</c:v>
                </c:pt>
              </c:numCache>
            </c:numRef>
          </c:val>
        </c:ser>
        <c:ser>
          <c:idx val="1"/>
          <c:order val="1"/>
          <c:tx>
            <c:v>Manual</c:v>
          </c:tx>
          <c:spPr>
            <a:solidFill>
              <a:srgbClr val="E8702A"/>
            </a:solidFill>
            <a:ln w="9525">
              <a:solidFill>
                <a:srgbClr val="FFFFFF"/>
              </a:solidFill>
            </a:ln>
          </c:spPr>
          <c:cat>
            <c:strRef>
              <c:f>Dashboard!$B$51:$B$62</c:f>
              <c:strCache>
                <c:ptCount val="12"/>
                <c:pt idx="0">
                  <c:v>Pick housing and O-ring</c:v>
                </c:pt>
                <c:pt idx="1">
                  <c:v>Fit O-ring</c:v>
                </c:pt>
                <c:pt idx="2">
                  <c:v>Press in spool</c:v>
                </c:pt>
                <c:pt idx="3">
                  <c:v>Walk to tester (2 m)</c:v>
                </c:pt>
                <c:pt idx="4">
                  <c:v>Load, start leak test</c:v>
                </c:pt>
                <c:pt idx="5">
                  <c:v>Leak test (automatic)</c:v>
                </c:pt>
                <c:pt idx="6">
                  <c:v>Unload, read result</c:v>
                </c:pt>
                <c:pt idx="7">
                  <c:v>Fit cap, apply label</c:v>
                </c:pt>
                <c:pt idx="8">
                  <c:v>Tote and scan label</c:v>
                </c:pt>
                <c:pt idx="9">
                  <c:v>Walk back (3 m)</c:v>
                </c:pt>
                <c:pt idx="10">
                  <c:v/>
                </c:pt>
                <c:pt idx="11">
                  <c:v/>
                </c:pt>
              </c:strCache>
            </c:strRef>
          </c:cat>
          <c:val>
            <c:numRef>
              <c:f>Dashboard!$D$51:$D$62</c:f>
              <c:numCache>
                <c:formatCode>General</c:formatCode>
                <c:ptCount val="12"/>
                <c:pt idx="0">
                  <c:v>3.6288</c:v>
                </c:pt>
                <c:pt idx="1">
                  <c:v>5.03272</c:v>
                </c:pt>
                <c:pt idx="2">
                  <c:v>6.57384</c:v>
                </c:pt>
                <c:pt idx="3">
                  <c:v>0</c:v>
                </c:pt>
                <c:pt idx="4">
                  <c:v>3.3264</c:v>
                </c:pt>
                <c:pt idx="5">
                  <c:v>0</c:v>
                </c:pt>
                <c:pt idx="6">
                  <c:v>3.09288</c:v>
                </c:pt>
                <c:pt idx="7">
                  <c:v>4.40496</c:v>
                </c:pt>
                <c:pt idx="8">
                  <c:v>3.0688</c:v>
                </c:pt>
                <c:pt idx="9">
                  <c:v>0</c:v>
                </c:pt>
                <c:pt idx="10">
                  <c:v>0</c:v>
                </c:pt>
                <c:pt idx="11">
                  <c:v>0</c:v>
                </c:pt>
              </c:numCache>
            </c:numRef>
          </c:val>
        </c:ser>
        <c:ser>
          <c:idx val="2"/>
          <c:order val="2"/>
          <c:tx>
            <c:v>Machine</c:v>
          </c:tx>
          <c:spPr>
            <a:solidFill>
              <a:srgbClr val="1BA37A"/>
            </a:solidFill>
            <a:ln w="9525">
              <a:solidFill>
                <a:srgbClr val="FFFFFF"/>
              </a:solidFill>
            </a:ln>
          </c:spPr>
          <c:cat>
            <c:strRef>
              <c:f>Dashboard!$B$51:$B$62</c:f>
              <c:strCache>
                <c:ptCount val="12"/>
                <c:pt idx="0">
                  <c:v>Pick housing and O-ring</c:v>
                </c:pt>
                <c:pt idx="1">
                  <c:v>Fit O-ring</c:v>
                </c:pt>
                <c:pt idx="2">
                  <c:v>Press in spool</c:v>
                </c:pt>
                <c:pt idx="3">
                  <c:v>Walk to tester (2 m)</c:v>
                </c:pt>
                <c:pt idx="4">
                  <c:v>Load, start leak test</c:v>
                </c:pt>
                <c:pt idx="5">
                  <c:v>Leak test (automatic)</c:v>
                </c:pt>
                <c:pt idx="6">
                  <c:v>Unload, read result</c:v>
                </c:pt>
                <c:pt idx="7">
                  <c:v>Fit cap, apply label</c:v>
                </c:pt>
                <c:pt idx="8">
                  <c:v>Tote and scan label</c:v>
                </c:pt>
                <c:pt idx="9">
                  <c:v>Walk back (3 m)</c:v>
                </c:pt>
                <c:pt idx="10">
                  <c:v/>
                </c:pt>
                <c:pt idx="11">
                  <c:v/>
                </c:pt>
              </c:strCache>
            </c:strRef>
          </c:cat>
          <c:val>
            <c:numRef>
              <c:f>Dashboard!$E$51:$E$62</c:f>
              <c:numCache>
                <c:formatCode>General</c:formatCode>
                <c:ptCount val="12"/>
                <c:pt idx="0">
                  <c:v>0</c:v>
                </c:pt>
                <c:pt idx="1">
                  <c:v>0</c:v>
                </c:pt>
                <c:pt idx="2">
                  <c:v>0</c:v>
                </c:pt>
                <c:pt idx="3">
                  <c:v>0</c:v>
                </c:pt>
                <c:pt idx="4">
                  <c:v>0</c:v>
                </c:pt>
                <c:pt idx="5">
                  <c:v>12.03</c:v>
                </c:pt>
                <c:pt idx="6">
                  <c:v>0</c:v>
                </c:pt>
                <c:pt idx="7">
                  <c:v>0</c:v>
                </c:pt>
                <c:pt idx="8">
                  <c:v>0</c:v>
                </c:pt>
                <c:pt idx="9">
                  <c:v>0</c:v>
                </c:pt>
                <c:pt idx="10">
                  <c:v>0</c:v>
                </c:pt>
                <c:pt idx="11">
                  <c:v>0</c:v>
                </c:pt>
              </c:numCache>
            </c:numRef>
          </c:val>
        </c:ser>
        <c:ser>
          <c:idx val="3"/>
          <c:order val="3"/>
          <c:tx>
            <c:v>Walk</c:v>
          </c:tx>
          <c:spPr>
            <a:solidFill>
              <a:srgbClr val="E0A100"/>
            </a:solidFill>
            <a:ln w="9525">
              <a:solidFill>
                <a:srgbClr val="FFFFFF"/>
              </a:solidFill>
            </a:ln>
          </c:spPr>
          <c:cat>
            <c:strRef>
              <c:f>Dashboard!$B$51:$B$62</c:f>
              <c:strCache>
                <c:ptCount val="12"/>
                <c:pt idx="0">
                  <c:v>Pick housing and O-ring</c:v>
                </c:pt>
                <c:pt idx="1">
                  <c:v>Fit O-ring</c:v>
                </c:pt>
                <c:pt idx="2">
                  <c:v>Press in spool</c:v>
                </c:pt>
                <c:pt idx="3">
                  <c:v>Walk to tester (2 m)</c:v>
                </c:pt>
                <c:pt idx="4">
                  <c:v>Load, start leak test</c:v>
                </c:pt>
                <c:pt idx="5">
                  <c:v>Leak test (automatic)</c:v>
                </c:pt>
                <c:pt idx="6">
                  <c:v>Unload, read result</c:v>
                </c:pt>
                <c:pt idx="7">
                  <c:v>Fit cap, apply label</c:v>
                </c:pt>
                <c:pt idx="8">
                  <c:v>Tote and scan label</c:v>
                </c:pt>
                <c:pt idx="9">
                  <c:v>Walk back (3 m)</c:v>
                </c:pt>
                <c:pt idx="10">
                  <c:v/>
                </c:pt>
                <c:pt idx="11">
                  <c:v/>
                </c:pt>
              </c:strCache>
            </c:strRef>
          </c:cat>
          <c:val>
            <c:numRef>
              <c:f>Dashboard!$F$51:$F$62</c:f>
              <c:numCache>
                <c:formatCode>General</c:formatCode>
                <c:ptCount val="12"/>
                <c:pt idx="0">
                  <c:v>0</c:v>
                </c:pt>
                <c:pt idx="1">
                  <c:v>0</c:v>
                </c:pt>
                <c:pt idx="2">
                  <c:v>0</c:v>
                </c:pt>
                <c:pt idx="3">
                  <c:v>2.6208</c:v>
                </c:pt>
                <c:pt idx="4">
                  <c:v>0</c:v>
                </c:pt>
                <c:pt idx="5">
                  <c:v>0</c:v>
                </c:pt>
                <c:pt idx="6">
                  <c:v>0</c:v>
                </c:pt>
                <c:pt idx="7">
                  <c:v>0</c:v>
                </c:pt>
                <c:pt idx="8">
                  <c:v>0</c:v>
                </c:pt>
                <c:pt idx="9">
                  <c:v>3.416</c:v>
                </c:pt>
                <c:pt idx="10">
                  <c:v>0</c:v>
                </c:pt>
                <c:pt idx="11">
                  <c:v>0</c:v>
                </c:pt>
              </c:numCache>
            </c:numRef>
          </c:val>
        </c:ser>
        <c:gapWidth val="40"/>
        <c:overlap val="100"/>
        <c:axId val="50010001"/>
        <c:axId val="50010002"/>
      </c:barChart>
      <c:catAx>
        <c:axId val="5001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tickLblSkip val="1"/>
      </c:catAx>
      <c:valAx>
        <c:axId val="50010002"/>
        <c:scaling>
          <c:orientation val="minMax"/>
          <c:min val="0"/>
        </c:scaling>
        <c:axPos val="t"/>
        <c:majorGridlines>
          <c:spPr>
            <a:ln w="9525">
              <a:solidFill>
                <a:srgbClr val="E6E9EE"/>
              </a:solidFill>
            </a:ln>
          </c:spPr>
        </c:majorGridlines>
        <c:title>
          <c:tx>
            <c:rich>
              <a:bodyPr/>
              <a:lstStyle/>
              <a:p>
                <a:pPr>
                  <a:defRPr sz="900" b="0" baseline="0">
                    <a:solidFill>
                      <a:srgbClr val="4A5361"/>
                    </a:solidFill>
                    <a:latin typeface="Calibri"/>
                  </a:defRPr>
                </a:pPr>
                <a:r>
                  <a:rPr lang="en-US" sz="900" b="0" baseline="0">
                    <a:solidFill>
                      <a:srgbClr val="4A5361"/>
                    </a:solidFill>
                    <a:latin typeface="Calibri"/>
                  </a:rPr>
                  <a:t>Seconds into the cycle</a:t>
                </a:r>
              </a:p>
            </c:rich>
          </c:tx>
          <c:layout/>
        </c:title>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max"/>
        <c:crossBetween val="between"/>
      </c:valAx>
      <c:spPr>
        <a:solidFill>
          <a:srgbClr val="FFFFFF"/>
        </a:solidFill>
        <a:ln>
          <a:noFill/>
        </a:ln>
      </c:spPr>
    </c:plotArea>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Observed cycle time by cycle (s)</a:t>
            </a:r>
          </a:p>
        </c:rich>
      </c:tx>
      <c:layout/>
    </c:title>
    <c:plotArea>
      <c:layout/>
      <c:barChart>
        <c:barDir val="col"/>
        <c:grouping val="clustered"/>
        <c:ser>
          <c:idx val="0"/>
          <c:order val="0"/>
          <c:tx>
            <c:v>Observed cycle</c:v>
          </c:tx>
          <c:spPr>
            <a:solidFill>
              <a:srgbClr val="3B64D8"/>
            </a:solidFill>
            <a:ln w="9525">
              <a:solidFill>
                <a:srgbClr val="FFFFFF"/>
              </a:solidFill>
            </a:ln>
          </c:spPr>
          <c:dLbls>
            <c:numFmt formatCode="0.0" sourceLinked="0"/>
            <c:txPr>
              <a:bodyPr/>
              <a:lstStyle/>
              <a:p>
                <a:pPr>
                  <a:defRPr sz="800" b="1" baseline="0">
                    <a:solidFill>
                      <a:srgbClr val="FFFFFF"/>
                    </a:solidFill>
                    <a:latin typeface="Calibri"/>
                  </a:defRPr>
                </a:pPr>
                <a:endParaRPr lang="en-US"/>
              </a:p>
            </c:txPr>
            <c:dLblPos val="inBase"/>
            <c:showVal val="1"/>
          </c:dLbls>
          <c:cat>
            <c:numRef>
              <c:f>Dashboard!$B$38:$B$47</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Dashboard!$C$38:$C$47</c:f>
              <c:numCache>
                <c:formatCode>General</c:formatCode>
                <c:ptCount val="10"/>
                <c:pt idx="0">
                  <c:v>43.6</c:v>
                </c:pt>
                <c:pt idx="1">
                  <c:v>43.2</c:v>
                </c:pt>
                <c:pt idx="2">
                  <c:v>42.9</c:v>
                </c:pt>
                <c:pt idx="3">
                  <c:v>43.4</c:v>
                </c:pt>
                <c:pt idx="4">
                  <c:v>43.7</c:v>
                </c:pt>
                <c:pt idx="5">
                  <c:v>43.6</c:v>
                </c:pt>
                <c:pt idx="6">
                  <c:v>42.5</c:v>
                </c:pt>
                <c:pt idx="7">
                  <c:v>43.8</c:v>
                </c:pt>
                <c:pt idx="8">
                  <c:v>43.8</c:v>
                </c:pt>
                <c:pt idx="9">
                  <c:v>44.1</c:v>
                </c:pt>
              </c:numCache>
            </c:numRef>
          </c:val>
        </c:ser>
        <c:gapWidth val="60"/>
        <c:overlap val="-10"/>
        <c:axId val="50020001"/>
        <c:axId val="50020002"/>
      </c:barChart>
      <c:lineChart>
        <c:grouping val="standard"/>
        <c:ser>
          <c:idx val="1"/>
          <c:order val="1"/>
          <c:tx>
            <c:v>Standard cycle</c:v>
          </c:tx>
          <c:spPr>
            <a:ln w="19050">
              <a:solidFill>
                <a:srgbClr val="4A5361"/>
              </a:solidFill>
              <a:prstDash val="dash"/>
            </a:ln>
          </c:spPr>
          <c:marker>
            <c:symbol val="none"/>
          </c:marker>
          <c:cat>
            <c:numRef>
              <c:f>Dashboard!$B$38:$B$47</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Dashboard!$F$38:$F$47</c:f>
              <c:numCache>
                <c:formatCode>General</c:formatCode>
                <c:ptCount val="10"/>
                <c:pt idx="0">
                  <c:v>47.1952</c:v>
                </c:pt>
                <c:pt idx="1">
                  <c:v>47.1952</c:v>
                </c:pt>
                <c:pt idx="2">
                  <c:v>47.1952</c:v>
                </c:pt>
                <c:pt idx="3">
                  <c:v>47.1952</c:v>
                </c:pt>
                <c:pt idx="4">
                  <c:v>47.1952</c:v>
                </c:pt>
                <c:pt idx="5">
                  <c:v>47.1952</c:v>
                </c:pt>
                <c:pt idx="6">
                  <c:v>47.1952</c:v>
                </c:pt>
                <c:pt idx="7">
                  <c:v>47.1952</c:v>
                </c:pt>
                <c:pt idx="8">
                  <c:v>47.1952</c:v>
                </c:pt>
                <c:pt idx="9">
                  <c:v>47.1952</c:v>
                </c:pt>
              </c:numCache>
            </c:numRef>
          </c:val>
        </c:ser>
        <c:ser>
          <c:idx val="2"/>
          <c:order val="2"/>
          <c:tx>
            <c:v>Takt</c:v>
          </c:tx>
          <c:spPr>
            <a:ln w="19050">
              <a:solidFill>
                <a:srgbClr val="B3000C"/>
              </a:solidFill>
              <a:prstDash val="dash"/>
            </a:ln>
          </c:spPr>
          <c:marker>
            <c:symbol val="none"/>
          </c:marker>
          <c:cat>
            <c:numRef>
              <c:f>Dashboard!$B$38:$B$47</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Dashboard!$E$38:$E$47</c:f>
              <c:numCache>
                <c:formatCode>General</c:formatCode>
                <c:ptCount val="10"/>
                <c:pt idx="0">
                  <c:v>45</c:v>
                </c:pt>
                <c:pt idx="1">
                  <c:v>45</c:v>
                </c:pt>
                <c:pt idx="2">
                  <c:v>45</c:v>
                </c:pt>
                <c:pt idx="3">
                  <c:v>45</c:v>
                </c:pt>
                <c:pt idx="4">
                  <c:v>45</c:v>
                </c:pt>
                <c:pt idx="5">
                  <c:v>45</c:v>
                </c:pt>
                <c:pt idx="6">
                  <c:v>45</c:v>
                </c:pt>
                <c:pt idx="7">
                  <c:v>45</c:v>
                </c:pt>
                <c:pt idx="8">
                  <c:v>45</c:v>
                </c:pt>
                <c:pt idx="9">
                  <c:v>45</c:v>
                </c:pt>
              </c:numCache>
            </c:numRef>
          </c:val>
        </c:ser>
        <c:marker val="1"/>
        <c:axId val="50020001"/>
        <c:axId val="50020002"/>
      </c:lineChart>
      <c:catAx>
        <c:axId val="50020001"/>
        <c:scaling>
          <c:orientation val="minMax"/>
        </c:scaling>
        <c:axPos val="b"/>
        <c:numFmt formatCode="General" sourceLinked="1"/>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6</xdr:col>
      <xdr:colOff>676275</xdr:colOff>
      <xdr:row>26</xdr:row>
      <xdr:rowOff>152400</xdr:rowOff>
    </xdr:to>
    <xdr:graphicFrame macro="">
      <xdr:nvGraphicFramePr>
        <xdr:cNvPr id="2" name="Chart 1" descr="Standard work combination chart: one horizontal bar per element in work order, starting where the previous element ends, coloured by manual, machine and walk tim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38100</xdr:colOff>
      <xdr:row>11</xdr:row>
      <xdr:rowOff>38100</xdr:rowOff>
    </xdr:from>
    <xdr:to>
      <xdr:col>11</xdr:col>
      <xdr:colOff>676275</xdr:colOff>
      <xdr:row>26</xdr:row>
      <xdr:rowOff>152400</xdr:rowOff>
    </xdr:to>
    <xdr:graphicFrame macro="">
      <xdr:nvGraphicFramePr>
        <xdr:cNvPr id="3" name="Chart 2" descr="Column chart of the observed cycle time in each studied cycle, with the standard cycle as a dashed grey line and takt time as a dashed r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Elements" displayName="tblElements" ref="B5:Y15" totalsRowShown="0">
  <autoFilter ref="B5:Y15"/>
  <tableColumns count="24">
    <tableColumn id="1" name="No."/>
    <tableColumn id="2" name="Element"/>
    <tableColumn id="3" name="Type"/>
    <tableColumn id="4" name="Obs 1 (s)"/>
    <tableColumn id="5" name="Obs 2 (s)"/>
    <tableColumn id="6" name="Obs 3 (s)"/>
    <tableColumn id="7" name="Obs 4 (s)"/>
    <tableColumn id="8" name="Obs 5 (s)"/>
    <tableColumn id="9" name="Obs 6 (s)"/>
    <tableColumn id="10" name="Obs 7 (s)"/>
    <tableColumn id="11" name="Obs 8 (s)"/>
    <tableColumn id="12" name="Obs 9 (s)"/>
    <tableColumn id="13" name="Obs 10 (s)"/>
    <tableColumn id="14" name="Rating (%)"/>
    <tableColumn id="15" name="Cycles">
      <calculatedColumnFormula>IF(tblElements[[#This Row],[No.]]="","",COUNT(tblElements[[#This Row],[Obs 1 (s)]],tblElements[[#This Row],[Obs 2 (s)]],tblElements[[#This Row],[Obs 3 (s)]],tblElements[[#This Row],[Obs 4 (s)]],tblElements[[#This Row],[Obs 5 (s)]],tblElements[[#This Row],[Obs 6 (s)]],tblElements[[#This Row],[Obs 7 (s)]],tblElements[[#This Row],[Obs 8 (s)]],tblElements[[#This Row],[Obs 9 (s)]],tblElements[[#This Row],[Obs 10 (s)]]))</calculatedColumnFormula>
    </tableColumn>
    <tableColumn id="16" name="Mean (s)">
      <calculatedColumnFormula>IF(tblElements[[#This Row],[No.]]="","",IF(tblElements[[#This Row],[Cycles]]=0,"",AVERAGE(tblElements[[#This Row],[Obs 1 (s)]],tblElements[[#This Row],[Obs 2 (s)]],tblElements[[#This Row],[Obs 3 (s)]],tblElements[[#This Row],[Obs 4 (s)]],tblElements[[#This Row],[Obs 5 (s)]],tblElements[[#This Row],[Obs 6 (s)]],tblElements[[#This Row],[Obs 7 (s)]],tblElements[[#This Row],[Obs 8 (s)]],tblElements[[#This Row],[Obs 9 (s)]],tblElements[[#This Row],[Obs 10 (s)]])))</calculatedColumnFormula>
    </tableColumn>
    <tableColumn id="17" name="Min (s)">
      <calculatedColumnFormula>IF(tblElements[[#This Row],[No.]]="","",IF(tblElements[[#This Row],[Cycles]]=0,"",MIN(tblElements[[#This Row],[Obs 1 (s)]],tblElements[[#This Row],[Obs 2 (s)]],tblElements[[#This Row],[Obs 3 (s)]],tblElements[[#This Row],[Obs 4 (s)]],tblElements[[#This Row],[Obs 5 (s)]],tblElements[[#This Row],[Obs 6 (s)]],tblElements[[#This Row],[Obs 7 (s)]],tblElements[[#This Row],[Obs 8 (s)]],tblElements[[#This Row],[Obs 9 (s)]],tblElements[[#This Row],[Obs 10 (s)]])))</calculatedColumnFormula>
    </tableColumn>
    <tableColumn id="18" name="Max (s)">
      <calculatedColumnFormula>IF(tblElements[[#This Row],[No.]]="","",IF(tblElements[[#This Row],[Cycles]]=0,"",MAX(tblElements[[#This Row],[Obs 1 (s)]],tblElements[[#This Row],[Obs 2 (s)]],tblElements[[#This Row],[Obs 3 (s)]],tblElements[[#This Row],[Obs 4 (s)]],tblElements[[#This Row],[Obs 5 (s)]],tblElements[[#This Row],[Obs 6 (s)]],tblElements[[#This Row],[Obs 7 (s)]],tblElements[[#This Row],[Obs 8 (s)]],tblElements[[#This Row],[Obs 9 (s)]],tblElements[[#This Row],[Obs 10 (s)]])))</calculatedColumnFormula>
    </tableColumn>
    <tableColumn id="19" name="Normal (s)">
      <calculatedColumnFormula>IF(tblElements[[#This Row],[No.]]="","",IF(tblElements[[#This Row],[Cycles]]=0,"",tblElements[[#This Row],[Mean (s)]]*IF(tblElements[[#This Row],[Type]]="Machine",1,tblElements[[#This Row],[Rating (%)]])))</calculatedColumnFormula>
    </tableColumn>
    <tableColumn id="20" name="Allowance (%)">
      <calculatedColumnFormula>IF(tblElements[[#This Row],[No.]]="","",IF(tblElements[[#This Row],[Type]]="Machine",0,Allowance))</calculatedColumnFormula>
    </tableColumn>
    <tableColumn id="21" name="Standard (s)">
      <calculatedColumnFormula>IF(tblElements[[#This Row],[No.]]="","",IF(tblElements[[#This Row],[Cycles]]=0,"",tblElements[[#This Row],[Normal (s)]]*(1+tblElements[[#This Row],[Allowance (%)]])))</calculatedColumnFormula>
    </tableColumn>
    <tableColumn id="22" name="Start (s)">
      <calculatedColumnFormula>IF(tblElements[[#This Row],[No.]]="","",SUMIFS(tblElements[Standard (s)],tblElements[No.],"&lt;"&amp;tblElements[[#This Row],[No.]]))</calculatedColumnFormula>
    </tableColumn>
    <tableColumn id="23" name="Cycles needed">
      <calculatedColumnFormula>IF(tblElements[[#This Row],[No.]]="","",IF(tblElements[[#This Row],[Cycles]]&lt;2,"",ROUNDUP((40*SQRT(MAX(0,tblElements[[#This Row],[Cycles]]*SUMSQ(tblElements[[#This Row],[Obs 1 (s)]],tblElements[[#This Row],[Obs 2 (s)]],tblElements[[#This Row],[Obs 3 (s)]],tblElements[[#This Row],[Obs 4 (s)]],tblElements[[#This Row],[Obs 5 (s)]],tblElements[[#This Row],[Obs 6 (s)]],tblElements[[#This Row],[Obs 7 (s)]],tblElements[[#This Row],[Obs 8 (s)]],tblElements[[#This Row],[Obs 9 (s)]],tblElements[[#This Row],[Obs 10 (s)]])-SUM(tblElements[[#This Row],[Obs 1 (s)]],tblElements[[#This Row],[Obs 2 (s)]],tblElements[[#This Row],[Obs 3 (s)]],tblElements[[#This Row],[Obs 4 (s)]],tblElements[[#This Row],[Obs 5 (s)]],tblElements[[#This Row],[Obs 6 (s)]],tblElements[[#This Row],[Obs 7 (s)]],tblElements[[#This Row],[Obs 8 (s)]],tblElements[[#This Row],[Obs 9 (s)]],tblElements[[#This Row],[Obs 10 (s)]])^2))/SUM(tblElements[[#This Row],[Obs 1 (s)]],tblElements[[#This Row],[Obs 2 (s)]],tblElements[[#This Row],[Obs 3 (s)]],tblElements[[#This Row],[Obs 4 (s)]],tblElements[[#This Row],[Obs 5 (s)]],tblElements[[#This Row],[Obs 6 (s)]],tblElements[[#This Row],[Obs 7 (s)]],tblElements[[#This Row],[Obs 8 (s)]],tblElements[[#This Row],[Obs 9 (s)]],tblElements[[#This Row],[Obs 10 (s)]]))^2,0)))</calculatedColumnFormula>
    </tableColumn>
    <tableColumn id="24" name="Check">
      <calculatedColumnFormula>IF(tblElements[[#This Row],[No.]]="","",IF(tblElements[[#This Row],[Element]]="","Missing element",IF(tblElements[[#This Row],[Type]]="","Missing type",IF(tblElements[[#This Row],[Rating (%)]]="","Missing rating",IF(COUNTIF(tblElements[No.],tblElements[[#This Row],[No.]])&gt;1,"Duplicate element number",IF(tblElements[[#This Row],[Cycles]]&lt;3,"Fewer than 3 readings",IF(AND(tblElements[[#This Row],[Type]]="Machine",tblElements[[#This Row],[Rating (%)]]&lt;&gt;1),"Machine element: rating not used",IF(OR(tblElements[[#This Row],[Max (s)]]&gt;1.5*tblElements[[#This Row],[Mean (s)]],tblElements[[#This Row],[Min (s)]]&lt;0.5*tblElements[[#This Row],[Mean (s)]]),"Check outlier reading",IF(tblElements[[#This Row],[Cycles]]&lt;tblElements[[#This Row],[Cycles needed]],"Study more cycles","OK")))))))))</calculatedColumnFormula>
    </tableColumn>
  </tableColumns>
  <tableStyleInfo name="TableStyleLight1" showFirstColumn="0" showLastColumn="0" showRowStripes="0" showColumnStripes="0"/>
</table>
</file>

<file path=xl/tables/table2.xml><?xml version="1.0" encoding="utf-8"?>
<table xmlns="http://schemas.openxmlformats.org/spreadsheetml/2006/main" id="2" name="tblVerifyElements" displayName="tblVerifyElements" ref="B34:Y39" totalsRowShown="0">
  <tableColumns count="24">
    <tableColumn id="1" name="No."/>
    <tableColumn id="2" name="Element"/>
    <tableColumn id="3" name="Type"/>
    <tableColumn id="4" name="Obs 1 (s)"/>
    <tableColumn id="5" name="Obs 2 (s)"/>
    <tableColumn id="6" name="Obs 3 (s)"/>
    <tableColumn id="7" name="Obs 4 (s)"/>
    <tableColumn id="8" name="Obs 5 (s)"/>
    <tableColumn id="9" name="Obs 6 (s)"/>
    <tableColumn id="10" name="Obs 7 (s)"/>
    <tableColumn id="11" name="Obs 8 (s)"/>
    <tableColumn id="12" name="Obs 9 (s)"/>
    <tableColumn id="13" name="Obs 10 (s)"/>
    <tableColumn id="14" name="Rating (%)"/>
    <tableColumn id="15" name="Cycles">
      <calculatedColumnFormula>IF(tblVerifyElements[[#This Row],[No.]]="","",COUNT(tblVerifyElements[[#This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calculatedColumnFormula>
    </tableColumn>
    <tableColumn id="16" name="Mean (s)">
      <calculatedColumnFormula>IF(tblVerifyElements[[#This Row],[No.]]="","",IF(tblVerifyElements[[#This Row],[Cycles]]=0,"",AVERAGE(tblVerifyElements[[#This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calculatedColumnFormula>
    </tableColumn>
    <tableColumn id="17" name="Min (s)">
      <calculatedColumnFormula>IF(tblVerifyElements[[#This Row],[No.]]="","",IF(tblVerifyElements[[#This Row],[Cycles]]=0,"",MIN(tblVerifyElements[[#This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calculatedColumnFormula>
    </tableColumn>
    <tableColumn id="18" name="Max (s)">
      <calculatedColumnFormula>IF(tblVerifyElements[[#This Row],[No.]]="","",IF(tblVerifyElements[[#This Row],[Cycles]]=0,"",MAX(tblVerifyElements[[#This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calculatedColumnFormula>
    </tableColumn>
    <tableColumn id="19" name="Normal (s)">
      <calculatedColumnFormula>IF(tblVerifyElements[[#This Row],[No.]]="","",IF(tblVerifyElements[[#This Row],[Cycles]]=0,"",tblVerifyElements[[#This Row],[Mean (s)]]*IF(tblVerifyElements[[#This Row],[Type]]="Machine",1,tblVerifyElements[[#This Row],[Rating (%)]])))</calculatedColumnFormula>
    </tableColumn>
    <tableColumn id="20" name="Allowance (%)">
      <calculatedColumnFormula>IF(tblVerifyElements[[#This Row],[No.]]="","",IF(tblVerifyElements[[#This Row],[Type]]="Machine",0,$E$30))</calculatedColumnFormula>
    </tableColumn>
    <tableColumn id="21" name="Standard (s)">
      <calculatedColumnFormula>IF(tblVerifyElements[[#This Row],[No.]]="","",IF(tblVerifyElements[[#This Row],[Cycles]]=0,"",tblVerifyElements[[#This Row],[Normal (s)]]*(1+tblVerifyElements[[#This Row],[Allowance (%)]])))</calculatedColumnFormula>
    </tableColumn>
    <tableColumn id="22" name="Start (s)">
      <calculatedColumnFormula>IF(tblVerifyElements[[#This Row],[No.]]="","",SUMIFS(tblVerifyElements[Standard (s)],tblVerifyElements[No.],"&lt;"&amp;tblVerifyElements[[#This Row],[No.]]))</calculatedColumnFormula>
    </tableColumn>
    <tableColumn id="23" name="Cycles needed">
      <calculatedColumnFormula>IF(tblVerifyElements[[#This Row],[No.]]="","",IF(tblVerifyElements[[#This Row],[Cycles]]&lt;2,"",ROUNDUP((40*SQRT(MAX(0,tblVerifyElements[[#This Row],[Cycles]]*SUMSQ(tblVerifyElements[[#This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(s)]])-SUM(tblVerifyElements[[#This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(s)]])^2))/SUM(tblVerifyElements[[#This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(s)]]))^2,0)))</calculatedColumnFormula>
    </tableColumn>
    <tableColumn id="24" name="Check">
      <calculatedColumnFormula>IF(tblVerifyElements[[#This Row],[No.]]="","",IF(tblVerifyElements[[#This Row],[Element]]="","Missing element",IF(tblVerifyElements[[#This Row],[Type]]="","Missing type",IF(tblVerifyElements[[#This Row],[Rating (%)]]="","Missing rating",IF(COUNTIF(tblVerifyElements[No.],tblVerifyElements[[#This Row],[No.]])&gt;1,"Duplicate element number",IF(tblVerifyElements[[#This Row],[Cycles]]&lt;3,"Fewer than 3 readings",IF(AND(tblVerifyElements[[#This Row],[Type]]="Machine",tblVerifyElements[[#This Row],[Rating (%)]]&lt;&gt;1),"Machine element: rating not used",IF(OR(tblVerifyElements[[#This Row],[Max (s)]]&gt;1.5*tblVerifyElements[[#This Row],[Mean (s)]],tblVerifyElements[[#This Row],[Min (s)]]&lt;0.5*tblVerifyElements[[#This Row],[Mean (s)]]),"Check outlier reading",IF(tblVerifyElements[[#This Row],[Cycles]]&lt;tblVerifyElements[[#This Row],[Cycles needed]],"Study more cycles","OK")))))))))</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ime-study-standard-work" TargetMode="External"/><Relationship Id="rId2" Type="http://schemas.openxmlformats.org/officeDocument/2006/relationships/hyperlink" Target="https://www.mfgcalcs.com/calculators/lean-manufacturing-operations/standard-work-combination?utm_source=mfgcalcs-template&amp;utm_medium=xlsx&amp;utm_campaign=time-study-standard-work" TargetMode="External"/><Relationship Id="rId3" Type="http://schemas.openxmlformats.org/officeDocument/2006/relationships/hyperlink" Target="https://www.mfgcalcs.com/templates/time-study-standard-work?utm_source=mfgcalcs-template&amp;utm_medium=xlsx&amp;utm_campaign=time-study-standard-work" TargetMode="External"/><Relationship Id="rId4" Type="http://schemas.openxmlformats.org/officeDocument/2006/relationships/hyperlink" Target="https://www.mfgcalcs.com/templates?utm_source=mfgcalcs-template&amp;utm_medium=xlsx&amp;utm_campaign=time-study-standard-work"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ime-study-standard-work"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ime-study-standard-work" TargetMode="External"/><Relationship Id="rId2"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ime-study-standard-work"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ime-study-standard-work" TargetMode="External"/><Relationship Id="rId2" Type="http://schemas.openxmlformats.org/officeDocument/2006/relationships/hyperlink" Target="https://www.mfgcalcs.com/calculators/lean-manufacturing-operations/standard-work-combination?utm_source=mfgcalcs-template&amp;utm_medium=xlsx&amp;utm_campaign=time-study-standard-work"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ime-study-standard-work" TargetMode="External"/><Relationship Id="rId2"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16.2"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6" spans="1:6" ht="29.4"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16.2"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14 of 14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75"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Study!A1" tooltip="Go to Study" display="Study"/>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Time Study and Standard Work&amp;R&amp;8&amp;A</oddHeader>
    <oddFooter>&amp;L&amp;8mfgcalcs.com - free manufacturing templates&amp;R&amp;8Page &amp;P of &amp;N</oddFooter>
  </headerFooter>
  <rowBreaks count="1" manualBreakCount="1">
    <brk id="34"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20"/>
  <sheetViews>
    <sheetView showGridLines="0" workbookViewId="0"/>
  </sheetViews>
  <sheetFormatPr defaultRowHeight="15"/>
  <cols>
    <col min="1" max="1" width="2.7109375" customWidth="1"/>
    <col min="2" max="2" width="34.7109375" customWidth="1"/>
    <col min="3" max="3" width="16.7109375" customWidth="1"/>
    <col min="4" max="4" width="40.7109375" customWidth="1"/>
  </cols>
  <sheetData>
    <row r="1" spans="1:5" ht="30" customHeight="1">
      <c r="A1" s="1" t="s">
        <v>0</v>
      </c>
      <c r="B1" s="1"/>
      <c r="C1" s="1"/>
      <c r="D1" s="1"/>
      <c r="E1" s="1"/>
    </row>
    <row r="2" spans="1:5" ht="21" customHeight="1">
      <c r="B2" s="2" t="s">
        <v>20</v>
      </c>
      <c r="C2" s="2"/>
      <c r="D2" s="3" t="s">
        <v>2</v>
      </c>
      <c r="E2" s="3"/>
    </row>
    <row r="3" spans="1:5" ht="6" customHeight="1"/>
    <row r="4" spans="1:5" ht="21" customHeight="1">
      <c r="B4" s="8" t="s">
        <v>62</v>
      </c>
      <c r="C4" s="8"/>
      <c r="D4" s="8"/>
    </row>
    <row r="5" spans="1:5" ht="5" customHeight="1"/>
    <row r="6" spans="1:5">
      <c r="B6" s="27" t="s">
        <v>63</v>
      </c>
      <c r="C6" s="28" t="s">
        <v>64</v>
      </c>
      <c r="D6" s="28"/>
    </row>
    <row r="7" spans="1:5">
      <c r="B7" s="27" t="s">
        <v>65</v>
      </c>
      <c r="C7" s="28" t="s">
        <v>66</v>
      </c>
      <c r="D7" s="28"/>
    </row>
    <row r="8" spans="1:5">
      <c r="B8" s="27" t="s">
        <v>67</v>
      </c>
      <c r="C8" s="29">
        <v>46286</v>
      </c>
      <c r="D8" s="7"/>
    </row>
    <row r="10" spans="1:5" ht="21" customHeight="1">
      <c r="B10" s="8" t="s">
        <v>68</v>
      </c>
      <c r="C10" s="8"/>
      <c r="D10" s="8"/>
    </row>
    <row r="11" spans="1:5" ht="5" customHeight="1"/>
    <row r="12" spans="1:5">
      <c r="B12" s="27" t="s">
        <v>69</v>
      </c>
      <c r="C12" s="30">
        <v>450</v>
      </c>
      <c r="D12" s="7" t="s">
        <v>70</v>
      </c>
    </row>
    <row r="13" spans="1:5">
      <c r="B13" s="27" t="s">
        <v>71</v>
      </c>
      <c r="C13" s="30">
        <v>600</v>
      </c>
      <c r="D13" s="7" t="s">
        <v>72</v>
      </c>
    </row>
    <row r="14" spans="1:5">
      <c r="B14" s="17" t="s">
        <v>68</v>
      </c>
      <c r="C14" s="31">
        <f>AvailMin*60/Demand</f>
        <v>45</v>
      </c>
      <c r="D14" s="7" t="s">
        <v>73</v>
      </c>
    </row>
    <row r="16" spans="1:5" ht="21" customHeight="1">
      <c r="B16" s="8" t="s">
        <v>74</v>
      </c>
      <c r="C16" s="8"/>
      <c r="D16" s="8"/>
    </row>
    <row r="17" spans="2:4" ht="5" customHeight="1"/>
    <row r="18" spans="2:4">
      <c r="B18" s="27" t="s">
        <v>75</v>
      </c>
      <c r="C18" s="32">
        <v>0.12</v>
      </c>
      <c r="D18" s="7"/>
    </row>
    <row r="20" spans="2:4" ht="35.4" customHeight="1">
      <c r="B20" s="25" t="s">
        <v>76</v>
      </c>
      <c r="C20" s="25"/>
      <c r="D20" s="25"/>
    </row>
  </sheetData>
  <mergeCells count="9">
    <mergeCell ref="A1:E1"/>
    <mergeCell ref="B2:C2"/>
    <mergeCell ref="D2:E2"/>
    <mergeCell ref="B4:D4"/>
    <mergeCell ref="C6:D6"/>
    <mergeCell ref="C7:D7"/>
    <mergeCell ref="B10:D10"/>
    <mergeCell ref="B16:D16"/>
    <mergeCell ref="B20:D20"/>
  </mergeCells>
  <dataValidations count="6">
    <dataValidation type="textLength" allowBlank="1" showInputMessage="1" showErrorMessage="1" errorTitle="Check this entry" error="Text up to 120 characters." promptTitle="Operation studied" prompt="Shown on the Dashboard. Text up to 120 characters." sqref="C6">
      <formula1>0</formula1>
      <formula2>120</formula2>
    </dataValidation>
    <dataValidation type="textLength" allowBlank="1" showInputMessage="1" showErrorMessage="1" errorTitle="Check this entry" error="Text up to 60 characters." promptTitle="Analyst" prompt="Text up to 60 characters." sqref="C7">
      <formula1>0</formula1>
      <formula2>60</formula2>
    </dataValidation>
    <dataValidation type="date" allowBlank="1" showInputMessage="1" showErrorMessage="1" errorTitle="Check this entry" error="Enter a date between 01 Jan 2000 and 31 Dec 2100." promptTitle="Study date" prompt="Enter a date between 01 Jan 2000 and 31 Dec 2100." sqref="C8">
      <formula1>36526</formula1>
      <formula2>73415</formula2>
    </dataValidation>
    <dataValidation type="decimal" allowBlank="1" showInputMessage="1" showErrorMessage="1" errorTitle="Check this entry" error="Enter a number from 1 to 1,440." promptTitle="Available time per shift" prompt="Shift length minus breaks and planned stops. Enter a number from 1 to 1,440." sqref="C12">
      <formula1>1</formula1>
      <formula2>1440</formula2>
    </dataValidation>
    <dataValidation type="decimal" allowBlank="1" showInputMessage="1" showErrorMessage="1" errorTitle="Check this entry" error="Enter a number from 1 to 10,000,000." promptTitle="Customer demand per shift" prompt="Units the customer needs per shift (daily demand / shifts per day). Enter a number from 1 to 10,000,000." sqref="C13">
      <formula1>1</formula1>
      <formula2>10000000.0</formula2>
    </dataValidation>
    <dataValidation type="decimal" allowBlank="1" showInputMessage="1" showErrorMessage="1" errorTitle="Check this entry" error="Enter a percentage from 0% to 100% (type 85% or 0.85)." promptTitle="PF&amp;D allowance" prompt="Personal, fatigue and delay allowance added to manual and walk elements. Your own value; work-study handbooks discuss how to set it. Enter a percentage from 0% to 100% (type 85% or 0.85)." sqref="C18">
      <formula1>0</formula1>
      <formula2>1</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Time Study and Standard Work&amp;R&amp;8&amp;A</oddHeader>
    <oddFooter>&amp;L&amp;8mfgcalcs.com - free manufacturing templates&amp;R&amp;8Page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Y15"/>
  <sheetViews>
    <sheetView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2.7109375" customWidth="1"/>
    <col min="2" max="2" width="5.7109375" customWidth="1"/>
    <col min="3" max="3" width="30.7109375" customWidth="1"/>
    <col min="4" max="4" width="9.7109375" customWidth="1"/>
    <col min="5" max="14" width="7.28515625" customWidth="1"/>
    <col min="15" max="15" width="8.7109375" customWidth="1"/>
    <col min="16" max="16" width="7.7109375" customWidth="1"/>
    <col min="17" max="17" width="8.7109375" customWidth="1"/>
    <col min="18" max="19" width="7.7109375" customWidth="1"/>
    <col min="20" max="20" width="9.28515625" customWidth="1"/>
    <col min="21" max="21" width="10.28515625" customWidth="1"/>
    <col min="22" max="22" width="9.7109375" customWidth="1"/>
    <col min="23" max="23" width="8.28515625" customWidth="1"/>
    <col min="24" max="24" width="8.7109375" customWidth="1"/>
    <col min="25" max="25" width="24.7109375" customWidth="1"/>
  </cols>
  <sheetData>
    <row r="1" spans="1:25" ht="30" customHeight="1" x14ac:dyDescent="0.25">
      <c r="A1" s="1" t="s">
        <v>0</v>
      </c>
      <c r="B1" s="1"/>
      <c r="C1" s="1"/>
      <c r="D1" s="1"/>
      <c r="E1" s="1"/>
      <c r="F1" s="1"/>
      <c r="G1" s="1"/>
      <c r="H1" s="1"/>
      <c r="I1" s="1"/>
      <c r="J1" s="1"/>
      <c r="K1" s="1"/>
      <c r="L1" s="1"/>
      <c r="M1" s="1"/>
      <c r="N1" s="1"/>
      <c r="O1" s="1"/>
      <c r="P1" s="1"/>
      <c r="Q1" s="1"/>
      <c r="R1" s="1"/>
      <c r="S1" s="1"/>
      <c r="T1" s="1"/>
      <c r="U1" s="1"/>
      <c r="V1" s="1"/>
      <c r="W1" s="1"/>
      <c r="X1" s="1"/>
      <c r="Y1" s="1"/>
    </row>
    <row r="2" spans="1:25" ht="21" customHeight="1" x14ac:dyDescent="0.25">
      <c r="B2" s="2" t="s">
        <v>22</v>
      </c>
      <c r="C2" s="2"/>
      <c r="D2" s="2"/>
      <c r="E2" s="2"/>
      <c r="F2" s="2"/>
      <c r="G2" s="2"/>
      <c r="H2" s="2"/>
      <c r="I2" s="2"/>
      <c r="J2" s="2"/>
      <c r="K2" s="2"/>
      <c r="L2" s="2"/>
      <c r="M2" s="2"/>
      <c r="N2" s="2"/>
      <c r="O2" s="2"/>
      <c r="P2" s="2"/>
      <c r="Q2" s="2"/>
      <c r="R2" s="2"/>
      <c r="S2" s="2"/>
      <c r="T2" s="2"/>
      <c r="U2" s="2"/>
      <c r="V2" s="2"/>
      <c r="W2" s="2"/>
      <c r="X2" s="2"/>
      <c r="Y2" s="3" t="s">
        <v>2</v>
      </c>
    </row>
    <row r="3" spans="1:25" ht="6" customHeight="1" x14ac:dyDescent="0.25"/>
    <row r="4" spans="1:25" ht="18" customHeight="1" x14ac:dyDescent="0.25">
      <c r="B4" s="33" t="s">
        <v>101</v>
      </c>
      <c r="C4" s="33"/>
      <c r="D4" s="33"/>
      <c r="E4" s="33"/>
      <c r="F4" s="33"/>
      <c r="G4" s="33"/>
      <c r="H4" s="33"/>
      <c r="I4" s="33"/>
      <c r="J4" s="33"/>
      <c r="K4" s="33"/>
      <c r="L4" s="33"/>
      <c r="M4" s="33"/>
      <c r="N4" s="33"/>
      <c r="O4" s="33"/>
      <c r="P4" s="33"/>
      <c r="Q4" s="33"/>
      <c r="R4" s="33"/>
      <c r="S4" s="33"/>
      <c r="T4" s="33"/>
      <c r="U4" s="33"/>
      <c r="V4" s="33"/>
      <c r="W4" s="33"/>
      <c r="X4" s="33"/>
      <c r="Y4" s="33"/>
    </row>
    <row r="5" spans="1:25" ht="32" customHeight="1" x14ac:dyDescent="0.25">
      <c r="B5" s="34" t="s">
        <v>77</v>
      </c>
      <c r="C5" s="34" t="s">
        <v>78</v>
      </c>
      <c r="D5" s="34" t="s">
        <v>79</v>
      </c>
      <c r="E5" s="34" t="s">
        <v>80</v>
      </c>
      <c r="F5" s="34" t="s">
        <v>81</v>
      </c>
      <c r="G5" s="34" t="s">
        <v>82</v>
      </c>
      <c r="H5" s="34" t="s">
        <v>83</v>
      </c>
      <c r="I5" s="34" t="s">
        <v>84</v>
      </c>
      <c r="J5" s="34" t="s">
        <v>85</v>
      </c>
      <c r="K5" s="34" t="s">
        <v>86</v>
      </c>
      <c r="L5" s="34" t="s">
        <v>87</v>
      </c>
      <c r="M5" s="34" t="s">
        <v>88</v>
      </c>
      <c r="N5" s="34" t="s">
        <v>89</v>
      </c>
      <c r="O5" s="34" t="s">
        <v>90</v>
      </c>
      <c r="P5" s="34" t="s">
        <v>91</v>
      </c>
      <c r="Q5" s="34" t="s">
        <v>92</v>
      </c>
      <c r="R5" s="34" t="s">
        <v>93</v>
      </c>
      <c r="S5" s="34" t="s">
        <v>94</v>
      </c>
      <c r="T5" s="34" t="s">
        <v>95</v>
      </c>
      <c r="U5" s="34" t="s">
        <v>96</v>
      </c>
      <c r="V5" s="34" t="s">
        <v>97</v>
      </c>
      <c r="W5" s="34" t="s">
        <v>98</v>
      </c>
      <c r="X5" s="34" t="s">
        <v>99</v>
      </c>
      <c r="Y5" s="34" t="s">
        <v>100</v>
      </c>
    </row>
    <row r="6" spans="1:25" x14ac:dyDescent="0.25">
      <c r="B6" s="30">
        <v>1</v>
      </c>
      <c r="C6" s="35" t="s">
        <v>102</v>
      </c>
      <c r="D6" s="28" t="s">
        <v>103</v>
      </c>
      <c r="E6" s="36">
        <v>3.2</v>
      </c>
      <c r="F6" s="36">
        <v>3.2</v>
      </c>
      <c r="G6" s="36">
        <v>3.2</v>
      </c>
      <c r="H6" s="36">
        <v>3.2</v>
      </c>
      <c r="I6" s="36">
        <v>3.2</v>
      </c>
      <c r="J6" s="36">
        <v>3</v>
      </c>
      <c r="K6" s="36">
        <v>3.3</v>
      </c>
      <c r="L6" s="36">
        <v>3.3</v>
      </c>
      <c r="M6" s="36">
        <v>3.5</v>
      </c>
      <c r="N6" s="36">
        <v>3.3</v>
      </c>
      <c r="O6" s="32">
        <v>1</v>
      </c>
      <c r="P6" s="37">
        <f>IF(tblElements[[#This Row],[No.]]="","",COUNT(tblElements[[#This Row],[Obs 1 (s)]],tblElements[[#This Row],[Obs 2 (s)]],tblElements[[#This Row],[Obs 3 (s)]],tblElements[[#This Row],[Obs 4 (s)]],tblElements[[#This Row],[Obs 5 (s)]],tblElements[[#This Row],[Obs 6 (s)]],tblElements[[#This Row],[Obs 7 (s)]],tblElements[[#This Row],[Obs 8 (s)]],tblElements[[#This Row],[Obs 9 (s)]],tblElements[[#This Row],[Obs 10 (s)]]))</f>
        <v>10</v>
      </c>
      <c r="Q6" s="38">
        <f>IF(tblElements[[#This Row],[No.]]="","",IF(tblElements[[#This Row],[Cycles]]=0,"",AVERAGE(tblElements[[#This Row],[Obs 1 (s)]],tblElements[[#This Row],[Obs 2 (s)]],tblElements[[#This Row],[Obs 3 (s)]],tblElements[[#This Row],[Obs 4 (s)]],tblElements[[#This Row],[Obs 5 (s)]],tblElements[[#This Row],[Obs 6 (s)]],tblElements[[#This Row],[Obs 7 (s)]],tblElements[[#This Row],[Obs 8 (s)]],tblElements[[#This Row],[Obs 9 (s)]],tblElements[[#This Row],[Obs 10 (s)]])))</f>
        <v>3.24</v>
      </c>
      <c r="R6" s="39">
        <f>IF(tblElements[[#This Row],[No.]]="","",IF(tblElements[[#This Row],[Cycles]]=0,"",MIN(tblElements[[#This Row],[Obs 1 (s)]],tblElements[[#This Row],[Obs 2 (s)]],tblElements[[#This Row],[Obs 3 (s)]],tblElements[[#This Row],[Obs 4 (s)]],tblElements[[#This Row],[Obs 5 (s)]],tblElements[[#This Row],[Obs 6 (s)]],tblElements[[#This Row],[Obs 7 (s)]],tblElements[[#This Row],[Obs 8 (s)]],tblElements[[#This Row],[Obs 9 (s)]],tblElements[[#This Row],[Obs 10 (s)]])))</f>
        <v>3</v>
      </c>
      <c r="S6" s="39">
        <f>IF(tblElements[[#This Row],[No.]]="","",IF(tblElements[[#This Row],[Cycles]]=0,"",MAX(tblElements[[#This Row],[Obs 1 (s)]],tblElements[[#This Row],[Obs 2 (s)]],tblElements[[#This Row],[Obs 3 (s)]],tblElements[[#This Row],[Obs 4 (s)]],tblElements[[#This Row],[Obs 5 (s)]],tblElements[[#This Row],[Obs 6 (s)]],tblElements[[#This Row],[Obs 7 (s)]],tblElements[[#This Row],[Obs 8 (s)]],tblElements[[#This Row],[Obs 9 (s)]],tblElements[[#This Row],[Obs 10 (s)]])))</f>
        <v>3.5</v>
      </c>
      <c r="T6" s="38">
        <f>IF(tblElements[[#This Row],[No.]]="","",IF(tblElements[[#This Row],[Cycles]]=0,"",tblElements[[#This Row],[Mean (s)]]*IF(tblElements[[#This Row],[Type]]="Machine",1,tblElements[[#This Row],[Rating (%)]])))</f>
        <v>3.24</v>
      </c>
      <c r="U6" s="40">
        <f>IF(tblElements[[#This Row],[No.]]="","",IF(tblElements[[#This Row],[Type]]="Machine",0,Allowance))</f>
        <v>0.12</v>
      </c>
      <c r="V6" s="38">
        <f>IF(tblElements[[#This Row],[No.]]="","",IF(tblElements[[#This Row],[Cycles]]=0,"",tblElements[[#This Row],[Normal (s)]]*(1+tblElements[[#This Row],[Allowance (%)]])))</f>
        <v>3.6288</v>
      </c>
      <c r="W6" s="39">
        <f>IF(tblElements[[#This Row],[No.]]="","",SUMIFS(tblElements[Standard (s)],tblElements[No.],"&lt;"&amp;tblElements[[#This Row],[No.]]))</f>
        <v>0</v>
      </c>
      <c r="X6" s="37">
        <f>IF(tblElements[[#This Row],[No.]]="","",IF(tblElements[[#This Row],[Cycles]]&lt;2,"",ROUNDUP((40*SQRT(MAX(0,tblElements[[#This Row],[Cycles]]*SUMSQ(tblElements[[#This Row],[Obs 1 (s)]],tblElements[[#This Row],[Obs 2 (s)]],tblElements[[#This Row],[Obs 3 (s)]],tblElements[[#This Row],[Obs 4 (s)]],tblElements[[#This Row],[Obs 5 (s)]],tblElements[[#This Row],[Obs 6 (s)]],tblElements[[#This Row],[Obs 7 (s)]],tblElements[[#This Row],[Obs 8 (s)]],tblElements[[#This Row],[Obs 9 (s)]],tblElements[[#This Row],[Obs 10 (s)]])-SUM(tblElements[[#This Row],[Obs 1 (s)]],tblElements[[#This Row],[Obs 2 (s)]],tblElements[[#This Row],[Obs 3 (s)]],tblElements[[#This Row],[Obs 4 (s)]],tblElements[[#This Row],[Obs 5 (s)]],tblElements[[#This Row],[Obs 6 (s)]],tblElements[[#This Row],[Obs 7 (s)]],tblElements[[#This Row],[Obs 8 (s)]],tblElements[[#This Row],[Obs 9 (s)]],tblElements[[#This Row],[Obs 10 (s)]])^2))/SUM(tblElements[[#This Row],[Obs 1 (s)]],tblElements[[#This Row],[Obs 2 (s)]],tblElements[[#This Row],[Obs 3 (s)]],tblElements[[#This Row],[Obs 4 (s)]],tblElements[[#This Row],[Obs 5 (s)]],tblElements[[#This Row],[Obs 6 (s)]],tblElements[[#This Row],[Obs 7 (s)]],tblElements[[#This Row],[Obs 8 (s)]],tblElements[[#This Row],[Obs 9 (s)]],tblElements[[#This Row],[Obs 10 (s)]]))^2,0)))</f>
        <v>3</v>
      </c>
      <c r="Y6" s="41" t="str">
        <f>IF(tblElements[[#This Row],[No.]]="","",IF(tblElements[[#This Row],[Element]]="","Missing element",IF(tblElements[[#This Row],[Type]]="","Missing type",IF(tblElements[[#This Row],[Rating (%)]]="","Missing rating",IF(COUNTIF(tblElements[No.],tblElements[[#This Row],[No.]])&gt;1,"Duplicate element number",IF(tblElements[[#This Row],[Cycles]]&lt;3,"Fewer than 3 readings",IF(AND(tblElements[[#This Row],[Type]]="Machine",tblElements[[#This Row],[Rating (%)]]&lt;&gt;1),"Machine element: rating not used",IF(OR(tblElements[[#This Row],[Max (s)]]&gt;1.5*tblElements[[#This Row],[Mean (s)]],tblElements[[#This Row],[Min (s)]]&lt;0.5*tblElements[[#This Row],[Mean (s)]]),"Check outlier reading",IF(tblElements[[#This Row],[Cycles]]&lt;tblElements[[#This Row],[Cycles needed]],"Study more cycles","OK")))))))))</f>
        <v>OK</v>
      </c>
    </row>
    <row r="7" spans="1:25" x14ac:dyDescent="0.25">
      <c r="B7" s="30">
        <v>2</v>
      </c>
      <c r="C7" s="35" t="s">
        <v>104</v>
      </c>
      <c r="D7" s="28" t="s">
        <v>103</v>
      </c>
      <c r="E7" s="36">
        <v>4.7</v>
      </c>
      <c r="F7" s="36">
        <v>4.6</v>
      </c>
      <c r="G7" s="36">
        <v>4.4</v>
      </c>
      <c r="H7" s="36">
        <v>4.6</v>
      </c>
      <c r="I7" s="36">
        <v>5.2</v>
      </c>
      <c r="J7" s="36">
        <v>4.9</v>
      </c>
      <c r="K7" s="36">
        <v>4.5</v>
      </c>
      <c r="L7" s="36">
        <v>4.8</v>
      </c>
      <c r="M7" s="36">
        <v>4.7</v>
      </c>
      <c r="N7" s="36">
        <v>4.9</v>
      </c>
      <c r="O7" s="32">
        <v>0.95</v>
      </c>
      <c r="P7" s="37">
        <f>IF(tblElements[[#This Row],[No.]]="","",COUNT(tblElements[[#This Row],[Obs 1 (s)]],tblElements[[#This Row],[Obs 2 (s)]],tblElements[[#This Row],[Obs 3 (s)]],tblElements[[#This Row],[Obs 4 (s)]],tblElements[[#This Row],[Obs 5 (s)]],tblElements[[#This Row],[Obs 6 (s)]],tblElements[[#This Row],[Obs 7 (s)]],tblElements[[#This Row],[Obs 8 (s)]],tblElements[[#This Row],[Obs 9 (s)]],tblElements[[#This Row],[Obs 10 (s)]]))</f>
        <v>10</v>
      </c>
      <c r="Q7" s="38">
        <f>IF(tblElements[[#This Row],[No.]]="","",IF(tblElements[[#This Row],[Cycles]]=0,"",AVERAGE(tblElements[[#This Row],[Obs 1 (s)]],tblElements[[#This Row],[Obs 2 (s)]],tblElements[[#This Row],[Obs 3 (s)]],tblElements[[#This Row],[Obs 4 (s)]],tblElements[[#This Row],[Obs 5 (s)]],tblElements[[#This Row],[Obs 6 (s)]],tblElements[[#This Row],[Obs 7 (s)]],tblElements[[#This Row],[Obs 8 (s)]],tblElements[[#This Row],[Obs 9 (s)]],tblElements[[#This Row],[Obs 10 (s)]])))</f>
        <v>4.73</v>
      </c>
      <c r="R7" s="39">
        <f>IF(tblElements[[#This Row],[No.]]="","",IF(tblElements[[#This Row],[Cycles]]=0,"",MIN(tblElements[[#This Row],[Obs 1 (s)]],tblElements[[#This Row],[Obs 2 (s)]],tblElements[[#This Row],[Obs 3 (s)]],tblElements[[#This Row],[Obs 4 (s)]],tblElements[[#This Row],[Obs 5 (s)]],tblElements[[#This Row],[Obs 6 (s)]],tblElements[[#This Row],[Obs 7 (s)]],tblElements[[#This Row],[Obs 8 (s)]],tblElements[[#This Row],[Obs 9 (s)]],tblElements[[#This Row],[Obs 10 (s)]])))</f>
        <v>4.4</v>
      </c>
      <c r="S7" s="39">
        <f>IF(tblElements[[#This Row],[No.]]="","",IF(tblElements[[#This Row],[Cycles]]=0,"",MAX(tblElements[[#This Row],[Obs 1 (s)]],tblElements[[#This Row],[Obs 2 (s)]],tblElements[[#This Row],[Obs 3 (s)]],tblElements[[#This Row],[Obs 4 (s)]],tblElements[[#This Row],[Obs 5 (s)]],tblElements[[#This Row],[Obs 6 (s)]],tblElements[[#This Row],[Obs 7 (s)]],tblElements[[#This Row],[Obs 8 (s)]],tblElements[[#This Row],[Obs 9 (s)]],tblElements[[#This Row],[Obs 10 (s)]])))</f>
        <v>5.2</v>
      </c>
      <c r="T7" s="38">
        <f>IF(tblElements[[#This Row],[No.]]="","",IF(tblElements[[#This Row],[Cycles]]=0,"",tblElements[[#This Row],[Mean (s)]]*IF(tblElements[[#This Row],[Type]]="Machine",1,tblElements[[#This Row],[Rating (%)]])))</f>
        <v>4.4935</v>
      </c>
      <c r="U7" s="40">
        <f>IF(tblElements[[#This Row],[No.]]="","",IF(tblElements[[#This Row],[Type]]="Machine",0,Allowance))</f>
        <v>0.12</v>
      </c>
      <c r="V7" s="38">
        <f>IF(tblElements[[#This Row],[No.]]="","",IF(tblElements[[#This Row],[Cycles]]=0,"",tblElements[[#This Row],[Normal (s)]]*(1+tblElements[[#This Row],[Allowance (%)]])))</f>
        <v>5.03272</v>
      </c>
      <c r="W7" s="39">
        <f>IF(tblElements[[#This Row],[No.]]="","",SUMIFS(tblElements[Standard (s)],tblElements[No.],"&lt;"&amp;tblElements[[#This Row],[No.]]))</f>
        <v>3.6288</v>
      </c>
      <c r="X7" s="37">
        <f>IF(tblElements[[#This Row],[No.]]="","",IF(tblElements[[#This Row],[Cycles]]&lt;2,"",ROUNDUP((40*SQRT(MAX(0,tblElements[[#This Row],[Cycles]]*SUMSQ(tblElements[[#This Row],[Obs 1 (s)]],tblElements[[#This Row],[Obs 2 (s)]],tblElements[[#This Row],[Obs 3 (s)]],tblElements[[#This Row],[Obs 4 (s)]],tblElements[[#This Row],[Obs 5 (s)]],tblElements[[#This Row],[Obs 6 (s)]],tblElements[[#This Row],[Obs 7 (s)]],tblElements[[#This Row],[Obs 8 (s)]],tblElements[[#This Row],[Obs 9 (s)]],tblElements[[#This Row],[Obs 10 (s)]])-SUM(tblElements[[#This Row],[Obs 1 (s)]],tblElements[[#This Row],[Obs 2 (s)]],tblElements[[#This Row],[Obs 3 (s)]],tblElements[[#This Row],[Obs 4 (s)]],tblElements[[#This Row],[Obs 5 (s)]],tblElements[[#This Row],[Obs 6 (s)]],tblElements[[#This Row],[Obs 7 (s)]],tblElements[[#This Row],[Obs 8 (s)]],tblElements[[#This Row],[Obs 9 (s)]],tblElements[[#This Row],[Obs 10 (s)]])^2))/SUM(tblElements[[#This Row],[Obs 1 (s)]],tblElements[[#This Row],[Obs 2 (s)]],tblElements[[#This Row],[Obs 3 (s)]],tblElements[[#This Row],[Obs 4 (s)]],tblElements[[#This Row],[Obs 5 (s)]],tblElements[[#This Row],[Obs 6 (s)]],tblElements[[#This Row],[Obs 7 (s)]],tblElements[[#This Row],[Obs 8 (s)]],tblElements[[#This Row],[Obs 9 (s)]],tblElements[[#This Row],[Obs 10 (s)]]))^2,0)))</f>
        <v>4</v>
      </c>
      <c r="Y7" s="41" t="str">
        <f>IF(tblElements[[#This Row],[No.]]="","",IF(tblElements[[#This Row],[Element]]="","Missing element",IF(tblElements[[#This Row],[Type]]="","Missing type",IF(tblElements[[#This Row],[Rating (%)]]="","Missing rating",IF(COUNTIF(tblElements[No.],tblElements[[#This Row],[No.]])&gt;1,"Duplicate element number",IF(tblElements[[#This Row],[Cycles]]&lt;3,"Fewer than 3 readings",IF(AND(tblElements[[#This Row],[Type]]="Machine",tblElements[[#This Row],[Rating (%)]]&lt;&gt;1),"Machine element: rating not used",IF(OR(tblElements[[#This Row],[Max (s)]]&gt;1.5*tblElements[[#This Row],[Mean (s)]],tblElements[[#This Row],[Min (s)]]&lt;0.5*tblElements[[#This Row],[Mean (s)]]),"Check outlier reading",IF(tblElements[[#This Row],[Cycles]]&lt;tblElements[[#This Row],[Cycles needed]],"Study more cycles","OK")))))))))</f>
        <v>OK</v>
      </c>
    </row>
    <row r="8" spans="1:25" x14ac:dyDescent="0.25">
      <c r="B8" s="30">
        <v>3</v>
      </c>
      <c r="C8" s="35" t="s">
        <v>105</v>
      </c>
      <c r="D8" s="28" t="s">
        <v>103</v>
      </c>
      <c r="E8" s="36">
        <v>5.8</v>
      </c>
      <c r="F8" s="36">
        <v>5.5</v>
      </c>
      <c r="G8" s="36">
        <v>5.3</v>
      </c>
      <c r="H8" s="36">
        <v>5.4</v>
      </c>
      <c r="I8" s="36">
        <v>5.8</v>
      </c>
      <c r="J8" s="36">
        <v>5.8</v>
      </c>
      <c r="K8" s="36">
        <v>5.4</v>
      </c>
      <c r="L8" s="36">
        <v>5.5</v>
      </c>
      <c r="M8" s="36">
        <v>5.6</v>
      </c>
      <c r="N8" s="36">
        <v>5.8</v>
      </c>
      <c r="O8" s="32">
        <v>1.05</v>
      </c>
      <c r="P8" s="37">
        <f>IF(tblElements[[#This Row],[No.]]="","",COUNT(tblElements[[#This Row],[Obs 1 (s)]],tblElements[[#This Row],[Obs 2 (s)]],tblElements[[#This Row],[Obs 3 (s)]],tblElements[[#This Row],[Obs 4 (s)]],tblElements[[#This Row],[Obs 5 (s)]],tblElements[[#This Row],[Obs 6 (s)]],tblElements[[#This Row],[Obs 7 (s)]],tblElements[[#This Row],[Obs 8 (s)]],tblElements[[#This Row],[Obs 9 (s)]],tblElements[[#This Row],[Obs 10 (s)]]))</f>
        <v>10</v>
      </c>
      <c r="Q8" s="38">
        <f>IF(tblElements[[#This Row],[No.]]="","",IF(tblElements[[#This Row],[Cycles]]=0,"",AVERAGE(tblElements[[#This Row],[Obs 1 (s)]],tblElements[[#This Row],[Obs 2 (s)]],tblElements[[#This Row],[Obs 3 (s)]],tblElements[[#This Row],[Obs 4 (s)]],tblElements[[#This Row],[Obs 5 (s)]],tblElements[[#This Row],[Obs 6 (s)]],tblElements[[#This Row],[Obs 7 (s)]],tblElements[[#This Row],[Obs 8 (s)]],tblElements[[#This Row],[Obs 9 (s)]],tblElements[[#This Row],[Obs 10 (s)]])))</f>
        <v>5.59</v>
      </c>
      <c r="R8" s="39">
        <f>IF(tblElements[[#This Row],[No.]]="","",IF(tblElements[[#This Row],[Cycles]]=0,"",MIN(tblElements[[#This Row],[Obs 1 (s)]],tblElements[[#This Row],[Obs 2 (s)]],tblElements[[#This Row],[Obs 3 (s)]],tblElements[[#This Row],[Obs 4 (s)]],tblElements[[#This Row],[Obs 5 (s)]],tblElements[[#This Row],[Obs 6 (s)]],tblElements[[#This Row],[Obs 7 (s)]],tblElements[[#This Row],[Obs 8 (s)]],tblElements[[#This Row],[Obs 9 (s)]],tblElements[[#This Row],[Obs 10 (s)]])))</f>
        <v>5.3</v>
      </c>
      <c r="S8" s="39">
        <f>IF(tblElements[[#This Row],[No.]]="","",IF(tblElements[[#This Row],[Cycles]]=0,"",MAX(tblElements[[#This Row],[Obs 1 (s)]],tblElements[[#This Row],[Obs 2 (s)]],tblElements[[#This Row],[Obs 3 (s)]],tblElements[[#This Row],[Obs 4 (s)]],tblElements[[#This Row],[Obs 5 (s)]],tblElements[[#This Row],[Obs 6 (s)]],tblElements[[#This Row],[Obs 7 (s)]],tblElements[[#This Row],[Obs 8 (s)]],tblElements[[#This Row],[Obs 9 (s)]],tblElements[[#This Row],[Obs 10 (s)]])))</f>
        <v>5.8</v>
      </c>
      <c r="T8" s="38">
        <f>IF(tblElements[[#This Row],[No.]]="","",IF(tblElements[[#This Row],[Cycles]]=0,"",tblElements[[#This Row],[Mean (s)]]*IF(tblElements[[#This Row],[Type]]="Machine",1,tblElements[[#This Row],[Rating (%)]])))</f>
        <v>5.8695</v>
      </c>
      <c r="U8" s="40">
        <f>IF(tblElements[[#This Row],[No.]]="","",IF(tblElements[[#This Row],[Type]]="Machine",0,Allowance))</f>
        <v>0.12</v>
      </c>
      <c r="V8" s="38">
        <f>IF(tblElements[[#This Row],[No.]]="","",IF(tblElements[[#This Row],[Cycles]]=0,"",tblElements[[#This Row],[Normal (s)]]*(1+tblElements[[#This Row],[Allowance (%)]])))</f>
        <v>6.57384</v>
      </c>
      <c r="W8" s="39">
        <f>IF(tblElements[[#This Row],[No.]]="","",SUMIFS(tblElements[Standard (s)],tblElements[No.],"&lt;"&amp;tblElements[[#This Row],[No.]]))</f>
        <v>8.66152</v>
      </c>
      <c r="X8" s="37">
        <f>IF(tblElements[[#This Row],[No.]]="","",IF(tblElements[[#This Row],[Cycles]]&lt;2,"",ROUNDUP((40*SQRT(MAX(0,tblElements[[#This Row],[Cycles]]*SUMSQ(tblElements[[#This Row],[Obs 1 (s)]],tblElements[[#This Row],[Obs 2 (s)]],tblElements[[#This Row],[Obs 3 (s)]],tblElements[[#This Row],[Obs 4 (s)]],tblElements[[#This Row],[Obs 5 (s)]],tblElements[[#This Row],[Obs 6 (s)]],tblElements[[#This Row],[Obs 7 (s)]],tblElements[[#This Row],[Obs 8 (s)]],tblElements[[#This Row],[Obs 9 (s)]],tblElements[[#This Row],[Obs 10 (s)]])-SUM(tblElements[[#This Row],[Obs 1 (s)]],tblElements[[#This Row],[Obs 2 (s)]],tblElements[[#This Row],[Obs 3 (s)]],tblElements[[#This Row],[Obs 4 (s)]],tblElements[[#This Row],[Obs 5 (s)]],tblElements[[#This Row],[Obs 6 (s)]],tblElements[[#This Row],[Obs 7 (s)]],tblElements[[#This Row],[Obs 8 (s)]],tblElements[[#This Row],[Obs 9 (s)]],tblElements[[#This Row],[Obs 10 (s)]])^2))/SUM(tblElements[[#This Row],[Obs 1 (s)]],tblElements[[#This Row],[Obs 2 (s)]],tblElements[[#This Row],[Obs 3 (s)]],tblElements[[#This Row],[Obs 4 (s)]],tblElements[[#This Row],[Obs 5 (s)]],tblElements[[#This Row],[Obs 6 (s)]],tblElements[[#This Row],[Obs 7 (s)]],tblElements[[#This Row],[Obs 8 (s)]],tblElements[[#This Row],[Obs 9 (s)]],tblElements[[#This Row],[Obs 10 (s)]]))^2,0)))</f>
        <v>2</v>
      </c>
      <c r="Y8" s="41" t="str">
        <f>IF(tblElements[[#This Row],[No.]]="","",IF(tblElements[[#This Row],[Element]]="","Missing element",IF(tblElements[[#This Row],[Type]]="","Missing type",IF(tblElements[[#This Row],[Rating (%)]]="","Missing rating",IF(COUNTIF(tblElements[No.],tblElements[[#This Row],[No.]])&gt;1,"Duplicate element number",IF(tblElements[[#This Row],[Cycles]]&lt;3,"Fewer than 3 readings",IF(AND(tblElements[[#This Row],[Type]]="Machine",tblElements[[#This Row],[Rating (%)]]&lt;&gt;1),"Machine element: rating not used",IF(OR(tblElements[[#This Row],[Max (s)]]&gt;1.5*tblElements[[#This Row],[Mean (s)]],tblElements[[#This Row],[Min (s)]]&lt;0.5*tblElements[[#This Row],[Mean (s)]]),"Check outlier reading",IF(tblElements[[#This Row],[Cycles]]&lt;tblElements[[#This Row],[Cycles needed]],"Study more cycles","OK")))))))))</f>
        <v>OK</v>
      </c>
    </row>
    <row r="9" spans="1:25" x14ac:dyDescent="0.25">
      <c r="B9" s="30">
        <v>4</v>
      </c>
      <c r="C9" s="35" t="s">
        <v>106</v>
      </c>
      <c r="D9" s="28" t="s">
        <v>107</v>
      </c>
      <c r="E9" s="36">
        <v>2.4</v>
      </c>
      <c r="F9" s="36">
        <v>2.3</v>
      </c>
      <c r="G9" s="36">
        <v>2.3</v>
      </c>
      <c r="H9" s="36">
        <v>2.4</v>
      </c>
      <c r="I9" s="36">
        <v>2.4</v>
      </c>
      <c r="J9" s="36">
        <v>2.2</v>
      </c>
      <c r="K9" s="36">
        <v>2.3</v>
      </c>
      <c r="L9" s="36">
        <v>2.3</v>
      </c>
      <c r="M9" s="36">
        <v>2.3</v>
      </c>
      <c r="N9" s="36">
        <v>2.5</v>
      </c>
      <c r="O9" s="32">
        <v>1</v>
      </c>
      <c r="P9" s="37">
        <f>IF(tblElements[[#This Row],[No.]]="","",COUNT(tblElements[[#This Row],[Obs 1 (s)]],tblElements[[#This Row],[Obs 2 (s)]],tblElements[[#This Row],[Obs 3 (s)]],tblElements[[#This Row],[Obs 4 (s)]],tblElements[[#This Row],[Obs 5 (s)]],tblElements[[#This Row],[Obs 6 (s)]],tblElements[[#This Row],[Obs 7 (s)]],tblElements[[#This Row],[Obs 8 (s)]],tblElements[[#This Row],[Obs 9 (s)]],tblElements[[#This Row],[Obs 10 (s)]]))</f>
        <v>10</v>
      </c>
      <c r="Q9" s="38">
        <f>IF(tblElements[[#This Row],[No.]]="","",IF(tblElements[[#This Row],[Cycles]]=0,"",AVERAGE(tblElements[[#This Row],[Obs 1 (s)]],tblElements[[#This Row],[Obs 2 (s)]],tblElements[[#This Row],[Obs 3 (s)]],tblElements[[#This Row],[Obs 4 (s)]],tblElements[[#This Row],[Obs 5 (s)]],tblElements[[#This Row],[Obs 6 (s)]],tblElements[[#This Row],[Obs 7 (s)]],tblElements[[#This Row],[Obs 8 (s)]],tblElements[[#This Row],[Obs 9 (s)]],tblElements[[#This Row],[Obs 10 (s)]])))</f>
        <v>2.34</v>
      </c>
      <c r="R9" s="39">
        <f>IF(tblElements[[#This Row],[No.]]="","",IF(tblElements[[#This Row],[Cycles]]=0,"",MIN(tblElements[[#This Row],[Obs 1 (s)]],tblElements[[#This Row],[Obs 2 (s)]],tblElements[[#This Row],[Obs 3 (s)]],tblElements[[#This Row],[Obs 4 (s)]],tblElements[[#This Row],[Obs 5 (s)]],tblElements[[#This Row],[Obs 6 (s)]],tblElements[[#This Row],[Obs 7 (s)]],tblElements[[#This Row],[Obs 8 (s)]],tblElements[[#This Row],[Obs 9 (s)]],tblElements[[#This Row],[Obs 10 (s)]])))</f>
        <v>2.2</v>
      </c>
      <c r="S9" s="39">
        <f>IF(tblElements[[#This Row],[No.]]="","",IF(tblElements[[#This Row],[Cycles]]=0,"",MAX(tblElements[[#This Row],[Obs 1 (s)]],tblElements[[#This Row],[Obs 2 (s)]],tblElements[[#This Row],[Obs 3 (s)]],tblElements[[#This Row],[Obs 4 (s)]],tblElements[[#This Row],[Obs 5 (s)]],tblElements[[#This Row],[Obs 6 (s)]],tblElements[[#This Row],[Obs 7 (s)]],tblElements[[#This Row],[Obs 8 (s)]],tblElements[[#This Row],[Obs 9 (s)]],tblElements[[#This Row],[Obs 10 (s)]])))</f>
        <v>2.5</v>
      </c>
      <c r="T9" s="38">
        <f>IF(tblElements[[#This Row],[No.]]="","",IF(tblElements[[#This Row],[Cycles]]=0,"",tblElements[[#This Row],[Mean (s)]]*IF(tblElements[[#This Row],[Type]]="Machine",1,tblElements[[#This Row],[Rating (%)]])))</f>
        <v>2.34</v>
      </c>
      <c r="U9" s="40">
        <f>IF(tblElements[[#This Row],[No.]]="","",IF(tblElements[[#This Row],[Type]]="Machine",0,Allowance))</f>
        <v>0.12</v>
      </c>
      <c r="V9" s="38">
        <f>IF(tblElements[[#This Row],[No.]]="","",IF(tblElements[[#This Row],[Cycles]]=0,"",tblElements[[#This Row],[Normal (s)]]*(1+tblElements[[#This Row],[Allowance (%)]])))</f>
        <v>2.6208</v>
      </c>
      <c r="W9" s="39">
        <f>IF(tblElements[[#This Row],[No.]]="","",SUMIFS(tblElements[Standard (s)],tblElements[No.],"&lt;"&amp;tblElements[[#This Row],[No.]]))</f>
        <v>15.23536</v>
      </c>
      <c r="X9" s="37">
        <f>IF(tblElements[[#This Row],[No.]]="","",IF(tblElements[[#This Row],[Cycles]]&lt;2,"",ROUNDUP((40*SQRT(MAX(0,tblElements[[#This Row],[Cycles]]*SUMSQ(tblElements[[#This Row],[Obs 1 (s)]],tblElements[[#This Row],[Obs 2 (s)]],tblElements[[#This Row],[Obs 3 (s)]],tblElements[[#This Row],[Obs 4 (s)]],tblElements[[#This Row],[Obs 5 (s)]],tblElements[[#This Row],[Obs 6 (s)]],tblElements[[#This Row],[Obs 7 (s)]],tblElements[[#This Row],[Obs 8 (s)]],tblElements[[#This Row],[Obs 9 (s)]],tblElements[[#This Row],[Obs 10 (s)]])-SUM(tblElements[[#This Row],[Obs 1 (s)]],tblElements[[#This Row],[Obs 2 (s)]],tblElements[[#This Row],[Obs 3 (s)]],tblElements[[#This Row],[Obs 4 (s)]],tblElements[[#This Row],[Obs 5 (s)]],tblElements[[#This Row],[Obs 6 (s)]],tblElements[[#This Row],[Obs 7 (s)]],tblElements[[#This Row],[Obs 8 (s)]],tblElements[[#This Row],[Obs 9 (s)]],tblElements[[#This Row],[Obs 10 (s)]])^2))/SUM(tblElements[[#This Row],[Obs 1 (s)]],tblElements[[#This Row],[Obs 2 (s)]],tblElements[[#This Row],[Obs 3 (s)]],tblElements[[#This Row],[Obs 4 (s)]],tblElements[[#This Row],[Obs 5 (s)]],tblElements[[#This Row],[Obs 6 (s)]],tblElements[[#This Row],[Obs 7 (s)]],tblElements[[#This Row],[Obs 8 (s)]],tblElements[[#This Row],[Obs 9 (s)]],tblElements[[#This Row],[Obs 10 (s)]]))^2,0)))</f>
        <v>2</v>
      </c>
      <c r="Y9" s="41" t="str">
        <f>IF(tblElements[[#This Row],[No.]]="","",IF(tblElements[[#This Row],[Element]]="","Missing element",IF(tblElements[[#This Row],[Type]]="","Missing type",IF(tblElements[[#This Row],[Rating (%)]]="","Missing rating",IF(COUNTIF(tblElements[No.],tblElements[[#This Row],[No.]])&gt;1,"Duplicate element number",IF(tblElements[[#This Row],[Cycles]]&lt;3,"Fewer than 3 readings",IF(AND(tblElements[[#This Row],[Type]]="Machine",tblElements[[#This Row],[Rating (%)]]&lt;&gt;1),"Machine element: rating not used",IF(OR(tblElements[[#This Row],[Max (s)]]&gt;1.5*tblElements[[#This Row],[Mean (s)]],tblElements[[#This Row],[Min (s)]]&lt;0.5*tblElements[[#This Row],[Mean (s)]]),"Check outlier reading",IF(tblElements[[#This Row],[Cycles]]&lt;tblElements[[#This Row],[Cycles needed]],"Study more cycles","OK")))))))))</f>
        <v>OK</v>
      </c>
    </row>
    <row r="10" spans="1:25" x14ac:dyDescent="0.25">
      <c r="B10" s="30">
        <v>5</v>
      </c>
      <c r="C10" s="35" t="s">
        <v>108</v>
      </c>
      <c r="D10" s="28" t="s">
        <v>103</v>
      </c>
      <c r="E10" s="36">
        <v>3.1</v>
      </c>
      <c r="F10" s="36">
        <v>3.3</v>
      </c>
      <c r="G10" s="36">
        <v>3</v>
      </c>
      <c r="H10" s="36">
        <v>2.8</v>
      </c>
      <c r="I10" s="36">
        <v>3</v>
      </c>
      <c r="J10" s="36">
        <v>2.7</v>
      </c>
      <c r="K10" s="36">
        <v>2.9</v>
      </c>
      <c r="L10" s="36">
        <v>2.8</v>
      </c>
      <c r="M10" s="36">
        <v>3</v>
      </c>
      <c r="N10" s="36">
        <v>3.1</v>
      </c>
      <c r="O10" s="32">
        <v>1</v>
      </c>
      <c r="P10" s="37">
        <f>IF(tblElements[[#This Row],[No.]]="","",COUNT(tblElements[[#This Row],[Obs 1 (s)]],tblElements[[#This Row],[Obs 2 (s)]],tblElements[[#This Row],[Obs 3 (s)]],tblElements[[#This Row],[Obs 4 (s)]],tblElements[[#This Row],[Obs 5 (s)]],tblElements[[#This Row],[Obs 6 (s)]],tblElements[[#This Row],[Obs 7 (s)]],tblElements[[#This Row],[Obs 8 (s)]],tblElements[[#This Row],[Obs 9 (s)]],tblElements[[#This Row],[Obs 10 (s)]]))</f>
        <v>10</v>
      </c>
      <c r="Q10" s="38">
        <f>IF(tblElements[[#This Row],[No.]]="","",IF(tblElements[[#This Row],[Cycles]]=0,"",AVERAGE(tblElements[[#This Row],[Obs 1 (s)]],tblElements[[#This Row],[Obs 2 (s)]],tblElements[[#This Row],[Obs 3 (s)]],tblElements[[#This Row],[Obs 4 (s)]],tblElements[[#This Row],[Obs 5 (s)]],tblElements[[#This Row],[Obs 6 (s)]],tblElements[[#This Row],[Obs 7 (s)]],tblElements[[#This Row],[Obs 8 (s)]],tblElements[[#This Row],[Obs 9 (s)]],tblElements[[#This Row],[Obs 10 (s)]])))</f>
        <v>2.97</v>
      </c>
      <c r="R10" s="39">
        <f>IF(tblElements[[#This Row],[No.]]="","",IF(tblElements[[#This Row],[Cycles]]=0,"",MIN(tblElements[[#This Row],[Obs 1 (s)]],tblElements[[#This Row],[Obs 2 (s)]],tblElements[[#This Row],[Obs 3 (s)]],tblElements[[#This Row],[Obs 4 (s)]],tblElements[[#This Row],[Obs 5 (s)]],tblElements[[#This Row],[Obs 6 (s)]],tblElements[[#This Row],[Obs 7 (s)]],tblElements[[#This Row],[Obs 8 (s)]],tblElements[[#This Row],[Obs 9 (s)]],tblElements[[#This Row],[Obs 10 (s)]])))</f>
        <v>2.7</v>
      </c>
      <c r="S10" s="39">
        <f>IF(tblElements[[#This Row],[No.]]="","",IF(tblElements[[#This Row],[Cycles]]=0,"",MAX(tblElements[[#This Row],[Obs 1 (s)]],tblElements[[#This Row],[Obs 2 (s)]],tblElements[[#This Row],[Obs 3 (s)]],tblElements[[#This Row],[Obs 4 (s)]],tblElements[[#This Row],[Obs 5 (s)]],tblElements[[#This Row],[Obs 6 (s)]],tblElements[[#This Row],[Obs 7 (s)]],tblElements[[#This Row],[Obs 8 (s)]],tblElements[[#This Row],[Obs 9 (s)]],tblElements[[#This Row],[Obs 10 (s)]])))</f>
        <v>3.3</v>
      </c>
      <c r="T10" s="38">
        <f>IF(tblElements[[#This Row],[No.]]="","",IF(tblElements[[#This Row],[Cycles]]=0,"",tblElements[[#This Row],[Mean (s)]]*IF(tblElements[[#This Row],[Type]]="Machine",1,tblElements[[#This Row],[Rating (%)]])))</f>
        <v>2.97</v>
      </c>
      <c r="U10" s="40">
        <f>IF(tblElements[[#This Row],[No.]]="","",IF(tblElements[[#This Row],[Type]]="Machine",0,Allowance))</f>
        <v>0.12</v>
      </c>
      <c r="V10" s="38">
        <f>IF(tblElements[[#This Row],[No.]]="","",IF(tblElements[[#This Row],[Cycles]]=0,"",tblElements[[#This Row],[Normal (s)]]*(1+tblElements[[#This Row],[Allowance (%)]])))</f>
        <v>3.3264</v>
      </c>
      <c r="W10" s="39">
        <f>IF(tblElements[[#This Row],[No.]]="","",SUMIFS(tblElements[Standard (s)],tblElements[No.],"&lt;"&amp;tblElements[[#This Row],[No.]]))</f>
        <v>17.85616</v>
      </c>
      <c r="X10" s="37">
        <f>IF(tblElements[[#This Row],[No.]]="","",IF(tblElements[[#This Row],[Cycles]]&lt;2,"",ROUNDUP((40*SQRT(MAX(0,tblElements[[#This Row],[Cycles]]*SUMSQ(tblElements[[#This Row],[Obs 1 (s)]],tblElements[[#This Row],[Obs 2 (s)]],tblElements[[#This Row],[Obs 3 (s)]],tblElements[[#This Row],[Obs 4 (s)]],tblElements[[#This Row],[Obs 5 (s)]],tblElements[[#This Row],[Obs 6 (s)]],tblElements[[#This Row],[Obs 7 (s)]],tblElements[[#This Row],[Obs 8 (s)]],tblElements[[#This Row],[Obs 9 (s)]],tblElements[[#This Row],[Obs 10 (s)]])-SUM(tblElements[[#This Row],[Obs 1 (s)]],tblElements[[#This Row],[Obs 2 (s)]],tblElements[[#This Row],[Obs 3 (s)]],tblElements[[#This Row],[Obs 4 (s)]],tblElements[[#This Row],[Obs 5 (s)]],tblElements[[#This Row],[Obs 6 (s)]],tblElements[[#This Row],[Obs 7 (s)]],tblElements[[#This Row],[Obs 8 (s)]],tblElements[[#This Row],[Obs 9 (s)]],tblElements[[#This Row],[Obs 10 (s)]])^2))/SUM(tblElements[[#This Row],[Obs 1 (s)]],tblElements[[#This Row],[Obs 2 (s)]],tblElements[[#This Row],[Obs 3 (s)]],tblElements[[#This Row],[Obs 4 (s)]],tblElements[[#This Row],[Obs 5 (s)]],tblElements[[#This Row],[Obs 6 (s)]],tblElements[[#This Row],[Obs 7 (s)]],tblElements[[#This Row],[Obs 8 (s)]],tblElements[[#This Row],[Obs 9 (s)]],tblElements[[#This Row],[Obs 10 (s)]]))^2,0)))</f>
        <v>6</v>
      </c>
      <c r="Y10" s="41" t="str">
        <f>IF(tblElements[[#This Row],[No.]]="","",IF(tblElements[[#This Row],[Element]]="","Missing element",IF(tblElements[[#This Row],[Type]]="","Missing type",IF(tblElements[[#This Row],[Rating (%)]]="","Missing rating",IF(COUNTIF(tblElements[No.],tblElements[[#This Row],[No.]])&gt;1,"Duplicate element number",IF(tblElements[[#This Row],[Cycles]]&lt;3,"Fewer than 3 readings",IF(AND(tblElements[[#This Row],[Type]]="Machine",tblElements[[#This Row],[Rating (%)]]&lt;&gt;1),"Machine element: rating not used",IF(OR(tblElements[[#This Row],[Max (s)]]&gt;1.5*tblElements[[#This Row],[Mean (s)]],tblElements[[#This Row],[Min (s)]]&lt;0.5*tblElements[[#This Row],[Mean (s)]]),"Check outlier reading",IF(tblElements[[#This Row],[Cycles]]&lt;tblElements[[#This Row],[Cycles needed]],"Study more cycles","OK")))))))))</f>
        <v>OK</v>
      </c>
    </row>
    <row r="11" spans="1:25" x14ac:dyDescent="0.25">
      <c r="B11" s="30">
        <v>6</v>
      </c>
      <c r="C11" s="35" t="s">
        <v>109</v>
      </c>
      <c r="D11" s="28" t="s">
        <v>110</v>
      </c>
      <c r="E11" s="36">
        <v>12</v>
      </c>
      <c r="F11" s="36">
        <v>12</v>
      </c>
      <c r="G11" s="36">
        <v>12</v>
      </c>
      <c r="H11" s="36">
        <v>12</v>
      </c>
      <c r="I11" s="36">
        <v>11.9</v>
      </c>
      <c r="J11" s="36">
        <v>12</v>
      </c>
      <c r="K11" s="36">
        <v>12</v>
      </c>
      <c r="L11" s="36">
        <v>12.2</v>
      </c>
      <c r="M11" s="36">
        <v>12.1</v>
      </c>
      <c r="N11" s="36">
        <v>12.1</v>
      </c>
      <c r="O11" s="32">
        <v>1</v>
      </c>
      <c r="P11" s="37">
        <f>IF(tblElements[[#This Row],[No.]]="","",COUNT(tblElements[[#This Row],[Obs 1 (s)]],tblElements[[#This Row],[Obs 2 (s)]],tblElements[[#This Row],[Obs 3 (s)]],tblElements[[#This Row],[Obs 4 (s)]],tblElements[[#This Row],[Obs 5 (s)]],tblElements[[#This Row],[Obs 6 (s)]],tblElements[[#This Row],[Obs 7 (s)]],tblElements[[#This Row],[Obs 8 (s)]],tblElements[[#This Row],[Obs 9 (s)]],tblElements[[#This Row],[Obs 10 (s)]]))</f>
        <v>10</v>
      </c>
      <c r="Q11" s="38">
        <f>IF(tblElements[[#This Row],[No.]]="","",IF(tblElements[[#This Row],[Cycles]]=0,"",AVERAGE(tblElements[[#This Row],[Obs 1 (s)]],tblElements[[#This Row],[Obs 2 (s)]],tblElements[[#This Row],[Obs 3 (s)]],tblElements[[#This Row],[Obs 4 (s)]],tblElements[[#This Row],[Obs 5 (s)]],tblElements[[#This Row],[Obs 6 (s)]],tblElements[[#This Row],[Obs 7 (s)]],tblElements[[#This Row],[Obs 8 (s)]],tblElements[[#This Row],[Obs 9 (s)]],tblElements[[#This Row],[Obs 10 (s)]])))</f>
        <v>12.03</v>
      </c>
      <c r="R11" s="39">
        <f>IF(tblElements[[#This Row],[No.]]="","",IF(tblElements[[#This Row],[Cycles]]=0,"",MIN(tblElements[[#This Row],[Obs 1 (s)]],tblElements[[#This Row],[Obs 2 (s)]],tblElements[[#This Row],[Obs 3 (s)]],tblElements[[#This Row],[Obs 4 (s)]],tblElements[[#This Row],[Obs 5 (s)]],tblElements[[#This Row],[Obs 6 (s)]],tblElements[[#This Row],[Obs 7 (s)]],tblElements[[#This Row],[Obs 8 (s)]],tblElements[[#This Row],[Obs 9 (s)]],tblElements[[#This Row],[Obs 10 (s)]])))</f>
        <v>11.9</v>
      </c>
      <c r="S11" s="39">
        <f>IF(tblElements[[#This Row],[No.]]="","",IF(tblElements[[#This Row],[Cycles]]=0,"",MAX(tblElements[[#This Row],[Obs 1 (s)]],tblElements[[#This Row],[Obs 2 (s)]],tblElements[[#This Row],[Obs 3 (s)]],tblElements[[#This Row],[Obs 4 (s)]],tblElements[[#This Row],[Obs 5 (s)]],tblElements[[#This Row],[Obs 6 (s)]],tblElements[[#This Row],[Obs 7 (s)]],tblElements[[#This Row],[Obs 8 (s)]],tblElements[[#This Row],[Obs 9 (s)]],tblElements[[#This Row],[Obs 10 (s)]])))</f>
        <v>12.2</v>
      </c>
      <c r="T11" s="38">
        <f>IF(tblElements[[#This Row],[No.]]="","",IF(tblElements[[#This Row],[Cycles]]=0,"",tblElements[[#This Row],[Mean (s)]]*IF(tblElements[[#This Row],[Type]]="Machine",1,tblElements[[#This Row],[Rating (%)]])))</f>
        <v>12.03</v>
      </c>
      <c r="U11" s="40">
        <f>IF(tblElements[[#This Row],[No.]]="","",IF(tblElements[[#This Row],[Type]]="Machine",0,Allowance))</f>
        <v>0</v>
      </c>
      <c r="V11" s="38">
        <f>IF(tblElements[[#This Row],[No.]]="","",IF(tblElements[[#This Row],[Cycles]]=0,"",tblElements[[#This Row],[Normal (s)]]*(1+tblElements[[#This Row],[Allowance (%)]])))</f>
        <v>12.03</v>
      </c>
      <c r="W11" s="39">
        <f>IF(tblElements[[#This Row],[No.]]="","",SUMIFS(tblElements[Standard (s)],tblElements[No.],"&lt;"&amp;tblElements[[#This Row],[No.]]))</f>
        <v>21.18256</v>
      </c>
      <c r="X11" s="37">
        <f>IF(tblElements[[#This Row],[No.]]="","",IF(tblElements[[#This Row],[Cycles]]&lt;2,"",ROUNDUP((40*SQRT(MAX(0,tblElements[[#This Row],[Cycles]]*SUMSQ(tblElements[[#This Row],[Obs 1 (s)]],tblElements[[#This Row],[Obs 2 (s)]],tblElements[[#This Row],[Obs 3 (s)]],tblElements[[#This Row],[Obs 4 (s)]],tblElements[[#This Row],[Obs 5 (s)]],tblElements[[#This Row],[Obs 6 (s)]],tblElements[[#This Row],[Obs 7 (s)]],tblElements[[#This Row],[Obs 8 (s)]],tblElements[[#This Row],[Obs 9 (s)]],tblElements[[#This Row],[Obs 10 (s)]])-SUM(tblElements[[#This Row],[Obs 1 (s)]],tblElements[[#This Row],[Obs 2 (s)]],tblElements[[#This Row],[Obs 3 (s)]],tblElements[[#This Row],[Obs 4 (s)]],tblElements[[#This Row],[Obs 5 (s)]],tblElements[[#This Row],[Obs 6 (s)]],tblElements[[#This Row],[Obs 7 (s)]],tblElements[[#This Row],[Obs 8 (s)]],tblElements[[#This Row],[Obs 9 (s)]],tblElements[[#This Row],[Obs 10 (s)]])^2))/SUM(tblElements[[#This Row],[Obs 1 (s)]],tblElements[[#This Row],[Obs 2 (s)]],tblElements[[#This Row],[Obs 3 (s)]],tblElements[[#This Row],[Obs 4 (s)]],tblElements[[#This Row],[Obs 5 (s)]],tblElements[[#This Row],[Obs 6 (s)]],tblElements[[#This Row],[Obs 7 (s)]],tblElements[[#This Row],[Obs 8 (s)]],tblElements[[#This Row],[Obs 9 (s)]],tblElements[[#This Row],[Obs 10 (s)]]))^2,0)))</f>
        <v>1</v>
      </c>
      <c r="Y11" s="41" t="str">
        <f>IF(tblElements[[#This Row],[No.]]="","",IF(tblElements[[#This Row],[Element]]="","Missing element",IF(tblElements[[#This Row],[Type]]="","Missing type",IF(tblElements[[#This Row],[Rating (%)]]="","Missing rating",IF(COUNTIF(tblElements[No.],tblElements[[#This Row],[No.]])&gt;1,"Duplicate element number",IF(tblElements[[#This Row],[Cycles]]&lt;3,"Fewer than 3 readings",IF(AND(tblElements[[#This Row],[Type]]="Machine",tblElements[[#This Row],[Rating (%)]]&lt;&gt;1),"Machine element: rating not used",IF(OR(tblElements[[#This Row],[Max (s)]]&gt;1.5*tblElements[[#This Row],[Mean (s)]],tblElements[[#This Row],[Min (s)]]&lt;0.5*tblElements[[#This Row],[Mean (s)]]),"Check outlier reading",IF(tblElements[[#This Row],[Cycles]]&lt;tblElements[[#This Row],[Cycles needed]],"Study more cycles","OK")))))))))</f>
        <v>OK</v>
      </c>
    </row>
    <row r="12" spans="1:25" x14ac:dyDescent="0.25">
      <c r="B12" s="30">
        <v>7</v>
      </c>
      <c r="C12" s="35" t="s">
        <v>111</v>
      </c>
      <c r="D12" s="28" t="s">
        <v>103</v>
      </c>
      <c r="E12" s="36">
        <v>2.6</v>
      </c>
      <c r="F12" s="36">
        <v>2.7</v>
      </c>
      <c r="G12" s="36">
        <v>2.5</v>
      </c>
      <c r="H12" s="36">
        <v>2.7</v>
      </c>
      <c r="I12" s="36">
        <v>2.6</v>
      </c>
      <c r="J12" s="36">
        <v>2.7</v>
      </c>
      <c r="K12" s="36">
        <v>2.7</v>
      </c>
      <c r="L12" s="36">
        <v>2.6</v>
      </c>
      <c r="M12" s="36">
        <v>2.6</v>
      </c>
      <c r="N12" s="36">
        <v>2.6</v>
      </c>
      <c r="O12" s="32">
        <v>1.05</v>
      </c>
      <c r="P12" s="37">
        <f>IF(tblElements[[#This Row],[No.]]="","",COUNT(tblElements[[#This Row],[Obs 1 (s)]],tblElements[[#This Row],[Obs 2 (s)]],tblElements[[#This Row],[Obs 3 (s)]],tblElements[[#This Row],[Obs 4 (s)]],tblElements[[#This Row],[Obs 5 (s)]],tblElements[[#This Row],[Obs 6 (s)]],tblElements[[#This Row],[Obs 7 (s)]],tblElements[[#This Row],[Obs 8 (s)]],tblElements[[#This Row],[Obs 9 (s)]],tblElements[[#This Row],[Obs 10 (s)]]))</f>
        <v>10</v>
      </c>
      <c r="Q12" s="38">
        <f>IF(tblElements[[#This Row],[No.]]="","",IF(tblElements[[#This Row],[Cycles]]=0,"",AVERAGE(tblElements[[#This Row],[Obs 1 (s)]],tblElements[[#This Row],[Obs 2 (s)]],tblElements[[#This Row],[Obs 3 (s)]],tblElements[[#This Row],[Obs 4 (s)]],tblElements[[#This Row],[Obs 5 (s)]],tblElements[[#This Row],[Obs 6 (s)]],tblElements[[#This Row],[Obs 7 (s)]],tblElements[[#This Row],[Obs 8 (s)]],tblElements[[#This Row],[Obs 9 (s)]],tblElements[[#This Row],[Obs 10 (s)]])))</f>
        <v>2.63</v>
      </c>
      <c r="R12" s="39">
        <f>IF(tblElements[[#This Row],[No.]]="","",IF(tblElements[[#This Row],[Cycles]]=0,"",MIN(tblElements[[#This Row],[Obs 1 (s)]],tblElements[[#This Row],[Obs 2 (s)]],tblElements[[#This Row],[Obs 3 (s)]],tblElements[[#This Row],[Obs 4 (s)]],tblElements[[#This Row],[Obs 5 (s)]],tblElements[[#This Row],[Obs 6 (s)]],tblElements[[#This Row],[Obs 7 (s)]],tblElements[[#This Row],[Obs 8 (s)]],tblElements[[#This Row],[Obs 9 (s)]],tblElements[[#This Row],[Obs 10 (s)]])))</f>
        <v>2.5</v>
      </c>
      <c r="S12" s="39">
        <f>IF(tblElements[[#This Row],[No.]]="","",IF(tblElements[[#This Row],[Cycles]]=0,"",MAX(tblElements[[#This Row],[Obs 1 (s)]],tblElements[[#This Row],[Obs 2 (s)]],tblElements[[#This Row],[Obs 3 (s)]],tblElements[[#This Row],[Obs 4 (s)]],tblElements[[#This Row],[Obs 5 (s)]],tblElements[[#This Row],[Obs 6 (s)]],tblElements[[#This Row],[Obs 7 (s)]],tblElements[[#This Row],[Obs 8 (s)]],tblElements[[#This Row],[Obs 9 (s)]],tblElements[[#This Row],[Obs 10 (s)]])))</f>
        <v>2.7</v>
      </c>
      <c r="T12" s="38">
        <f>IF(tblElements[[#This Row],[No.]]="","",IF(tblElements[[#This Row],[Cycles]]=0,"",tblElements[[#This Row],[Mean (s)]]*IF(tblElements[[#This Row],[Type]]="Machine",1,tblElements[[#This Row],[Rating (%)]])))</f>
        <v>2.7615</v>
      </c>
      <c r="U12" s="40">
        <f>IF(tblElements[[#This Row],[No.]]="","",IF(tblElements[[#This Row],[Type]]="Machine",0,Allowance))</f>
        <v>0.12</v>
      </c>
      <c r="V12" s="38">
        <f>IF(tblElements[[#This Row],[No.]]="","",IF(tblElements[[#This Row],[Cycles]]=0,"",tblElements[[#This Row],[Normal (s)]]*(1+tblElements[[#This Row],[Allowance (%)]])))</f>
        <v>3.09288</v>
      </c>
      <c r="W12" s="39">
        <f>IF(tblElements[[#This Row],[No.]]="","",SUMIFS(tblElements[Standard (s)],tblElements[No.],"&lt;"&amp;tblElements[[#This Row],[No.]]))</f>
        <v>33.21256</v>
      </c>
      <c r="X12" s="37">
        <f>IF(tblElements[[#This Row],[No.]]="","",IF(tblElements[[#This Row],[Cycles]]&lt;2,"",ROUNDUP((40*SQRT(MAX(0,tblElements[[#This Row],[Cycles]]*SUMSQ(tblElements[[#This Row],[Obs 1 (s)]],tblElements[[#This Row],[Obs 2 (s)]],tblElements[[#This Row],[Obs 3 (s)]],tblElements[[#This Row],[Obs 4 (s)]],tblElements[[#This Row],[Obs 5 (s)]],tblElements[[#This Row],[Obs 6 (s)]],tblElements[[#This Row],[Obs 7 (s)]],tblElements[[#This Row],[Obs 8 (s)]],tblElements[[#This Row],[Obs 9 (s)]],tblElements[[#This Row],[Obs 10 (s)]])-SUM(tblElements[[#This Row],[Obs 1 (s)]],tblElements[[#This Row],[Obs 2 (s)]],tblElements[[#This Row],[Obs 3 (s)]],tblElements[[#This Row],[Obs 4 (s)]],tblElements[[#This Row],[Obs 5 (s)]],tblElements[[#This Row],[Obs 6 (s)]],tblElements[[#This Row],[Obs 7 (s)]],tblElements[[#This Row],[Obs 8 (s)]],tblElements[[#This Row],[Obs 9 (s)]],tblElements[[#This Row],[Obs 10 (s)]])^2))/SUM(tblElements[[#This Row],[Obs 1 (s)]],tblElements[[#This Row],[Obs 2 (s)]],tblElements[[#This Row],[Obs 3 (s)]],tblElements[[#This Row],[Obs 4 (s)]],tblElements[[#This Row],[Obs 5 (s)]],tblElements[[#This Row],[Obs 6 (s)]],tblElements[[#This Row],[Obs 7 (s)]],tblElements[[#This Row],[Obs 8 (s)]],tblElements[[#This Row],[Obs 9 (s)]],tblElements[[#This Row],[Obs 10 (s)]]))^2,0)))</f>
        <v>1</v>
      </c>
      <c r="Y12" s="41" t="str">
        <f>IF(tblElements[[#This Row],[No.]]="","",IF(tblElements[[#This Row],[Element]]="","Missing element",IF(tblElements[[#This Row],[Type]]="","Missing type",IF(tblElements[[#This Row],[Rating (%)]]="","Missing rating",IF(COUNTIF(tblElements[No.],tblElements[[#This Row],[No.]])&gt;1,"Duplicate element number",IF(tblElements[[#This Row],[Cycles]]&lt;3,"Fewer than 3 readings",IF(AND(tblElements[[#This Row],[Type]]="Machine",tblElements[[#This Row],[Rating (%)]]&lt;&gt;1),"Machine element: rating not used",IF(OR(tblElements[[#This Row],[Max (s)]]&gt;1.5*tblElements[[#This Row],[Mean (s)]],tblElements[[#This Row],[Min (s)]]&lt;0.5*tblElements[[#This Row],[Mean (s)]]),"Check outlier reading",IF(tblElements[[#This Row],[Cycles]]&lt;tblElements[[#This Row],[Cycles needed]],"Study more cycles","OK")))))))))</f>
        <v>OK</v>
      </c>
    </row>
    <row r="13" spans="1:25" x14ac:dyDescent="0.25">
      <c r="B13" s="30">
        <v>8</v>
      </c>
      <c r="C13" s="35" t="s">
        <v>112</v>
      </c>
      <c r="D13" s="28" t="s">
        <v>103</v>
      </c>
      <c r="E13" s="36">
        <v>4.2</v>
      </c>
      <c r="F13" s="36">
        <v>3.9</v>
      </c>
      <c r="G13" s="36">
        <v>4</v>
      </c>
      <c r="H13" s="36">
        <v>4.1</v>
      </c>
      <c r="I13" s="36">
        <v>4</v>
      </c>
      <c r="J13" s="36">
        <v>4.4</v>
      </c>
      <c r="K13" s="36">
        <v>4.1</v>
      </c>
      <c r="L13" s="36">
        <v>4.4</v>
      </c>
      <c r="M13" s="36">
        <v>4.3</v>
      </c>
      <c r="N13" s="36">
        <v>4</v>
      </c>
      <c r="O13" s="32">
        <v>0.95</v>
      </c>
      <c r="P13" s="37">
        <f>IF(tblElements[[#This Row],[No.]]="","",COUNT(tblElements[[#This Row],[Obs 1 (s)]],tblElements[[#This Row],[Obs 2 (s)]],tblElements[[#This Row],[Obs 3 (s)]],tblElements[[#This Row],[Obs 4 (s)]],tblElements[[#This Row],[Obs 5 (s)]],tblElements[[#This Row],[Obs 6 (s)]],tblElements[[#This Row],[Obs 7 (s)]],tblElements[[#This Row],[Obs 8 (s)]],tblElements[[#This Row],[Obs 9 (s)]],tblElements[[#This Row],[Obs 10 (s)]]))</f>
        <v>10</v>
      </c>
      <c r="Q13" s="38">
        <f>IF(tblElements[[#This Row],[No.]]="","",IF(tblElements[[#This Row],[Cycles]]=0,"",AVERAGE(tblElements[[#This Row],[Obs 1 (s)]],tblElements[[#This Row],[Obs 2 (s)]],tblElements[[#This Row],[Obs 3 (s)]],tblElements[[#This Row],[Obs 4 (s)]],tblElements[[#This Row],[Obs 5 (s)]],tblElements[[#This Row],[Obs 6 (s)]],tblElements[[#This Row],[Obs 7 (s)]],tblElements[[#This Row],[Obs 8 (s)]],tblElements[[#This Row],[Obs 9 (s)]],tblElements[[#This Row],[Obs 10 (s)]])))</f>
        <v>4.14</v>
      </c>
      <c r="R13" s="39">
        <f>IF(tblElements[[#This Row],[No.]]="","",IF(tblElements[[#This Row],[Cycles]]=0,"",MIN(tblElements[[#This Row],[Obs 1 (s)]],tblElements[[#This Row],[Obs 2 (s)]],tblElements[[#This Row],[Obs 3 (s)]],tblElements[[#This Row],[Obs 4 (s)]],tblElements[[#This Row],[Obs 5 (s)]],tblElements[[#This Row],[Obs 6 (s)]],tblElements[[#This Row],[Obs 7 (s)]],tblElements[[#This Row],[Obs 8 (s)]],tblElements[[#This Row],[Obs 9 (s)]],tblElements[[#This Row],[Obs 10 (s)]])))</f>
        <v>3.9</v>
      </c>
      <c r="S13" s="39">
        <f>IF(tblElements[[#This Row],[No.]]="","",IF(tblElements[[#This Row],[Cycles]]=0,"",MAX(tblElements[[#This Row],[Obs 1 (s)]],tblElements[[#This Row],[Obs 2 (s)]],tblElements[[#This Row],[Obs 3 (s)]],tblElements[[#This Row],[Obs 4 (s)]],tblElements[[#This Row],[Obs 5 (s)]],tblElements[[#This Row],[Obs 6 (s)]],tblElements[[#This Row],[Obs 7 (s)]],tblElements[[#This Row],[Obs 8 (s)]],tblElements[[#This Row],[Obs 9 (s)]],tblElements[[#This Row],[Obs 10 (s)]])))</f>
        <v>4.4</v>
      </c>
      <c r="T13" s="38">
        <f>IF(tblElements[[#This Row],[No.]]="","",IF(tblElements[[#This Row],[Cycles]]=0,"",tblElements[[#This Row],[Mean (s)]]*IF(tblElements[[#This Row],[Type]]="Machine",1,tblElements[[#This Row],[Rating (%)]])))</f>
        <v>3.933</v>
      </c>
      <c r="U13" s="40">
        <f>IF(tblElements[[#This Row],[No.]]="","",IF(tblElements[[#This Row],[Type]]="Machine",0,Allowance))</f>
        <v>0.12</v>
      </c>
      <c r="V13" s="38">
        <f>IF(tblElements[[#This Row],[No.]]="","",IF(tblElements[[#This Row],[Cycles]]=0,"",tblElements[[#This Row],[Normal (s)]]*(1+tblElements[[#This Row],[Allowance (%)]])))</f>
        <v>4.40496</v>
      </c>
      <c r="W13" s="39">
        <f>IF(tblElements[[#This Row],[No.]]="","",SUMIFS(tblElements[Standard (s)],tblElements[No.],"&lt;"&amp;tblElements[[#This Row],[No.]]))</f>
        <v>36.30544</v>
      </c>
      <c r="X13" s="37">
        <f>IF(tblElements[[#This Row],[No.]]="","",IF(tblElements[[#This Row],[Cycles]]&lt;2,"",ROUNDUP((40*SQRT(MAX(0,tblElements[[#This Row],[Cycles]]*SUMSQ(tblElements[[#This Row],[Obs 1 (s)]],tblElements[[#This Row],[Obs 2 (s)]],tblElements[[#This Row],[Obs 3 (s)]],tblElements[[#This Row],[Obs 4 (s)]],tblElements[[#This Row],[Obs 5 (s)]],tblElements[[#This Row],[Obs 6 (s)]],tblElements[[#This Row],[Obs 7 (s)]],tblElements[[#This Row],[Obs 8 (s)]],tblElements[[#This Row],[Obs 9 (s)]],tblElements[[#This Row],[Obs 10 (s)]])-SUM(tblElements[[#This Row],[Obs 1 (s)]],tblElements[[#This Row],[Obs 2 (s)]],tblElements[[#This Row],[Obs 3 (s)]],tblElements[[#This Row],[Obs 4 (s)]],tblElements[[#This Row],[Obs 5 (s)]],tblElements[[#This Row],[Obs 6 (s)]],tblElements[[#This Row],[Obs 7 (s)]],tblElements[[#This Row],[Obs 8 (s)]],tblElements[[#This Row],[Obs 9 (s)]],tblElements[[#This Row],[Obs 10 (s)]])^2))/SUM(tblElements[[#This Row],[Obs 1 (s)]],tblElements[[#This Row],[Obs 2 (s)]],tblElements[[#This Row],[Obs 3 (s)]],tblElements[[#This Row],[Obs 4 (s)]],tblElements[[#This Row],[Obs 5 (s)]],tblElements[[#This Row],[Obs 6 (s)]],tblElements[[#This Row],[Obs 7 (s)]],tblElements[[#This Row],[Obs 8 (s)]],tblElements[[#This Row],[Obs 9 (s)]],tblElements[[#This Row],[Obs 10 (s)]]))^2,0)))</f>
        <v>3</v>
      </c>
      <c r="Y13" s="41" t="str">
        <f>IF(tblElements[[#This Row],[No.]]="","",IF(tblElements[[#This Row],[Element]]="","Missing element",IF(tblElements[[#This Row],[Type]]="","Missing type",IF(tblElements[[#This Row],[Rating (%)]]="","Missing rating",IF(COUNTIF(tblElements[No.],tblElements[[#This Row],[No.]])&gt;1,"Duplicate element number",IF(tblElements[[#This Row],[Cycles]]&lt;3,"Fewer than 3 readings",IF(AND(tblElements[[#This Row],[Type]]="Machine",tblElements[[#This Row],[Rating (%)]]&lt;&gt;1),"Machine element: rating not used",IF(OR(tblElements[[#This Row],[Max (s)]]&gt;1.5*tblElements[[#This Row],[Mean (s)]],tblElements[[#This Row],[Min (s)]]&lt;0.5*tblElements[[#This Row],[Mean (s)]]),"Check outlier reading",IF(tblElements[[#This Row],[Cycles]]&lt;tblElements[[#This Row],[Cycles needed]],"Study more cycles","OK")))))))))</f>
        <v>OK</v>
      </c>
    </row>
    <row r="14" spans="1:25" x14ac:dyDescent="0.25">
      <c r="B14" s="30">
        <v>9</v>
      </c>
      <c r="C14" s="35" t="s">
        <v>113</v>
      </c>
      <c r="D14" s="28" t="s">
        <v>103</v>
      </c>
      <c r="E14" s="36">
        <v>2.6</v>
      </c>
      <c r="F14" s="36">
        <v>2.6</v>
      </c>
      <c r="G14" s="36">
        <v>2.9</v>
      </c>
      <c r="H14" s="36">
        <v>3.1</v>
      </c>
      <c r="I14" s="36">
        <v>2.6</v>
      </c>
      <c r="J14" s="36">
        <v>2.9</v>
      </c>
      <c r="K14" s="36">
        <v>2.6</v>
      </c>
      <c r="L14" s="36">
        <v>2.8</v>
      </c>
      <c r="M14" s="36">
        <v>2.8</v>
      </c>
      <c r="N14" s="36">
        <v>2.5</v>
      </c>
      <c r="O14" s="32">
        <v>1</v>
      </c>
      <c r="P14" s="37">
        <f>IF(tblElements[[#This Row],[No.]]="","",COUNT(tblElements[[#This Row],[Obs 1 (s)]],tblElements[[#This Row],[Obs 2 (s)]],tblElements[[#This Row],[Obs 3 (s)]],tblElements[[#This Row],[Obs 4 (s)]],tblElements[[#This Row],[Obs 5 (s)]],tblElements[[#This Row],[Obs 6 (s)]],tblElements[[#This Row],[Obs 7 (s)]],tblElements[[#This Row],[Obs 8 (s)]],tblElements[[#This Row],[Obs 9 (s)]],tblElements[[#This Row],[Obs 10 (s)]]))</f>
        <v>10</v>
      </c>
      <c r="Q14" s="38">
        <f>IF(tblElements[[#This Row],[No.]]="","",IF(tblElements[[#This Row],[Cycles]]=0,"",AVERAGE(tblElements[[#This Row],[Obs 1 (s)]],tblElements[[#This Row],[Obs 2 (s)]],tblElements[[#This Row],[Obs 3 (s)]],tblElements[[#This Row],[Obs 4 (s)]],tblElements[[#This Row],[Obs 5 (s)]],tblElements[[#This Row],[Obs 6 (s)]],tblElements[[#This Row],[Obs 7 (s)]],tblElements[[#This Row],[Obs 8 (s)]],tblElements[[#This Row],[Obs 9 (s)]],tblElements[[#This Row],[Obs 10 (s)]])))</f>
        <v>2.74</v>
      </c>
      <c r="R14" s="39">
        <f>IF(tblElements[[#This Row],[No.]]="","",IF(tblElements[[#This Row],[Cycles]]=0,"",MIN(tblElements[[#This Row],[Obs 1 (s)]],tblElements[[#This Row],[Obs 2 (s)]],tblElements[[#This Row],[Obs 3 (s)]],tblElements[[#This Row],[Obs 4 (s)]],tblElements[[#This Row],[Obs 5 (s)]],tblElements[[#This Row],[Obs 6 (s)]],tblElements[[#This Row],[Obs 7 (s)]],tblElements[[#This Row],[Obs 8 (s)]],tblElements[[#This Row],[Obs 9 (s)]],tblElements[[#This Row],[Obs 10 (s)]])))</f>
        <v>2.5</v>
      </c>
      <c r="S14" s="39">
        <f>IF(tblElements[[#This Row],[No.]]="","",IF(tblElements[[#This Row],[Cycles]]=0,"",MAX(tblElements[[#This Row],[Obs 1 (s)]],tblElements[[#This Row],[Obs 2 (s)]],tblElements[[#This Row],[Obs 3 (s)]],tblElements[[#This Row],[Obs 4 (s)]],tblElements[[#This Row],[Obs 5 (s)]],tblElements[[#This Row],[Obs 6 (s)]],tblElements[[#This Row],[Obs 7 (s)]],tblElements[[#This Row],[Obs 8 (s)]],tblElements[[#This Row],[Obs 9 (s)]],tblElements[[#This Row],[Obs 10 (s)]])))</f>
        <v>3.1</v>
      </c>
      <c r="T14" s="38">
        <f>IF(tblElements[[#This Row],[No.]]="","",IF(tblElements[[#This Row],[Cycles]]=0,"",tblElements[[#This Row],[Mean (s)]]*IF(tblElements[[#This Row],[Type]]="Machine",1,tblElements[[#This Row],[Rating (%)]])))</f>
        <v>2.74</v>
      </c>
      <c r="U14" s="40">
        <f>IF(tblElements[[#This Row],[No.]]="","",IF(tblElements[[#This Row],[Type]]="Machine",0,Allowance))</f>
        <v>0.12</v>
      </c>
      <c r="V14" s="38">
        <f>IF(tblElements[[#This Row],[No.]]="","",IF(tblElements[[#This Row],[Cycles]]=0,"",tblElements[[#This Row],[Normal (s)]]*(1+tblElements[[#This Row],[Allowance (%)]])))</f>
        <v>3.0688</v>
      </c>
      <c r="W14" s="39">
        <f>IF(tblElements[[#This Row],[No.]]="","",SUMIFS(tblElements[Standard (s)],tblElements[No.],"&lt;"&amp;tblElements[[#This Row],[No.]]))</f>
        <v>40.7104</v>
      </c>
      <c r="X14" s="37">
        <f>IF(tblElements[[#This Row],[No.]]="","",IF(tblElements[[#This Row],[Cycles]]&lt;2,"",ROUNDUP((40*SQRT(MAX(0,tblElements[[#This Row],[Cycles]]*SUMSQ(tblElements[[#This Row],[Obs 1 (s)]],tblElements[[#This Row],[Obs 2 (s)]],tblElements[[#This Row],[Obs 3 (s)]],tblElements[[#This Row],[Obs 4 (s)]],tblElements[[#This Row],[Obs 5 (s)]],tblElements[[#This Row],[Obs 6 (s)]],tblElements[[#This Row],[Obs 7 (s)]],tblElements[[#This Row],[Obs 8 (s)]],tblElements[[#This Row],[Obs 9 (s)]],tblElements[[#This Row],[Obs 10 (s)]])-SUM(tblElements[[#This Row],[Obs 1 (s)]],tblElements[[#This Row],[Obs 2 (s)]],tblElements[[#This Row],[Obs 3 (s)]],tblElements[[#This Row],[Obs 4 (s)]],tblElements[[#This Row],[Obs 5 (s)]],tblElements[[#This Row],[Obs 6 (s)]],tblElements[[#This Row],[Obs 7 (s)]],tblElements[[#This Row],[Obs 8 (s)]],tblElements[[#This Row],[Obs 9 (s)]],tblElements[[#This Row],[Obs 10 (s)]])^2))/SUM(tblElements[[#This Row],[Obs 1 (s)]],tblElements[[#This Row],[Obs 2 (s)]],tblElements[[#This Row],[Obs 3 (s)]],tblElements[[#This Row],[Obs 4 (s)]],tblElements[[#This Row],[Obs 5 (s)]],tblElements[[#This Row],[Obs 6 (s)]],tblElements[[#This Row],[Obs 7 (s)]],tblElements[[#This Row],[Obs 8 (s)]],tblElements[[#This Row],[Obs 9 (s)]],tblElements[[#This Row],[Obs 10 (s)]]))^2,0)))</f>
        <v>7</v>
      </c>
      <c r="Y14" s="41" t="str">
        <f>IF(tblElements[[#This Row],[No.]]="","",IF(tblElements[[#This Row],[Element]]="","Missing element",IF(tblElements[[#This Row],[Type]]="","Missing type",IF(tblElements[[#This Row],[Rating (%)]]="","Missing rating",IF(COUNTIF(tblElements[No.],tblElements[[#This Row],[No.]])&gt;1,"Duplicate element number",IF(tblElements[[#This Row],[Cycles]]&lt;3,"Fewer than 3 readings",IF(AND(tblElements[[#This Row],[Type]]="Machine",tblElements[[#This Row],[Rating (%)]]&lt;&gt;1),"Machine element: rating not used",IF(OR(tblElements[[#This Row],[Max (s)]]&gt;1.5*tblElements[[#This Row],[Mean (s)]],tblElements[[#This Row],[Min (s)]]&lt;0.5*tblElements[[#This Row],[Mean (s)]]),"Check outlier reading",IF(tblElements[[#This Row],[Cycles]]&lt;tblElements[[#This Row],[Cycles needed]],"Study more cycles","OK")))))))))</f>
        <v>OK</v>
      </c>
    </row>
    <row r="15" spans="1:25" x14ac:dyDescent="0.25">
      <c r="B15" s="30">
        <v>10</v>
      </c>
      <c r="C15" s="35" t="s">
        <v>114</v>
      </c>
      <c r="D15" s="28" t="s">
        <v>107</v>
      </c>
      <c r="E15" s="36">
        <v>3</v>
      </c>
      <c r="F15" s="36">
        <v>3.1</v>
      </c>
      <c r="G15" s="36">
        <v>3.3</v>
      </c>
      <c r="H15" s="36">
        <v>3.1</v>
      </c>
      <c r="I15" s="36">
        <v>3</v>
      </c>
      <c r="J15" s="36">
        <v>3</v>
      </c>
      <c r="K15" s="36">
        <v>2.7</v>
      </c>
      <c r="L15" s="36">
        <v>3.1</v>
      </c>
      <c r="M15" s="36">
        <v>2.9</v>
      </c>
      <c r="N15" s="36">
        <v>3.3</v>
      </c>
      <c r="O15" s="32">
        <v>1</v>
      </c>
      <c r="P15" s="37">
        <f>IF(tblElements[[#This Row],[No.]]="","",COUNT(tblElements[[#This Row],[Obs 1 (s)]],tblElements[[#This Row],[Obs 2 (s)]],tblElements[[#This Row],[Obs 3 (s)]],tblElements[[#This Row],[Obs 4 (s)]],tblElements[[#This Row],[Obs 5 (s)]],tblElements[[#This Row],[Obs 6 (s)]],tblElements[[#This Row],[Obs 7 (s)]],tblElements[[#This Row],[Obs 8 (s)]],tblElements[[#This Row],[Obs 9 (s)]],tblElements[[#This Row],[Obs 10 (s)]]))</f>
        <v>10</v>
      </c>
      <c r="Q15" s="38">
        <f>IF(tblElements[[#This Row],[No.]]="","",IF(tblElements[[#This Row],[Cycles]]=0,"",AVERAGE(tblElements[[#This Row],[Obs 1 (s)]],tblElements[[#This Row],[Obs 2 (s)]],tblElements[[#This Row],[Obs 3 (s)]],tblElements[[#This Row],[Obs 4 (s)]],tblElements[[#This Row],[Obs 5 (s)]],tblElements[[#This Row],[Obs 6 (s)]],tblElements[[#This Row],[Obs 7 (s)]],tblElements[[#This Row],[Obs 8 (s)]],tblElements[[#This Row],[Obs 9 (s)]],tblElements[[#This Row],[Obs 10 (s)]])))</f>
        <v>3.05</v>
      </c>
      <c r="R15" s="39">
        <f>IF(tblElements[[#This Row],[No.]]="","",IF(tblElements[[#This Row],[Cycles]]=0,"",MIN(tblElements[[#This Row],[Obs 1 (s)]],tblElements[[#This Row],[Obs 2 (s)]],tblElements[[#This Row],[Obs 3 (s)]],tblElements[[#This Row],[Obs 4 (s)]],tblElements[[#This Row],[Obs 5 (s)]],tblElements[[#This Row],[Obs 6 (s)]],tblElements[[#This Row],[Obs 7 (s)]],tblElements[[#This Row],[Obs 8 (s)]],tblElements[[#This Row],[Obs 9 (s)]],tblElements[[#This Row],[Obs 10 (s)]])))</f>
        <v>2.7</v>
      </c>
      <c r="S15" s="39">
        <f>IF(tblElements[[#This Row],[No.]]="","",IF(tblElements[[#This Row],[Cycles]]=0,"",MAX(tblElements[[#This Row],[Obs 1 (s)]],tblElements[[#This Row],[Obs 2 (s)]],tblElements[[#This Row],[Obs 3 (s)]],tblElements[[#This Row],[Obs 4 (s)]],tblElements[[#This Row],[Obs 5 (s)]],tblElements[[#This Row],[Obs 6 (s)]],tblElements[[#This Row],[Obs 7 (s)]],tblElements[[#This Row],[Obs 8 (s)]],tblElements[[#This Row],[Obs 9 (s)]],tblElements[[#This Row],[Obs 10 (s)]])))</f>
        <v>3.3</v>
      </c>
      <c r="T15" s="38">
        <f>IF(tblElements[[#This Row],[No.]]="","",IF(tblElements[[#This Row],[Cycles]]=0,"",tblElements[[#This Row],[Mean (s)]]*IF(tblElements[[#This Row],[Type]]="Machine",1,tblElements[[#This Row],[Rating (%)]])))</f>
        <v>3.05</v>
      </c>
      <c r="U15" s="40">
        <f>IF(tblElements[[#This Row],[No.]]="","",IF(tblElements[[#This Row],[Type]]="Machine",0,Allowance))</f>
        <v>0.12</v>
      </c>
      <c r="V15" s="38">
        <f>IF(tblElements[[#This Row],[No.]]="","",IF(tblElements[[#This Row],[Cycles]]=0,"",tblElements[[#This Row],[Normal (s)]]*(1+tblElements[[#This Row],[Allowance (%)]])))</f>
        <v>3.416</v>
      </c>
      <c r="W15" s="39">
        <f>IF(tblElements[[#This Row],[No.]]="","",SUMIFS(tblElements[Standard (s)],tblElements[No.],"&lt;"&amp;tblElements[[#This Row],[No.]]))</f>
        <v>43.7792</v>
      </c>
      <c r="X15" s="37">
        <f>IF(tblElements[[#This Row],[No.]]="","",IF(tblElements[[#This Row],[Cycles]]&lt;2,"",ROUNDUP((40*SQRT(MAX(0,tblElements[[#This Row],[Cycles]]*SUMSQ(tblElements[[#This Row],[Obs 1 (s)]],tblElements[[#This Row],[Obs 2 (s)]],tblElements[[#This Row],[Obs 3 (s)]],tblElements[[#This Row],[Obs 4 (s)]],tblElements[[#This Row],[Obs 5 (s)]],tblElements[[#This Row],[Obs 6 (s)]],tblElements[[#This Row],[Obs 7 (s)]],tblElements[[#This Row],[Obs 8 (s)]],tblElements[[#This Row],[Obs 9 (s)]],tblElements[[#This Row],[Obs 10 (s)]])-SUM(tblElements[[#This Row],[Obs 1 (s)]],tblElements[[#This Row],[Obs 2 (s)]],tblElements[[#This Row],[Obs 3 (s)]],tblElements[[#This Row],[Obs 4 (s)]],tblElements[[#This Row],[Obs 5 (s)]],tblElements[[#This Row],[Obs 6 (s)]],tblElements[[#This Row],[Obs 7 (s)]],tblElements[[#This Row],[Obs 8 (s)]],tblElements[[#This Row],[Obs 9 (s)]],tblElements[[#This Row],[Obs 10 (s)]])^2))/SUM(tblElements[[#This Row],[Obs 1 (s)]],tblElements[[#This Row],[Obs 2 (s)]],tblElements[[#This Row],[Obs 3 (s)]],tblElements[[#This Row],[Obs 4 (s)]],tblElements[[#This Row],[Obs 5 (s)]],tblElements[[#This Row],[Obs 6 (s)]],tblElements[[#This Row],[Obs 7 (s)]],tblElements[[#This Row],[Obs 8 (s)]],tblElements[[#This Row],[Obs 9 (s)]],tblElements[[#This Row],[Obs 10 (s)]]))^2,0)))</f>
        <v>5</v>
      </c>
      <c r="Y15" s="41" t="str">
        <f>IF(tblElements[[#This Row],[No.]]="","",IF(tblElements[[#This Row],[Element]]="","Missing element",IF(tblElements[[#This Row],[Type]]="","Missing type",IF(tblElements[[#This Row],[Rating (%)]]="","Missing rating",IF(COUNTIF(tblElements[No.],tblElements[[#This Row],[No.]])&gt;1,"Duplicate element number",IF(tblElements[[#This Row],[Cycles]]&lt;3,"Fewer than 3 readings",IF(AND(tblElements[[#This Row],[Type]]="Machine",tblElements[[#This Row],[Rating (%)]]&lt;&gt;1),"Machine element: rating not used",IF(OR(tblElements[[#This Row],[Max (s)]]&gt;1.5*tblElements[[#This Row],[Mean (s)]],tblElements[[#This Row],[Min (s)]]&lt;0.5*tblElements[[#This Row],[Mean (s)]]),"Check outlier reading",IF(tblElements[[#This Row],[Cycles]]&lt;tblElements[[#This Row],[Cycles needed]],"Study more cycles","OK")))))))))</f>
        <v>OK</v>
      </c>
    </row>
  </sheetData>
  <mergeCells count="3">
    <mergeCell ref="A1:Y1"/>
    <mergeCell ref="B2:X2"/>
    <mergeCell ref="B4:Y4"/>
  </mergeCells>
  <conditionalFormatting sqref="V6:V515">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Y6:Y515">
    <cfRule type="expression" dxfId="3" priority="2">
      <formula>$Y6="OK"</formula>
    </cfRule>
    <cfRule type="expression" dxfId="1" priority="3">
      <formula>AND($Y6&lt;&gt;"",$Y6&lt;&gt;"OK")</formula>
    </cfRule>
  </conditionalFormatting>
  <dataValidations count="14">
    <dataValidation type="whole" allowBlank="1" showInputMessage="1" showErrorMessage="1" errorTitle="Check this entry" error="Enter a whole number from 1 to 999." promptTitle="No." prompt="Element number in work order. Enter a whole number from 1 to 999." sqref="B6:B515">
      <formula1>1</formula1>
      <formula2>999</formula2>
    </dataValidation>
    <dataValidation type="textLength" allowBlank="1" showInputMessage="1" showErrorMessage="1" errorTitle="Check this entry" error="Text up to 80 characters." promptTitle="Element" prompt="What is done, from the start point to the end point of the element. Text up to 80 characters." sqref="C6:C515">
      <formula1>0</formula1>
      <formula2>80</formula2>
    </dataValidation>
    <dataValidation type="list" allowBlank="1" showInputMessage="1" showErrorMessage="1" errorTitle="Check this entry" error="Pick one of: Manual, Machine, Walk." promptTitle="Type" prompt="Manual = operator's hands; Machine = machine runs on its own; Walk = operator walking. Pick one of: Manual, Machine, Walk." sqref="D6:D515">
      <formula1>"Manual,Machine,Walk"</formula1>
    </dataValidation>
    <dataValidation type="decimal" allowBlank="1" showInputMessage="1" showErrorMessage="1" errorTitle="Check this entry" error="Enter a number from 0 to 86,400." promptTitle="Obs 1 (s)" prompt="Stopwatch reading for this element in this cycle, in seconds. Leave blank if not observed. Enter a number from 0 to 86,400." sqref="E6:E515">
      <formula1>0</formula1>
      <formula2>86400</formula2>
    </dataValidation>
    <dataValidation type="decimal" allowBlank="1" showInputMessage="1" showErrorMessage="1" errorTitle="Check this entry" error="Enter a number from 0 to 86,400." promptTitle="Obs 2 (s)" prompt="Stopwatch reading for this element in this cycle, in seconds. Leave blank if not observed. Enter a number from 0 to 86,400." sqref="F6:F515">
      <formula1>0</formula1>
      <formula2>86400</formula2>
    </dataValidation>
    <dataValidation type="decimal" allowBlank="1" showInputMessage="1" showErrorMessage="1" errorTitle="Check this entry" error="Enter a number from 0 to 86,400." promptTitle="Obs 3 (s)" prompt="Stopwatch reading for this element in this cycle, in seconds. Leave blank if not observed. Enter a number from 0 to 86,400." sqref="G6:G515">
      <formula1>0</formula1>
      <formula2>86400</formula2>
    </dataValidation>
    <dataValidation type="decimal" allowBlank="1" showInputMessage="1" showErrorMessage="1" errorTitle="Check this entry" error="Enter a number from 0 to 86,400." promptTitle="Obs 4 (s)" prompt="Stopwatch reading for this element in this cycle, in seconds. Leave blank if not observed. Enter a number from 0 to 86,400." sqref="H6:H515">
      <formula1>0</formula1>
      <formula2>86400</formula2>
    </dataValidation>
    <dataValidation type="decimal" allowBlank="1" showInputMessage="1" showErrorMessage="1" errorTitle="Check this entry" error="Enter a number from 0 to 86,400." promptTitle="Obs 5 (s)" prompt="Stopwatch reading for this element in this cycle, in seconds. Leave blank if not observed. Enter a number from 0 to 86,400." sqref="I6:I515">
      <formula1>0</formula1>
      <formula2>86400</formula2>
    </dataValidation>
    <dataValidation type="decimal" allowBlank="1" showInputMessage="1" showErrorMessage="1" errorTitle="Check this entry" error="Enter a number from 0 to 86,400." promptTitle="Obs 6 (s)" prompt="Stopwatch reading for this element in this cycle, in seconds. Leave blank if not observed. Enter a number from 0 to 86,400." sqref="J6:J515">
      <formula1>0</formula1>
      <formula2>86400</formula2>
    </dataValidation>
    <dataValidation type="decimal" allowBlank="1" showInputMessage="1" showErrorMessage="1" errorTitle="Check this entry" error="Enter a number from 0 to 86,400." promptTitle="Obs 7 (s)" prompt="Stopwatch reading for this element in this cycle, in seconds. Leave blank if not observed. Enter a number from 0 to 86,400." sqref="K6:K515">
      <formula1>0</formula1>
      <formula2>86400</formula2>
    </dataValidation>
    <dataValidation type="decimal" allowBlank="1" showInputMessage="1" showErrorMessage="1" errorTitle="Check this entry" error="Enter a number from 0 to 86,400." promptTitle="Obs 8 (s)" prompt="Stopwatch reading for this element in this cycle, in seconds. Leave blank if not observed. Enter a number from 0 to 86,400." sqref="L6:L515">
      <formula1>0</formula1>
      <formula2>86400</formula2>
    </dataValidation>
    <dataValidation type="decimal" allowBlank="1" showInputMessage="1" showErrorMessage="1" errorTitle="Check this entry" error="Enter a number from 0 to 86,400." promptTitle="Obs 9 (s)" prompt="Stopwatch reading for this element in this cycle, in seconds. Leave blank if not observed. Enter a number from 0 to 86,400." sqref="M6:M515">
      <formula1>0</formula1>
      <formula2>86400</formula2>
    </dataValidation>
    <dataValidation type="decimal" allowBlank="1" showInputMessage="1" showErrorMessage="1" errorTitle="Check this entry" error="Enter a number from 0 to 86,400." promptTitle="Obs 10 (s)" prompt="Stopwatch reading for this element in this cycle, in seconds. Leave blank if not observed. Enter a number from 0 to 86,400." sqref="N6:N515">
      <formula1>0</formula1>
      <formula2>86400</formula2>
    </dataValidation>
    <dataValidation type="decimal" allowBlank="1" showInputMessage="1" showErrorMessage="1" errorTitle="Check this entry" error="Enter a percentage from 50% to 150% (type 85% or 0.85)." promptTitle="Rating (%)" prompt="Observed pace against normal pace: 100% normal, 110% faster than normal. Ignored for machine elements. Enter a percentage from 50% to 150% (type 85% or 0.85)." sqref="O6:O515">
      <formula1>0.5</formula1>
      <formula2>1.5</formula2>
    </dataValidation>
  </dataValidations>
  <hyperlinks>
    <hyperlink ref="Y2" r:id="rId1" tooltip="Free manufacturing calculators and templates"/>
  </hyperlinks>
  <pageMargins left="0.4" right="0.4" top="0.7" bottom="0.65" header="0.3" footer="0.3"/>
  <pageSetup fitToHeight="0" orientation="landscape"/>
  <headerFooter>
    <oddHeader>&amp;L&amp;8MFG Calcs - Time Study and Standard Work&amp;R&amp;8&amp;A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V6:V515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L65"/>
  <sheetViews>
    <sheetView showGridLines="0" zoomScale="90" zoomScaleNormal="90" workbookViewId="0"/>
  </sheetViews>
  <sheetFormatPr defaultRowHeight="15" x14ac:dyDescent="0.25"/>
  <cols>
    <col min="1" max="1" width="2.7109375" customWidth="1"/>
    <col min="2" max="2" width="20.7109375" customWidth="1"/>
    <col min="3" max="12" width="10.7109375" customWidth="1"/>
  </cols>
  <sheetData>
    <row r="1" spans="1:12" ht="30" customHeight="1" x14ac:dyDescent="0.25">
      <c r="A1" s="1" t="s">
        <v>0</v>
      </c>
      <c r="B1" s="1"/>
      <c r="C1" s="1"/>
      <c r="D1" s="1"/>
      <c r="E1" s="1"/>
      <c r="F1" s="1"/>
      <c r="G1" s="1"/>
      <c r="H1" s="1"/>
      <c r="I1" s="1"/>
      <c r="J1" s="1"/>
      <c r="K1" s="1"/>
      <c r="L1" s="1"/>
    </row>
    <row r="2" spans="1:12" ht="21" customHeight="1" x14ac:dyDescent="0.25">
      <c r="B2" s="2" t="s">
        <v>24</v>
      </c>
      <c r="C2" s="2"/>
      <c r="D2" s="2"/>
      <c r="E2" s="2"/>
      <c r="F2" s="2"/>
      <c r="G2" s="2"/>
      <c r="H2" s="2"/>
      <c r="I2" s="2"/>
      <c r="J2" s="2"/>
      <c r="K2" s="3" t="s">
        <v>2</v>
      </c>
      <c r="L2" s="3"/>
    </row>
    <row r="3" spans="1:12" ht="6" customHeight="1" x14ac:dyDescent="0.25"/>
    <row r="4" spans="1:12" x14ac:dyDescent="0.25">
      <c r="B4" s="42" t="str">
        <f>OpName&amp;". Analyst: "&amp;Analyst&amp;". Takt "&amp;ROUND(Takt,1)&amp;" s from "&amp;AvailMin&amp;" min and "&amp;Demand&amp;" units per shift."</f>
        <v>Valve cartridge assembly and leak test, station 3 (example). Analyst: R. Osei (example). Takt 45 s from 450 min and 600 units per shift.</v>
      </c>
      <c r="C4" s="42"/>
      <c r="D4" s="42"/>
      <c r="E4" s="42"/>
      <c r="F4" s="42"/>
      <c r="G4" s="42"/>
      <c r="H4" s="42"/>
      <c r="I4" s="42"/>
      <c r="J4" s="42"/>
      <c r="K4" s="42"/>
      <c r="L4" s="42"/>
    </row>
    <row r="6" spans="1:12" ht="18" customHeight="1" x14ac:dyDescent="0.25">
      <c r="B6" s="43" t="s">
        <v>115</v>
      </c>
      <c r="C6" s="43"/>
      <c r="D6" s="43" t="s">
        <v>116</v>
      </c>
      <c r="E6" s="43"/>
      <c r="F6" s="43"/>
      <c r="G6" s="43" t="s">
        <v>117</v>
      </c>
      <c r="H6" s="43"/>
      <c r="I6" s="43"/>
      <c r="J6" s="43" t="s">
        <v>118</v>
      </c>
      <c r="K6" s="43"/>
      <c r="L6" s="43"/>
    </row>
    <row r="7" spans="1:12" ht="21" customHeight="1" x14ac:dyDescent="0.25">
      <c r="B7" s="44">
        <f>IF(COUNT(tblElements[Standard (s)])=0,"",SUM(tblElements[Standard (s)]))</f>
        <v>47.1952</v>
      </c>
      <c r="C7" s="44"/>
      <c r="D7" s="45">
        <f>IF(COUNT(tblElements[Standard (s)])=0,"",Takt-SUM(tblElements[Standard (s)]))</f>
        <v>-2.1952</v>
      </c>
      <c r="E7" s="45"/>
      <c r="F7" s="45"/>
      <c r="G7" s="46">
        <f>IF((Takt)=0,"",(SUMIFS(tblElements[Standard (s)],tblElements[Type],"Manual")+SUMIFS(tblElements[Standard (s)],tblElements[Type],"Walk"))/(Takt))</f>
        <v>0.781448888888889</v>
      </c>
      <c r="H7" s="46"/>
      <c r="I7" s="46"/>
      <c r="J7" s="47">
        <f>IF(COUNT(tblElements[Standard (s)])=0,"",SUM(tblElements[Standard (s)])/60)</f>
        <v>0.786586666666667</v>
      </c>
      <c r="K7" s="47"/>
      <c r="L7" s="47"/>
    </row>
    <row r="8" spans="1:12" ht="21" customHeight="1" x14ac:dyDescent="0.25">
      <c r="B8" s="44"/>
      <c r="C8" s="44"/>
      <c r="D8" s="45"/>
      <c r="E8" s="45"/>
      <c r="F8" s="45"/>
      <c r="G8" s="46"/>
      <c r="H8" s="46"/>
      <c r="I8" s="46"/>
      <c r="J8" s="47"/>
      <c r="K8" s="47"/>
      <c r="L8" s="47"/>
    </row>
    <row r="9" spans="1:12" x14ac:dyDescent="0.25">
      <c r="B9" s="48">
        <f>Takt</f>
        <v>45</v>
      </c>
      <c r="C9" s="48"/>
      <c r="D9" s="49" t="s">
        <v>119</v>
      </c>
      <c r="E9" s="49"/>
      <c r="F9" s="49"/>
      <c r="G9" s="49" t="s">
        <v>120</v>
      </c>
      <c r="H9" s="49"/>
      <c r="I9" s="49"/>
      <c r="J9" s="49" t="s">
        <v>121</v>
      </c>
      <c r="K9" s="49"/>
      <c r="L9" s="49"/>
    </row>
    <row r="10" spans="1:12" ht="18" customHeight="1" x14ac:dyDescent="0.25">
      <c r="B10" s="50" t="str">
        <f>IF(NOT(ISNUMBER(KpiCycle)),"No data",IF(KpiCycle&lt;=(Takt),"On target",IF(KpiCycle&lt;=(Takt)*(1+0.05),"Near target","Above target")))</f>
        <v>Near target</v>
      </c>
      <c r="C10" s="50"/>
      <c r="D10" s="50"/>
      <c r="E10" s="50"/>
      <c r="F10" s="50"/>
      <c r="G10" s="50"/>
      <c r="H10" s="50"/>
      <c r="I10" s="50"/>
      <c r="J10" s="50"/>
      <c r="K10" s="50"/>
      <c r="L10" s="50"/>
    </row>
    <row r="28" spans="2:12" x14ac:dyDescent="0.25">
      <c r="B28" s="42" t="s">
        <v>122</v>
      </c>
      <c r="C28" s="42"/>
      <c r="D28" s="42"/>
      <c r="E28" s="42"/>
      <c r="F28" s="42"/>
      <c r="G28" s="42"/>
      <c r="H28" s="42" t="s">
        <v>123</v>
      </c>
      <c r="I28" s="42"/>
      <c r="J28" s="42"/>
      <c r="K28" s="42"/>
      <c r="L28" s="42"/>
    </row>
    <row r="30" spans="2:12" x14ac:dyDescent="0.25">
      <c r="B30" s="51" t="s">
        <v>124</v>
      </c>
      <c r="C30" s="51"/>
      <c r="D30" s="51"/>
      <c r="E30" s="51"/>
      <c r="F30" s="51"/>
      <c r="G30" s="51"/>
    </row>
    <row r="31" spans="2:12" ht="32" customHeight="1" x14ac:dyDescent="0.25">
      <c r="B31" s="52" t="s">
        <v>125</v>
      </c>
      <c r="C31" s="34" t="s">
        <v>126</v>
      </c>
      <c r="D31" s="34" t="s">
        <v>127</v>
      </c>
      <c r="E31" s="34" t="s">
        <v>95</v>
      </c>
      <c r="F31" s="34" t="s">
        <v>97</v>
      </c>
      <c r="G31" s="34" t="s">
        <v>128</v>
      </c>
    </row>
    <row r="32" spans="2:12" x14ac:dyDescent="0.25">
      <c r="B32" s="53" t="s">
        <v>103</v>
      </c>
      <c r="C32" s="37">
        <f>COUNTIFS(tblElements[Type],$B$32)</f>
        <v>7</v>
      </c>
      <c r="D32" s="39">
        <f>SUMIFS(tblElements[Mean (s)],tblElements[Type],$B$32)</f>
        <v>26.04</v>
      </c>
      <c r="E32" s="39">
        <f>SUMIFS(tblElements[Normal (s)],tblElements[Type],$B$32)</f>
        <v>26.0075</v>
      </c>
      <c r="F32" s="39">
        <f>SUMIFS(tblElements[Standard (s)],tblElements[Type],$B$32)</f>
        <v>29.1284</v>
      </c>
      <c r="G32" s="40">
        <f>IF((SUM(tblElements[Standard (s)]))=0,"",($F$32)/(SUM(tblElements[Standard (s)])))</f>
        <v>0.617189883716988</v>
      </c>
    </row>
    <row r="33" spans="2:7" x14ac:dyDescent="0.25">
      <c r="B33" s="53" t="s">
        <v>110</v>
      </c>
      <c r="C33" s="37">
        <f>COUNTIFS(tblElements[Type],$B$33)</f>
        <v>1</v>
      </c>
      <c r="D33" s="39">
        <f>SUMIFS(tblElements[Mean (s)],tblElements[Type],$B$33)</f>
        <v>12.03</v>
      </c>
      <c r="E33" s="39">
        <f>SUMIFS(tblElements[Normal (s)],tblElements[Type],$B$33)</f>
        <v>12.03</v>
      </c>
      <c r="F33" s="39">
        <f>SUMIFS(tblElements[Standard (s)],tblElements[Type],$B$33)</f>
        <v>12.03</v>
      </c>
      <c r="G33" s="40">
        <f>IF((SUM(tblElements[Standard (s)]))=0,"",($F$33)/(SUM(tblElements[Standard (s)])))</f>
        <v>0.254898803268129</v>
      </c>
    </row>
    <row r="34" spans="2:7" x14ac:dyDescent="0.25">
      <c r="B34" s="53" t="s">
        <v>107</v>
      </c>
      <c r="C34" s="37">
        <f>COUNTIFS(tblElements[Type],$B$34)</f>
        <v>2</v>
      </c>
      <c r="D34" s="39">
        <f>SUMIFS(tblElements[Mean (s)],tblElements[Type],$B$34)</f>
        <v>5.39</v>
      </c>
      <c r="E34" s="39">
        <f>SUMIFS(tblElements[Normal (s)],tblElements[Type],$B$34)</f>
        <v>5.39</v>
      </c>
      <c r="F34" s="39">
        <f>SUMIFS(tblElements[Standard (s)],tblElements[Type],$B$34)</f>
        <v>6.0368</v>
      </c>
      <c r="G34" s="40">
        <f>IF((SUM(tblElements[Standard (s)]))=0,"",($F$34)/(SUM(tblElements[Standard (s)])))</f>
        <v>0.127911313014883</v>
      </c>
    </row>
    <row r="36" spans="2:7" x14ac:dyDescent="0.25">
      <c r="B36" s="51" t="s">
        <v>129</v>
      </c>
      <c r="C36" s="51"/>
      <c r="D36" s="51"/>
      <c r="E36" s="51"/>
      <c r="F36" s="51"/>
    </row>
    <row r="37" spans="2:7" ht="32" customHeight="1" x14ac:dyDescent="0.25">
      <c r="B37" s="52" t="s">
        <v>130</v>
      </c>
      <c r="C37" s="34" t="s">
        <v>131</v>
      </c>
      <c r="D37" s="34" t="s">
        <v>132</v>
      </c>
      <c r="E37" s="34" t="s">
        <v>133</v>
      </c>
      <c r="F37" s="34" t="s">
        <v>134</v>
      </c>
    </row>
    <row r="38" spans="2:7" x14ac:dyDescent="0.25">
      <c r="B38" s="54">
        <v>1</v>
      </c>
      <c r="C38" s="39">
        <f>IF(COUNT(tblElements[Obs 1 (s)])=0,"",SUM(tblElements[Obs 1 (s)]))</f>
        <v>43.6</v>
      </c>
      <c r="D38" s="37">
        <f>COUNT(tblElements[Obs 1 (s)])</f>
        <v>10</v>
      </c>
      <c r="E38" s="55">
        <f>Takt</f>
        <v>45</v>
      </c>
      <c r="F38" s="55">
        <f>IF(COUNT(tblElements[Standard (s)])=0,"",SUM(tblElements[Standard (s)]))</f>
        <v>47.1952</v>
      </c>
    </row>
    <row r="39" spans="2:7" x14ac:dyDescent="0.25">
      <c r="B39" s="54">
        <f>$B$38+1</f>
        <v>2</v>
      </c>
      <c r="C39" s="39">
        <f>IF(COUNT(tblElements[Obs 2 (s)])=0,"",SUM(tblElements[Obs 2 (s)]))</f>
        <v>43.2</v>
      </c>
      <c r="D39" s="37">
        <f>COUNT(tblElements[Obs 2 (s)])</f>
        <v>10</v>
      </c>
      <c r="E39" s="55">
        <f>Takt</f>
        <v>45</v>
      </c>
      <c r="F39" s="55">
        <f>IF(COUNT(tblElements[Standard (s)])=0,"",SUM(tblElements[Standard (s)]))</f>
        <v>47.1952</v>
      </c>
    </row>
    <row r="40" spans="2:7" x14ac:dyDescent="0.25">
      <c r="B40" s="54">
        <f>$B$39+1</f>
        <v>3</v>
      </c>
      <c r="C40" s="39">
        <f>IF(COUNT(tblElements[Obs 3 (s)])=0,"",SUM(tblElements[Obs 3 (s)]))</f>
        <v>42.9</v>
      </c>
      <c r="D40" s="37">
        <f>COUNT(tblElements[Obs 3 (s)])</f>
        <v>10</v>
      </c>
      <c r="E40" s="55">
        <f>Takt</f>
        <v>45</v>
      </c>
      <c r="F40" s="55">
        <f>IF(COUNT(tblElements[Standard (s)])=0,"",SUM(tblElements[Standard (s)]))</f>
        <v>47.1952</v>
      </c>
    </row>
    <row r="41" spans="2:7" x14ac:dyDescent="0.25">
      <c r="B41" s="54">
        <f>$B$40+1</f>
        <v>4</v>
      </c>
      <c r="C41" s="39">
        <f>IF(COUNT(tblElements[Obs 4 (s)])=0,"",SUM(tblElements[Obs 4 (s)]))</f>
        <v>43.4</v>
      </c>
      <c r="D41" s="37">
        <f>COUNT(tblElements[Obs 4 (s)])</f>
        <v>10</v>
      </c>
      <c r="E41" s="55">
        <f>Takt</f>
        <v>45</v>
      </c>
      <c r="F41" s="55">
        <f>IF(COUNT(tblElements[Standard (s)])=0,"",SUM(tblElements[Standard (s)]))</f>
        <v>47.1952</v>
      </c>
    </row>
    <row r="42" spans="2:7" x14ac:dyDescent="0.25">
      <c r="B42" s="54">
        <f>$B$41+1</f>
        <v>5</v>
      </c>
      <c r="C42" s="39">
        <f>IF(COUNT(tblElements[Obs 5 (s)])=0,"",SUM(tblElements[Obs 5 (s)]))</f>
        <v>43.7</v>
      </c>
      <c r="D42" s="37">
        <f>COUNT(tblElements[Obs 5 (s)])</f>
        <v>10</v>
      </c>
      <c r="E42" s="55">
        <f>Takt</f>
        <v>45</v>
      </c>
      <c r="F42" s="55">
        <f>IF(COUNT(tblElements[Standard (s)])=0,"",SUM(tblElements[Standard (s)]))</f>
        <v>47.1952</v>
      </c>
    </row>
    <row r="43" spans="2:7" x14ac:dyDescent="0.25">
      <c r="B43" s="54">
        <f>$B$42+1</f>
        <v>6</v>
      </c>
      <c r="C43" s="39">
        <f>IF(COUNT(tblElements[Obs 6 (s)])=0,"",SUM(tblElements[Obs 6 (s)]))</f>
        <v>43.6</v>
      </c>
      <c r="D43" s="37">
        <f>COUNT(tblElements[Obs 6 (s)])</f>
        <v>10</v>
      </c>
      <c r="E43" s="55">
        <f>Takt</f>
        <v>45</v>
      </c>
      <c r="F43" s="55">
        <f>IF(COUNT(tblElements[Standard (s)])=0,"",SUM(tblElements[Standard (s)]))</f>
        <v>47.1952</v>
      </c>
    </row>
    <row r="44" spans="2:7" x14ac:dyDescent="0.25">
      <c r="B44" s="54">
        <f>$B$43+1</f>
        <v>7</v>
      </c>
      <c r="C44" s="39">
        <f>IF(COUNT(tblElements[Obs 7 (s)])=0,"",SUM(tblElements[Obs 7 (s)]))</f>
        <v>42.5</v>
      </c>
      <c r="D44" s="37">
        <f>COUNT(tblElements[Obs 7 (s)])</f>
        <v>10</v>
      </c>
      <c r="E44" s="55">
        <f>Takt</f>
        <v>45</v>
      </c>
      <c r="F44" s="55">
        <f>IF(COUNT(tblElements[Standard (s)])=0,"",SUM(tblElements[Standard (s)]))</f>
        <v>47.1952</v>
      </c>
    </row>
    <row r="45" spans="2:7" x14ac:dyDescent="0.25">
      <c r="B45" s="54">
        <f>$B$44+1</f>
        <v>8</v>
      </c>
      <c r="C45" s="39">
        <f>IF(COUNT(tblElements[Obs 8 (s)])=0,"",SUM(tblElements[Obs 8 (s)]))</f>
        <v>43.8</v>
      </c>
      <c r="D45" s="37">
        <f>COUNT(tblElements[Obs 8 (s)])</f>
        <v>10</v>
      </c>
      <c r="E45" s="55">
        <f>Takt</f>
        <v>45</v>
      </c>
      <c r="F45" s="55">
        <f>IF(COUNT(tblElements[Standard (s)])=0,"",SUM(tblElements[Standard (s)]))</f>
        <v>47.1952</v>
      </c>
    </row>
    <row r="46" spans="2:7" x14ac:dyDescent="0.25">
      <c r="B46" s="54">
        <f>$B$45+1</f>
        <v>9</v>
      </c>
      <c r="C46" s="39">
        <f>IF(COUNT(tblElements[Obs 9 (s)])=0,"",SUM(tblElements[Obs 9 (s)]))</f>
        <v>43.8</v>
      </c>
      <c r="D46" s="37">
        <f>COUNT(tblElements[Obs 9 (s)])</f>
        <v>10</v>
      </c>
      <c r="E46" s="55">
        <f>Takt</f>
        <v>45</v>
      </c>
      <c r="F46" s="55">
        <f>IF(COUNT(tblElements[Standard (s)])=0,"",SUM(tblElements[Standard (s)]))</f>
        <v>47.1952</v>
      </c>
    </row>
    <row r="47" spans="2:7" x14ac:dyDescent="0.25">
      <c r="B47" s="54">
        <f>$B$46+1</f>
        <v>10</v>
      </c>
      <c r="C47" s="39">
        <f>IF(COUNT(tblElements[Obs 10 (s)])=0,"",SUM(tblElements[Obs 10 (s)]))</f>
        <v>44.1</v>
      </c>
      <c r="D47" s="37">
        <f>COUNT(tblElements[Obs 10 (s)])</f>
        <v>10</v>
      </c>
      <c r="E47" s="55">
        <f>Takt</f>
        <v>45</v>
      </c>
      <c r="F47" s="55">
        <f>IF(COUNT(tblElements[Standard (s)])=0,"",SUM(tblElements[Standard (s)]))</f>
        <v>47.1952</v>
      </c>
    </row>
    <row r="49" spans="2:12" x14ac:dyDescent="0.25">
      <c r="B49" s="51" t="s">
        <v>135</v>
      </c>
      <c r="C49" s="51"/>
      <c r="D49" s="51"/>
      <c r="E49" s="51"/>
      <c r="F49" s="51"/>
      <c r="G49" s="51"/>
      <c r="H49" s="51"/>
      <c r="I49" s="51"/>
      <c r="J49" s="51"/>
      <c r="K49" s="51"/>
    </row>
    <row r="50" spans="2:12" ht="20" customHeight="1" x14ac:dyDescent="0.25">
      <c r="B50" s="52" t="s">
        <v>136</v>
      </c>
      <c r="C50" s="34" t="s">
        <v>98</v>
      </c>
      <c r="D50" s="34" t="s">
        <v>137</v>
      </c>
      <c r="E50" s="34" t="s">
        <v>138</v>
      </c>
      <c r="F50" s="34" t="s">
        <v>139</v>
      </c>
      <c r="G50" s="34" t="s">
        <v>140</v>
      </c>
      <c r="H50" s="34" t="s">
        <v>79</v>
      </c>
      <c r="I50" s="34" t="s">
        <v>100</v>
      </c>
      <c r="J50" s="34"/>
      <c r="K50" s="34"/>
    </row>
    <row r="51" spans="2:12" x14ac:dyDescent="0.25">
      <c r="B51" s="53" t="str">
        <f>IFERROR(INDEX(tblElements[Element],1)&amp;"","")</f>
        <v>Pick housing and O-ring</v>
      </c>
      <c r="C51" s="39">
        <f>IF($B$51="","",INDEX(tblElements[Start (s)],1))</f>
        <v>0</v>
      </c>
      <c r="D51" s="38">
        <f>IF($B$51="","",IF(INDEX(tblElements[Type],1)="Manual",N(INDEX(tblElements[Standard (s)],1)),0))</f>
        <v>3.6288</v>
      </c>
      <c r="E51" s="38">
        <f>IF($B$51="","",IF(INDEX(tblElements[Type],1)="Machine",N(INDEX(tblElements[Standard (s)],1)),0))</f>
        <v>0</v>
      </c>
      <c r="F51" s="38">
        <f>IF($B$51="","",IF(INDEX(tblElements[Type],1)="Walk",N(INDEX(tblElements[Standard (s)],1)),0))</f>
        <v>0</v>
      </c>
      <c r="G51" s="39">
        <f>IF($B$51="","",$C$51+$D$51+$E$51+$F$51)</f>
        <v>3.6288</v>
      </c>
      <c r="H51" s="56" t="str">
        <f>IF($B$51="","",INDEX(tblElements[Type],1))</f>
        <v>Manual</v>
      </c>
      <c r="I51" s="56" t="str">
        <f>IF($B$51="","",INDEX(tblElements[Check],1))</f>
        <v>OK</v>
      </c>
      <c r="J51" s="56"/>
      <c r="K51" s="56"/>
    </row>
    <row r="52" spans="2:12" x14ac:dyDescent="0.25">
      <c r="B52" s="53" t="str">
        <f>IFERROR(INDEX(tblElements[Element],2)&amp;"","")</f>
        <v>Fit O-ring</v>
      </c>
      <c r="C52" s="39">
        <f>IF($B$52="","",INDEX(tblElements[Start (s)],2))</f>
        <v>3.6288</v>
      </c>
      <c r="D52" s="38">
        <f>IF($B$52="","",IF(INDEX(tblElements[Type],2)="Manual",N(INDEX(tblElements[Standard (s)],2)),0))</f>
        <v>5.03272</v>
      </c>
      <c r="E52" s="38">
        <f>IF($B$52="","",IF(INDEX(tblElements[Type],2)="Machine",N(INDEX(tblElements[Standard (s)],2)),0))</f>
        <v>0</v>
      </c>
      <c r="F52" s="38">
        <f>IF($B$52="","",IF(INDEX(tblElements[Type],2)="Walk",N(INDEX(tblElements[Standard (s)],2)),0))</f>
        <v>0</v>
      </c>
      <c r="G52" s="39">
        <f>IF($B$52="","",$C$52+$D$52+$E$52+$F$52)</f>
        <v>8.66152</v>
      </c>
      <c r="H52" s="56" t="str">
        <f>IF($B$52="","",INDEX(tblElements[Type],2))</f>
        <v>Manual</v>
      </c>
      <c r="I52" s="56" t="str">
        <f>IF($B$52="","",INDEX(tblElements[Check],2))</f>
        <v>OK</v>
      </c>
      <c r="J52" s="56"/>
      <c r="K52" s="56"/>
    </row>
    <row r="53" spans="2:12" x14ac:dyDescent="0.25">
      <c r="B53" s="53" t="str">
        <f>IFERROR(INDEX(tblElements[Element],3)&amp;"","")</f>
        <v>Press in spool</v>
      </c>
      <c r="C53" s="39">
        <f>IF($B$53="","",INDEX(tblElements[Start (s)],3))</f>
        <v>8.66152</v>
      </c>
      <c r="D53" s="38">
        <f>IF($B$53="","",IF(INDEX(tblElements[Type],3)="Manual",N(INDEX(tblElements[Standard (s)],3)),0))</f>
        <v>6.57384</v>
      </c>
      <c r="E53" s="38">
        <f>IF($B$53="","",IF(INDEX(tblElements[Type],3)="Machine",N(INDEX(tblElements[Standard (s)],3)),0))</f>
        <v>0</v>
      </c>
      <c r="F53" s="38">
        <f>IF($B$53="","",IF(INDEX(tblElements[Type],3)="Walk",N(INDEX(tblElements[Standard (s)],3)),0))</f>
        <v>0</v>
      </c>
      <c r="G53" s="39">
        <f>IF($B$53="","",$C$53+$D$53+$E$53+$F$53)</f>
        <v>15.23536</v>
      </c>
      <c r="H53" s="56" t="str">
        <f>IF($B$53="","",INDEX(tblElements[Type],3))</f>
        <v>Manual</v>
      </c>
      <c r="I53" s="56" t="str">
        <f>IF($B$53="","",INDEX(tblElements[Check],3))</f>
        <v>OK</v>
      </c>
      <c r="J53" s="56"/>
      <c r="K53" s="56"/>
    </row>
    <row r="54" spans="2:12" x14ac:dyDescent="0.25">
      <c r="B54" s="53" t="str">
        <f>IFERROR(INDEX(tblElements[Element],4)&amp;"","")</f>
        <v>Walk to tester (2 m)</v>
      </c>
      <c r="C54" s="39">
        <f>IF($B$54="","",INDEX(tblElements[Start (s)],4))</f>
        <v>15.23536</v>
      </c>
      <c r="D54" s="38">
        <f>IF($B$54="","",IF(INDEX(tblElements[Type],4)="Manual",N(INDEX(tblElements[Standard (s)],4)),0))</f>
        <v>0</v>
      </c>
      <c r="E54" s="38">
        <f>IF($B$54="","",IF(INDEX(tblElements[Type],4)="Machine",N(INDEX(tblElements[Standard (s)],4)),0))</f>
        <v>0</v>
      </c>
      <c r="F54" s="38">
        <f>IF($B$54="","",IF(INDEX(tblElements[Type],4)="Walk",N(INDEX(tblElements[Standard (s)],4)),0))</f>
        <v>2.6208</v>
      </c>
      <c r="G54" s="39">
        <f>IF($B$54="","",$C$54+$D$54+$E$54+$F$54)</f>
        <v>17.85616</v>
      </c>
      <c r="H54" s="56" t="str">
        <f>IF($B$54="","",INDEX(tblElements[Type],4))</f>
        <v>Walk</v>
      </c>
      <c r="I54" s="56" t="str">
        <f>IF($B$54="","",INDEX(tblElements[Check],4))</f>
        <v>OK</v>
      </c>
      <c r="J54" s="56"/>
      <c r="K54" s="56"/>
    </row>
    <row r="55" spans="2:12" x14ac:dyDescent="0.25">
      <c r="B55" s="53" t="str">
        <f>IFERROR(INDEX(tblElements[Element],5)&amp;"","")</f>
        <v>Load, start leak test</v>
      </c>
      <c r="C55" s="39">
        <f>IF($B$55="","",INDEX(tblElements[Start (s)],5))</f>
        <v>17.85616</v>
      </c>
      <c r="D55" s="38">
        <f>IF($B$55="","",IF(INDEX(tblElements[Type],5)="Manual",N(INDEX(tblElements[Standard (s)],5)),0))</f>
        <v>3.3264</v>
      </c>
      <c r="E55" s="38">
        <f>IF($B$55="","",IF(INDEX(tblElements[Type],5)="Machine",N(INDEX(tblElements[Standard (s)],5)),0))</f>
        <v>0</v>
      </c>
      <c r="F55" s="38">
        <f>IF($B$55="","",IF(INDEX(tblElements[Type],5)="Walk",N(INDEX(tblElements[Standard (s)],5)),0))</f>
        <v>0</v>
      </c>
      <c r="G55" s="39">
        <f>IF($B$55="","",$C$55+$D$55+$E$55+$F$55)</f>
        <v>21.18256</v>
      </c>
      <c r="H55" s="56" t="str">
        <f>IF($B$55="","",INDEX(tblElements[Type],5))</f>
        <v>Manual</v>
      </c>
      <c r="I55" s="56" t="str">
        <f>IF($B$55="","",INDEX(tblElements[Check],5))</f>
        <v>OK</v>
      </c>
      <c r="J55" s="56"/>
      <c r="K55" s="56"/>
    </row>
    <row r="56" spans="2:12" x14ac:dyDescent="0.25">
      <c r="B56" s="53" t="str">
        <f>IFERROR(INDEX(tblElements[Element],6)&amp;"","")</f>
        <v>Leak test (automatic)</v>
      </c>
      <c r="C56" s="39">
        <f>IF($B$56="","",INDEX(tblElements[Start (s)],6))</f>
        <v>21.18256</v>
      </c>
      <c r="D56" s="38">
        <f>IF($B$56="","",IF(INDEX(tblElements[Type],6)="Manual",N(INDEX(tblElements[Standard (s)],6)),0))</f>
        <v>0</v>
      </c>
      <c r="E56" s="38">
        <f>IF($B$56="","",IF(INDEX(tblElements[Type],6)="Machine",N(INDEX(tblElements[Standard (s)],6)),0))</f>
        <v>12.03</v>
      </c>
      <c r="F56" s="38">
        <f>IF($B$56="","",IF(INDEX(tblElements[Type],6)="Walk",N(INDEX(tblElements[Standard (s)],6)),0))</f>
        <v>0</v>
      </c>
      <c r="G56" s="39">
        <f>IF($B$56="","",$C$56+$D$56+$E$56+$F$56)</f>
        <v>33.21256</v>
      </c>
      <c r="H56" s="56" t="str">
        <f>IF($B$56="","",INDEX(tblElements[Type],6))</f>
        <v>Machine</v>
      </c>
      <c r="I56" s="56" t="str">
        <f>IF($B$56="","",INDEX(tblElements[Check],6))</f>
        <v>OK</v>
      </c>
      <c r="J56" s="56"/>
      <c r="K56" s="56"/>
    </row>
    <row r="57" spans="2:12" x14ac:dyDescent="0.25">
      <c r="B57" s="53" t="str">
        <f>IFERROR(INDEX(tblElements[Element],7)&amp;"","")</f>
        <v>Unload, read result</v>
      </c>
      <c r="C57" s="39">
        <f>IF($B$57="","",INDEX(tblElements[Start (s)],7))</f>
        <v>33.21256</v>
      </c>
      <c r="D57" s="38">
        <f>IF($B$57="","",IF(INDEX(tblElements[Type],7)="Manual",N(INDEX(tblElements[Standard (s)],7)),0))</f>
        <v>3.09288</v>
      </c>
      <c r="E57" s="38">
        <f>IF($B$57="","",IF(INDEX(tblElements[Type],7)="Machine",N(INDEX(tblElements[Standard (s)],7)),0))</f>
        <v>0</v>
      </c>
      <c r="F57" s="38">
        <f>IF($B$57="","",IF(INDEX(tblElements[Type],7)="Walk",N(INDEX(tblElements[Standard (s)],7)),0))</f>
        <v>0</v>
      </c>
      <c r="G57" s="39">
        <f>IF($B$57="","",$C$57+$D$57+$E$57+$F$57)</f>
        <v>36.30544</v>
      </c>
      <c r="H57" s="56" t="str">
        <f>IF($B$57="","",INDEX(tblElements[Type],7))</f>
        <v>Manual</v>
      </c>
      <c r="I57" s="56" t="str">
        <f>IF($B$57="","",INDEX(tblElements[Check],7))</f>
        <v>OK</v>
      </c>
      <c r="J57" s="56"/>
      <c r="K57" s="56"/>
    </row>
    <row r="58" spans="2:12" x14ac:dyDescent="0.25">
      <c r="B58" s="53" t="str">
        <f>IFERROR(INDEX(tblElements[Element],8)&amp;"","")</f>
        <v>Fit cap, apply label</v>
      </c>
      <c r="C58" s="39">
        <f>IF($B$58="","",INDEX(tblElements[Start (s)],8))</f>
        <v>36.30544</v>
      </c>
      <c r="D58" s="38">
        <f>IF($B$58="","",IF(INDEX(tblElements[Type],8)="Manual",N(INDEX(tblElements[Standard (s)],8)),0))</f>
        <v>4.40496</v>
      </c>
      <c r="E58" s="38">
        <f>IF($B$58="","",IF(INDEX(tblElements[Type],8)="Machine",N(INDEX(tblElements[Standard (s)],8)),0))</f>
        <v>0</v>
      </c>
      <c r="F58" s="38">
        <f>IF($B$58="","",IF(INDEX(tblElements[Type],8)="Walk",N(INDEX(tblElements[Standard (s)],8)),0))</f>
        <v>0</v>
      </c>
      <c r="G58" s="39">
        <f>IF($B$58="","",$C$58+$D$58+$E$58+$F$58)</f>
        <v>40.7104</v>
      </c>
      <c r="H58" s="56" t="str">
        <f>IF($B$58="","",INDEX(tblElements[Type],8))</f>
        <v>Manual</v>
      </c>
      <c r="I58" s="56" t="str">
        <f>IF($B$58="","",INDEX(tblElements[Check],8))</f>
        <v>OK</v>
      </c>
      <c r="J58" s="56"/>
      <c r="K58" s="56"/>
    </row>
    <row r="59" spans="2:12" x14ac:dyDescent="0.25">
      <c r="B59" s="53" t="str">
        <f>IFERROR(INDEX(tblElements[Element],9)&amp;"","")</f>
        <v>Tote and scan label</v>
      </c>
      <c r="C59" s="39">
        <f>IF($B$59="","",INDEX(tblElements[Start (s)],9))</f>
        <v>40.7104</v>
      </c>
      <c r="D59" s="38">
        <f>IF($B$59="","",IF(INDEX(tblElements[Type],9)="Manual",N(INDEX(tblElements[Standard (s)],9)),0))</f>
        <v>3.0688</v>
      </c>
      <c r="E59" s="38">
        <f>IF($B$59="","",IF(INDEX(tblElements[Type],9)="Machine",N(INDEX(tblElements[Standard (s)],9)),0))</f>
        <v>0</v>
      </c>
      <c r="F59" s="38">
        <f>IF($B$59="","",IF(INDEX(tblElements[Type],9)="Walk",N(INDEX(tblElements[Standard (s)],9)),0))</f>
        <v>0</v>
      </c>
      <c r="G59" s="39">
        <f>IF($B$59="","",$C$59+$D$59+$E$59+$F$59)</f>
        <v>43.7792</v>
      </c>
      <c r="H59" s="56" t="str">
        <f>IF($B$59="","",INDEX(tblElements[Type],9))</f>
        <v>Manual</v>
      </c>
      <c r="I59" s="56" t="str">
        <f>IF($B$59="","",INDEX(tblElements[Check],9))</f>
        <v>OK</v>
      </c>
      <c r="J59" s="56"/>
      <c r="K59" s="56"/>
    </row>
    <row r="60" spans="2:12" x14ac:dyDescent="0.25">
      <c r="B60" s="53" t="str">
        <f>IFERROR(INDEX(tblElements[Element],10)&amp;"","")</f>
        <v>Walk back (3 m)</v>
      </c>
      <c r="C60" s="39">
        <f>IF($B$60="","",INDEX(tblElements[Start (s)],10))</f>
        <v>43.7792</v>
      </c>
      <c r="D60" s="38">
        <f>IF($B$60="","",IF(INDEX(tblElements[Type],10)="Manual",N(INDEX(tblElements[Standard (s)],10)),0))</f>
        <v>0</v>
      </c>
      <c r="E60" s="38">
        <f>IF($B$60="","",IF(INDEX(tblElements[Type],10)="Machine",N(INDEX(tblElements[Standard (s)],10)),0))</f>
        <v>0</v>
      </c>
      <c r="F60" s="38">
        <f>IF($B$60="","",IF(INDEX(tblElements[Type],10)="Walk",N(INDEX(tblElements[Standard (s)],10)),0))</f>
        <v>3.416</v>
      </c>
      <c r="G60" s="39">
        <f>IF($B$60="","",$C$60+$D$60+$E$60+$F$60)</f>
        <v>47.1952</v>
      </c>
      <c r="H60" s="56" t="str">
        <f>IF($B$60="","",INDEX(tblElements[Type],10))</f>
        <v>Walk</v>
      </c>
      <c r="I60" s="56" t="str">
        <f>IF($B$60="","",INDEX(tblElements[Check],10))</f>
        <v>OK</v>
      </c>
      <c r="J60" s="56"/>
      <c r="K60" s="56"/>
    </row>
    <row r="61" spans="2:12" x14ac:dyDescent="0.25">
      <c r="B61" s="53">
        <f>IFERROR(INDEX(tblElements[Element],11)&amp;"","")</f>
        <v/>
      </c>
      <c r="C61" s="39">
        <f>IF($B$61="","",INDEX(tblElements[Start (s)],11))</f>
        <v/>
      </c>
      <c r="D61" s="38">
        <f>IF($B$61="","",IF(INDEX(tblElements[Type],11)="Manual",N(INDEX(tblElements[Standard (s)],11)),0))</f>
        <v/>
      </c>
      <c r="E61" s="38">
        <f>IF($B$61="","",IF(INDEX(tblElements[Type],11)="Machine",N(INDEX(tblElements[Standard (s)],11)),0))</f>
        <v/>
      </c>
      <c r="F61" s="38">
        <f>IF($B$61="","",IF(INDEX(tblElements[Type],11)="Walk",N(INDEX(tblElements[Standard (s)],11)),0))</f>
        <v/>
      </c>
      <c r="G61" s="39">
        <f>IF($B$61="","",$C$61+$D$61+$E$61+$F$61)</f>
        <v/>
      </c>
      <c r="H61" s="56">
        <f>IF($B$61="","",INDEX(tblElements[Type],11))</f>
        <v/>
      </c>
      <c r="I61" s="56">
        <f>IF($B$61="","",INDEX(tblElements[Check],11))</f>
        <v/>
      </c>
      <c r="J61" s="56"/>
      <c r="K61" s="56"/>
    </row>
    <row r="62" spans="2:12" x14ac:dyDescent="0.25">
      <c r="B62" s="53">
        <f>IFERROR(INDEX(tblElements[Element],12)&amp;"","")</f>
        <v/>
      </c>
      <c r="C62" s="39">
        <f>IF($B$62="","",INDEX(tblElements[Start (s)],12))</f>
        <v/>
      </c>
      <c r="D62" s="38">
        <f>IF($B$62="","",IF(INDEX(tblElements[Type],12)="Manual",N(INDEX(tblElements[Standard (s)],12)),0))</f>
        <v/>
      </c>
      <c r="E62" s="38">
        <f>IF($B$62="","",IF(INDEX(tblElements[Type],12)="Machine",N(INDEX(tblElements[Standard (s)],12)),0))</f>
        <v/>
      </c>
      <c r="F62" s="38">
        <f>IF($B$62="","",IF(INDEX(tblElements[Type],12)="Walk",N(INDEX(tblElements[Standard (s)],12)),0))</f>
        <v/>
      </c>
      <c r="G62" s="39">
        <f>IF($B$62="","",$C$62+$D$62+$E$62+$F$62)</f>
        <v/>
      </c>
      <c r="H62" s="56">
        <f>IF($B$62="","",INDEX(tblElements[Type],12))</f>
        <v/>
      </c>
      <c r="I62" s="56">
        <f>IF($B$62="","",INDEX(tblElements[Check],12))</f>
        <v/>
      </c>
      <c r="J62" s="56"/>
      <c r="K62" s="56"/>
    </row>
    <row r="63" spans="2:12" ht="8" customHeight="1" x14ac:dyDescent="0.25"/>
    <row r="64" spans="2:12" x14ac:dyDescent="0.25">
      <c r="B64" s="21" t="s">
        <v>141</v>
      </c>
      <c r="C64" s="21"/>
      <c r="D64" s="21"/>
      <c r="E64" s="21"/>
      <c r="F64" s="21"/>
      <c r="G64" s="21"/>
      <c r="H64" s="21"/>
      <c r="I64" s="21"/>
      <c r="J64" s="21"/>
      <c r="K64" s="21"/>
      <c r="L64" s="21"/>
    </row>
    <row r="65" spans="2:12" x14ac:dyDescent="0.25">
      <c r="B65" s="57">
        <f>IF(COUNT(tblElements[No.])&gt;12,"The Study has more elements than the Dashboard chart shows: the KPI tiles include them all, the chart does not.","")</f>
        <v/>
      </c>
      <c r="C65" s="57"/>
      <c r="D65" s="57"/>
      <c r="E65" s="57"/>
      <c r="F65" s="57"/>
      <c r="G65" s="57"/>
      <c r="H65" s="57"/>
      <c r="I65" s="57"/>
      <c r="J65" s="57"/>
      <c r="K65" s="57"/>
      <c r="L65" s="57"/>
    </row>
  </sheetData>
  <sheetProtection sheet="1" formatColumns="0" formatRows="0"/>
  <mergeCells count="40">
    <mergeCell ref="A1:L1"/>
    <mergeCell ref="B2:J2"/>
    <mergeCell ref="K2:L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28:G28"/>
    <mergeCell ref="H28:L28"/>
    <mergeCell ref="B30:G30"/>
    <mergeCell ref="B36:F36"/>
    <mergeCell ref="B49:K49"/>
    <mergeCell ref="I50:K50"/>
    <mergeCell ref="I51:K51"/>
    <mergeCell ref="I52:K52"/>
    <mergeCell ref="I53:K53"/>
    <mergeCell ref="I54:K54"/>
    <mergeCell ref="I55:K55"/>
    <mergeCell ref="I56:K56"/>
    <mergeCell ref="I57:K57"/>
    <mergeCell ref="I58:K58"/>
    <mergeCell ref="I59:K59"/>
    <mergeCell ref="I60:K60"/>
    <mergeCell ref="I61:K61"/>
    <mergeCell ref="I62:K62"/>
    <mergeCell ref="B64:L64"/>
    <mergeCell ref="B65:L65"/>
  </mergeCells>
  <conditionalFormatting sqref="B1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G32:G34">
    <cfRule type="dataBar" priority="21">
      <dataBar>
        <cfvo type="num" val="0"/>
        <cfvo type="max"/>
        <color rgb="FFA8BDF0"/>
      </dataBar>
      <extLst>
        <ext xmlns:x14="http://schemas.microsoft.com/office/spreadsheetml/2009/9/main" uri="{B025F937-C7B1-47D3-B67F-A62EFF666E3E}">
          <x14:id>{DA7ABA51-AAAA-BBBB-0004-000000000001}</x14:id>
        </ext>
      </extLst>
    </cfRule>
  </conditionalFormatting>
  <conditionalFormatting sqref="I51:I62">
    <cfRule type="cellIs" dxfId="0" priority="22" operator="equal">
      <formula>"On target"</formula>
    </cfRule>
    <cfRule type="cellIs" dxfId="0" priority="23" operator="equal">
      <formula>"PASS"</formula>
    </cfRule>
    <cfRule type="cellIs" dxfId="0" priority="24" operator="equal">
      <formula>"OK"</formula>
    </cfRule>
    <cfRule type="cellIs" dxfId="0" priority="25" operator="equal">
      <formula>"Within limits"</formula>
    </cfRule>
    <cfRule type="cellIs" dxfId="0" priority="26" operator="equal">
      <formula>"Under capacity"</formula>
    </cfRule>
    <cfRule type="cellIs" dxfId="0" priority="27" operator="equal">
      <formula>"Complete"</formula>
    </cfRule>
    <cfRule type="cellIs" dxfId="0" priority="28" operator="equal">
      <formula>"Yes"</formula>
    </cfRule>
    <cfRule type="cellIs" dxfId="1" priority="29" operator="equal">
      <formula>"Near target"</formula>
    </cfRule>
    <cfRule type="cellIs" dxfId="1" priority="30" operator="equal">
      <formula>"Check"</formula>
    </cfRule>
    <cfRule type="cellIs" dxfId="1" priority="31" operator="equal">
      <formula>"Due soon"</formula>
    </cfRule>
    <cfRule type="cellIs" dxfId="1" priority="32" operator="equal">
      <formula>"Near capacity"</formula>
    </cfRule>
    <cfRule type="cellIs" dxfId="1" priority="33" operator="equal">
      <formula>"In progress"</formula>
    </cfRule>
    <cfRule type="cellIs" dxfId="1" priority="34" operator="equal">
      <formula>"Partial"</formula>
    </cfRule>
    <cfRule type="cellIs" dxfId="2" priority="35" operator="equal">
      <formula>"Below target"</formula>
    </cfRule>
    <cfRule type="cellIs" dxfId="2" priority="36" operator="equal">
      <formula>"Above target"</formula>
    </cfRule>
    <cfRule type="cellIs" dxfId="2" priority="37" operator="equal">
      <formula>"FAIL"</formula>
    </cfRule>
    <cfRule type="cellIs" dxfId="2" priority="38" operator="equal">
      <formula>"Over capacity"</formula>
    </cfRule>
    <cfRule type="cellIs" dxfId="2" priority="39" operator="equal">
      <formula>"Overdue"</formula>
    </cfRule>
    <cfRule type="cellIs" dxfId="2" priority="40" operator="equal">
      <formula>"Out of limits"</formula>
    </cfRule>
    <cfRule type="cellIs" dxfId="2" priority="41" operator="equal">
      <formula>"No"</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Time Study and Standard Work&amp;R&amp;8&amp;A</oddHeader>
    <oddFooter>&amp;L&amp;8mfgcalcs.com - free manufacturing templates&amp;R&amp;8Page &amp;P of &amp;N</oddFooter>
  </headerFooter>
  <rowBreaks count="2" manualBreakCount="2">
    <brk id="29" max="16383" man="1"/>
    <brk id="48"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G32:G34</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60"/>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142</v>
      </c>
      <c r="C4" s="8"/>
      <c r="D4" s="8"/>
    </row>
    <row r="5" spans="1:4" ht="5" customHeight="1"/>
    <row r="6" spans="1:4" ht="55.8" customHeight="1">
      <c r="B6" s="10" t="s">
        <v>143</v>
      </c>
      <c r="C6" s="10"/>
      <c r="D6" s="10"/>
    </row>
    <row r="8" spans="1:4" ht="21" customHeight="1">
      <c r="B8" s="8" t="s">
        <v>144</v>
      </c>
      <c r="C8" s="8"/>
      <c r="D8" s="8"/>
    </row>
    <row r="9" spans="1:4" ht="5" customHeight="1"/>
    <row r="10" spans="1:4" ht="20" customHeight="1">
      <c r="B10" s="52" t="s">
        <v>145</v>
      </c>
      <c r="C10" s="52" t="s">
        <v>146</v>
      </c>
      <c r="D10" s="34" t="s">
        <v>147</v>
      </c>
    </row>
    <row r="11" spans="1:4" ht="17.2" customHeight="1">
      <c r="B11" s="58" t="s">
        <v>91</v>
      </c>
      <c r="C11" s="59" t="s">
        <v>148</v>
      </c>
      <c r="D11" s="60" t="s">
        <v>149</v>
      </c>
    </row>
    <row r="12" spans="1:4" ht="17.2" customHeight="1">
      <c r="B12" s="58" t="s">
        <v>150</v>
      </c>
      <c r="C12" s="59" t="s">
        <v>151</v>
      </c>
      <c r="D12" s="60" t="s">
        <v>152</v>
      </c>
    </row>
    <row r="13" spans="1:4" ht="30.4" customHeight="1">
      <c r="B13" s="58" t="s">
        <v>153</v>
      </c>
      <c r="C13" s="59" t="s">
        <v>154</v>
      </c>
      <c r="D13" s="60" t="s">
        <v>152</v>
      </c>
    </row>
    <row r="14" spans="1:4" ht="17.2" customHeight="1">
      <c r="B14" s="58" t="s">
        <v>74</v>
      </c>
      <c r="C14" s="59" t="s">
        <v>155</v>
      </c>
      <c r="D14" s="60" t="s">
        <v>156</v>
      </c>
    </row>
    <row r="15" spans="1:4" ht="17.2" customHeight="1">
      <c r="B15" s="58" t="s">
        <v>157</v>
      </c>
      <c r="C15" s="59" t="s">
        <v>158</v>
      </c>
      <c r="D15" s="60" t="s">
        <v>152</v>
      </c>
    </row>
    <row r="16" spans="1:4" ht="30.4" customHeight="1">
      <c r="B16" s="58" t="s">
        <v>159</v>
      </c>
      <c r="C16" s="59" t="s">
        <v>160</v>
      </c>
      <c r="D16" s="60" t="s">
        <v>152</v>
      </c>
    </row>
    <row r="17" spans="2:4" ht="43.6" customHeight="1">
      <c r="B17" s="58" t="s">
        <v>99</v>
      </c>
      <c r="C17" s="59" t="s">
        <v>161</v>
      </c>
      <c r="D17" s="60" t="s">
        <v>162</v>
      </c>
    </row>
    <row r="18" spans="2:4" ht="17.2" customHeight="1">
      <c r="B18" s="58" t="s">
        <v>68</v>
      </c>
      <c r="C18" s="59" t="s">
        <v>163</v>
      </c>
      <c r="D18" s="60" t="s">
        <v>73</v>
      </c>
    </row>
    <row r="19" spans="2:4" ht="17.2" customHeight="1">
      <c r="B19" s="58" t="s">
        <v>164</v>
      </c>
      <c r="C19" s="59" t="s">
        <v>165</v>
      </c>
      <c r="D19" s="60" t="s">
        <v>152</v>
      </c>
    </row>
    <row r="20" spans="2:4" ht="17.2" customHeight="1">
      <c r="B20" s="58" t="s">
        <v>166</v>
      </c>
      <c r="C20" s="59" t="s">
        <v>167</v>
      </c>
      <c r="D20" s="60" t="s">
        <v>152</v>
      </c>
    </row>
    <row r="21" spans="2:4" ht="17.2" customHeight="1">
      <c r="B21" s="58" t="s">
        <v>168</v>
      </c>
      <c r="C21" s="59" t="s">
        <v>169</v>
      </c>
      <c r="D21" s="60" t="s">
        <v>156</v>
      </c>
    </row>
    <row r="22" spans="2:4" ht="17.2" customHeight="1">
      <c r="B22" s="58" t="s">
        <v>170</v>
      </c>
      <c r="C22" s="59" t="s">
        <v>171</v>
      </c>
      <c r="D22" s="60" t="s">
        <v>152</v>
      </c>
    </row>
    <row r="23" spans="2:4" ht="17.2" customHeight="1">
      <c r="B23" s="58" t="s">
        <v>172</v>
      </c>
      <c r="C23" s="59" t="s">
        <v>173</v>
      </c>
      <c r="D23" s="60" t="s">
        <v>174</v>
      </c>
    </row>
    <row r="24" spans="2:4" ht="17.2" customHeight="1">
      <c r="B24" s="58" t="s">
        <v>175</v>
      </c>
      <c r="C24" s="59" t="s">
        <v>176</v>
      </c>
      <c r="D24" s="60" t="s">
        <v>152</v>
      </c>
    </row>
    <row r="26" spans="2:4" ht="21" customHeight="1">
      <c r="B26" s="8" t="s">
        <v>177</v>
      </c>
      <c r="C26" s="8"/>
      <c r="D26" s="8"/>
    </row>
    <row r="27" spans="2:4" ht="5" customHeight="1"/>
    <row r="28" spans="2:4" ht="42.6" customHeight="1">
      <c r="B28" s="26" t="s">
        <v>55</v>
      </c>
      <c r="C28" s="10" t="s">
        <v>178</v>
      </c>
      <c r="D28" s="10"/>
    </row>
    <row r="29" spans="2:4" ht="29.4" customHeight="1">
      <c r="B29" s="26" t="s">
        <v>55</v>
      </c>
      <c r="C29" s="10" t="s">
        <v>179</v>
      </c>
      <c r="D29" s="10"/>
    </row>
    <row r="30" spans="2:4" ht="29.4" customHeight="1">
      <c r="B30" s="26" t="s">
        <v>55</v>
      </c>
      <c r="C30" s="10" t="s">
        <v>180</v>
      </c>
      <c r="D30" s="10"/>
    </row>
    <row r="32" spans="2:4" ht="21" customHeight="1">
      <c r="B32" s="8" t="s">
        <v>181</v>
      </c>
      <c r="C32" s="8"/>
      <c r="D32" s="8"/>
    </row>
    <row r="33" spans="2:4" ht="5" customHeight="1"/>
    <row r="34" spans="2:4" ht="29.4" customHeight="1">
      <c r="B34" s="26" t="s">
        <v>55</v>
      </c>
      <c r="C34" s="10" t="s">
        <v>182</v>
      </c>
      <c r="D34" s="10"/>
    </row>
    <row r="35" spans="2:4" ht="29.4" customHeight="1">
      <c r="B35" s="26" t="s">
        <v>55</v>
      </c>
      <c r="C35" s="10" t="s">
        <v>183</v>
      </c>
      <c r="D35" s="10"/>
    </row>
    <row r="36" spans="2:4" ht="16.2" customHeight="1">
      <c r="B36" s="26" t="s">
        <v>55</v>
      </c>
      <c r="C36" s="10" t="s">
        <v>184</v>
      </c>
      <c r="D36" s="10"/>
    </row>
    <row r="37" spans="2:4" ht="29.4" customHeight="1">
      <c r="B37" s="26" t="s">
        <v>55</v>
      </c>
      <c r="C37" s="10" t="s">
        <v>185</v>
      </c>
      <c r="D37" s="10"/>
    </row>
    <row r="39" spans="2:4" ht="21" customHeight="1">
      <c r="B39" s="8" t="s">
        <v>186</v>
      </c>
      <c r="C39" s="8"/>
      <c r="D39" s="8"/>
    </row>
    <row r="40" spans="2:4" ht="5" customHeight="1"/>
    <row r="41" spans="2:4" ht="69" customHeight="1">
      <c r="B41" s="10" t="s">
        <v>187</v>
      </c>
      <c r="C41" s="10"/>
      <c r="D41" s="10"/>
    </row>
    <row r="42" spans="2:4">
      <c r="B42" s="24" t="s">
        <v>188</v>
      </c>
      <c r="C42" s="24"/>
      <c r="D42" s="24"/>
    </row>
    <row r="44" spans="2:4" ht="21" customHeight="1">
      <c r="B44" s="8" t="s">
        <v>42</v>
      </c>
      <c r="C44" s="8"/>
      <c r="D44" s="8"/>
    </row>
    <row r="45" spans="2:4" ht="5" customHeight="1"/>
    <row r="46" spans="2:4" ht="42.6" customHeight="1">
      <c r="B46" s="10" t="s">
        <v>189</v>
      </c>
      <c r="C46" s="10"/>
      <c r="D46" s="10"/>
    </row>
    <row r="48" spans="2:4" ht="21" customHeight="1">
      <c r="B48" s="8" t="s">
        <v>190</v>
      </c>
      <c r="C48" s="8"/>
      <c r="D48" s="8"/>
    </row>
    <row r="49" spans="2:4" ht="5" customHeight="1"/>
    <row r="50" spans="2:4" ht="29.4" customHeight="1">
      <c r="B50" s="26" t="s">
        <v>55</v>
      </c>
      <c r="C50" s="10" t="s">
        <v>191</v>
      </c>
      <c r="D50" s="10"/>
    </row>
    <row r="51" spans="2:4" ht="29.4" customHeight="1">
      <c r="B51" s="26" t="s">
        <v>55</v>
      </c>
      <c r="C51" s="10" t="s">
        <v>192</v>
      </c>
      <c r="D51" s="10"/>
    </row>
    <row r="52" spans="2:4" ht="29.4" customHeight="1">
      <c r="B52" s="26" t="s">
        <v>55</v>
      </c>
      <c r="C52" s="10" t="s">
        <v>193</v>
      </c>
      <c r="D52" s="10"/>
    </row>
    <row r="53" spans="2:4">
      <c r="B53" s="21" t="s">
        <v>194</v>
      </c>
      <c r="C53" s="21"/>
      <c r="D53" s="21"/>
    </row>
    <row r="55" spans="2:4" ht="21" customHeight="1">
      <c r="B55" s="8" t="s">
        <v>195</v>
      </c>
      <c r="C55" s="8"/>
      <c r="D55" s="8"/>
    </row>
    <row r="56" spans="2:4" ht="5" customHeight="1"/>
    <row r="57" spans="2:4">
      <c r="B57" s="52" t="s">
        <v>50</v>
      </c>
      <c r="C57" s="52" t="s">
        <v>196</v>
      </c>
      <c r="D57" s="34" t="s">
        <v>197</v>
      </c>
    </row>
    <row r="58" spans="2:4" ht="16.2" customHeight="1">
      <c r="B58" s="61" t="s">
        <v>198</v>
      </c>
      <c r="C58" s="62" t="s">
        <v>199</v>
      </c>
      <c r="D58" s="63" t="s">
        <v>200</v>
      </c>
    </row>
    <row r="60" spans="2:4">
      <c r="B60" s="21" t="s">
        <v>61</v>
      </c>
      <c r="C60" s="21"/>
      <c r="D60" s="21"/>
    </row>
  </sheetData>
  <sheetProtection sheet="1" formatColumns="0" formatRows="0"/>
  <mergeCells count="26">
    <mergeCell ref="A1:D1"/>
    <mergeCell ref="B2:C2"/>
    <mergeCell ref="B4:D4"/>
    <mergeCell ref="B6:D6"/>
    <mergeCell ref="B8:D8"/>
    <mergeCell ref="B26:D26"/>
    <mergeCell ref="C28:D28"/>
    <mergeCell ref="C29:D29"/>
    <mergeCell ref="C30:D30"/>
    <mergeCell ref="B32:D32"/>
    <mergeCell ref="C34:D34"/>
    <mergeCell ref="C35:D35"/>
    <mergeCell ref="C36:D36"/>
    <mergeCell ref="C37:D37"/>
    <mergeCell ref="B39:D39"/>
    <mergeCell ref="B41:D41"/>
    <mergeCell ref="B42:D42"/>
    <mergeCell ref="B44:D44"/>
    <mergeCell ref="B46:D46"/>
    <mergeCell ref="B48:D48"/>
    <mergeCell ref="C50:D50"/>
    <mergeCell ref="C51:D51"/>
    <mergeCell ref="C52:D52"/>
    <mergeCell ref="B53:D53"/>
    <mergeCell ref="B55:D55"/>
    <mergeCell ref="B60:D60"/>
  </mergeCells>
  <hyperlinks>
    <hyperlink ref="D2" r:id="rId1" tooltip="Free manufacturing calculators and templates"/>
    <hyperlink ref="B42" r:id="rId2"/>
  </hyperlinks>
  <printOptions horizontalCentered="1"/>
  <pageMargins left="0.4" right="0.4" top="0.7" bottom="0.65" header="0.3" footer="0.3"/>
  <pageSetup fitToHeight="0" orientation="portrait"/>
  <headerFooter>
    <oddHeader>&amp;L&amp;8MFG Calcs - Time Study and Standard Work&amp;R&amp;8&amp;A</oddHeader>
    <oddFooter>&amp;L&amp;8mfgcalcs.com - free manufacturing templates&amp;R&amp;8Page &amp;P of &amp;N</oddFooter>
  </headerFooter>
  <rowBreaks count="1" manualBreakCount="1">
    <brk id="31"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Y39"/>
  <sheetViews>
    <sheetView showGridLines="0" workbookViewId="0"/>
  </sheetViews>
  <sheetFormatPr defaultRowHeight="15"/>
  <cols>
    <col min="1" max="1" width="2.7109375" customWidth="1"/>
    <col min="2" max="19" width="12.7109375" customWidth="1"/>
    <col min="20" max="20" width="9.28515625" customWidth="1"/>
    <col min="21" max="21" width="10.28515625" customWidth="1"/>
    <col min="22" max="22" width="9.7109375" customWidth="1"/>
    <col min="23" max="23" width="8.28515625" customWidth="1"/>
    <col min="24" max="24" width="8.7109375" customWidth="1"/>
    <col min="25" max="25" width="24.7109375" customWidth="1"/>
  </cols>
  <sheetData>
    <row r="1" spans="1:25" ht="30" customHeight="1">
      <c r="A1" s="1" t="s">
        <v>0</v>
      </c>
      <c r="B1" s="1"/>
      <c r="C1" s="1"/>
      <c r="D1" s="1"/>
      <c r="E1" s="1"/>
      <c r="F1" s="1"/>
      <c r="G1" s="1"/>
      <c r="H1" s="1"/>
      <c r="I1" s="1"/>
      <c r="J1" s="1"/>
      <c r="K1" s="1"/>
      <c r="L1" s="1"/>
      <c r="M1" s="1"/>
      <c r="N1" s="1"/>
      <c r="O1" s="1"/>
      <c r="P1" s="1"/>
      <c r="Q1" s="1"/>
      <c r="R1" s="1"/>
      <c r="S1" s="1"/>
      <c r="T1" s="1"/>
      <c r="U1" s="1"/>
      <c r="V1" s="1"/>
      <c r="W1" s="1"/>
      <c r="X1" s="1"/>
      <c r="Y1" s="1"/>
    </row>
    <row r="2" spans="1:25" ht="21" customHeight="1">
      <c r="B2" s="2" t="s">
        <v>28</v>
      </c>
      <c r="C2" s="2"/>
      <c r="D2" s="2"/>
      <c r="E2" s="2"/>
      <c r="F2" s="2"/>
      <c r="G2" s="2"/>
      <c r="H2" s="2"/>
      <c r="I2" s="2"/>
      <c r="J2" s="2"/>
      <c r="K2" s="2"/>
      <c r="L2" s="2"/>
      <c r="M2" s="2"/>
      <c r="N2" s="2"/>
      <c r="O2" s="2"/>
      <c r="P2" s="2"/>
      <c r="Q2" s="2"/>
      <c r="R2" s="2"/>
      <c r="S2" s="2"/>
      <c r="T2" s="2"/>
      <c r="U2" s="2"/>
      <c r="V2" s="2"/>
      <c r="W2" s="2"/>
      <c r="X2" s="2"/>
      <c r="Y2" s="3" t="s">
        <v>2</v>
      </c>
    </row>
    <row r="3" spans="1:25" ht="6" customHeight="1"/>
    <row r="4" spans="1:25" ht="30" customHeight="1">
      <c r="B4" s="64" t="s">
        <v>201</v>
      </c>
      <c r="C4" s="64"/>
      <c r="D4" s="22" t="str">
        <f>IF(COUNTIF($K$11:$K$24,"PASS")=14,"PASS","FAIL")</f>
        <v>PASS</v>
      </c>
      <c r="E4" s="22"/>
      <c r="F4" s="23" t="str">
        <f>COUNTIF($K$11:$K$24,"PASS")&amp;" of 14 checks pass"</f>
        <v>14 of 14 checks pass</v>
      </c>
      <c r="G4" s="23"/>
      <c r="H4" s="23"/>
      <c r="I4" s="23"/>
      <c r="J4" s="23"/>
    </row>
    <row r="6" spans="1:25" ht="29.4" customHeight="1">
      <c r="B6" s="10" t="s">
        <v>202</v>
      </c>
      <c r="C6" s="10"/>
      <c r="D6" s="10"/>
      <c r="E6" s="10"/>
      <c r="F6" s="10"/>
      <c r="G6" s="10"/>
      <c r="H6" s="10"/>
      <c r="I6" s="10"/>
      <c r="J6" s="10"/>
      <c r="K6" s="10"/>
      <c r="L6" s="10"/>
    </row>
    <row r="8" spans="1:25" ht="21" customHeight="1">
      <c r="B8" s="8" t="s">
        <v>203</v>
      </c>
      <c r="C8" s="8"/>
      <c r="D8" s="8"/>
      <c r="E8" s="8"/>
      <c r="F8" s="8"/>
      <c r="G8" s="8"/>
      <c r="H8" s="8"/>
      <c r="I8" s="8"/>
      <c r="J8" s="8"/>
      <c r="K8" s="8"/>
      <c r="L8" s="8"/>
    </row>
    <row r="9" spans="1:25" ht="5" customHeight="1"/>
    <row r="10" spans="1:25" ht="30" customHeight="1">
      <c r="B10" s="34" t="s">
        <v>77</v>
      </c>
      <c r="C10" s="52" t="s">
        <v>100</v>
      </c>
      <c r="D10" s="52"/>
      <c r="E10" s="52"/>
      <c r="F10" s="52"/>
      <c r="G10" s="34" t="s">
        <v>204</v>
      </c>
      <c r="H10" s="34" t="s">
        <v>205</v>
      </c>
      <c r="I10" s="34" t="s">
        <v>206</v>
      </c>
      <c r="J10" s="34" t="s">
        <v>207</v>
      </c>
      <c r="K10" s="34" t="s">
        <v>208</v>
      </c>
    </row>
    <row r="11" spans="1:25" ht="16.2" customHeight="1">
      <c r="B11" s="65">
        <v>1</v>
      </c>
      <c r="C11" s="62" t="s">
        <v>209</v>
      </c>
      <c r="D11" s="62"/>
      <c r="E11" s="62"/>
      <c r="F11" s="62"/>
      <c r="G11" s="66">
        <v>10</v>
      </c>
      <c r="H11" s="38">
        <f>$Q$35</f>
        <v>10</v>
      </c>
      <c r="I11" s="67">
        <f>IF(AND(ISNUMBER($G$11),ISNUMBER($H$11)),ABS($H$11-$G$11),"")</f>
        <v>0</v>
      </c>
      <c r="J11" s="68">
        <v>1E-09</v>
      </c>
      <c r="K11" s="69" t="str">
        <f>IF(AND(ISNUMBER($G$11),ISNUMBER($H$11)),IF(ABS($H$11-$G$11)&lt;=$J$11,"PASS","FAIL"),"FAIL")</f>
        <v>PASS</v>
      </c>
    </row>
    <row r="12" spans="1:25" ht="16.2" customHeight="1">
      <c r="B12" s="65">
        <v>2</v>
      </c>
      <c r="C12" s="62" t="s">
        <v>210</v>
      </c>
      <c r="D12" s="62"/>
      <c r="E12" s="62"/>
      <c r="F12" s="62"/>
      <c r="G12" s="66">
        <v>11</v>
      </c>
      <c r="H12" s="38">
        <f>$T$35</f>
        <v>11</v>
      </c>
      <c r="I12" s="67">
        <f>IF(AND(ISNUMBER($G$12),ISNUMBER($H$12)),ABS($H$12-$G$12),"")</f>
        <v>0</v>
      </c>
      <c r="J12" s="68">
        <v>1E-09</v>
      </c>
      <c r="K12" s="69" t="str">
        <f>IF(AND(ISNUMBER($G$12),ISNUMBER($H$12)),IF(ABS($H$12-$G$12)&lt;=$J$12,"PASS","FAIL"),"FAIL")</f>
        <v>PASS</v>
      </c>
    </row>
    <row r="13" spans="1:25" ht="16.2" customHeight="1">
      <c r="B13" s="65">
        <v>3</v>
      </c>
      <c r="C13" s="62" t="s">
        <v>211</v>
      </c>
      <c r="D13" s="62"/>
      <c r="E13" s="62"/>
      <c r="F13" s="62"/>
      <c r="G13" s="70">
        <v>12.1</v>
      </c>
      <c r="H13" s="71">
        <f>$V$35</f>
        <v>12.1</v>
      </c>
      <c r="I13" s="67">
        <f>IF(AND(ISNUMBER($G$13),ISNUMBER($H$13)),ABS($H$13-$G$13),"")</f>
        <v>0</v>
      </c>
      <c r="J13" s="68">
        <v>1E-09</v>
      </c>
      <c r="K13" s="69" t="str">
        <f>IF(AND(ISNUMBER($G$13),ISNUMBER($H$13)),IF(ABS($H$13-$G$13)&lt;=$J$13,"PASS","FAIL"),"FAIL")</f>
        <v>PASS</v>
      </c>
    </row>
    <row r="14" spans="1:25" ht="16.2" customHeight="1">
      <c r="B14" s="65">
        <v>4</v>
      </c>
      <c r="C14" s="62" t="s">
        <v>212</v>
      </c>
      <c r="D14" s="62"/>
      <c r="E14" s="62"/>
      <c r="F14" s="62"/>
      <c r="G14" s="72">
        <v>2</v>
      </c>
      <c r="H14" s="37">
        <f>$X$35</f>
        <v>2</v>
      </c>
      <c r="I14" s="67">
        <f>IF(AND(ISNUMBER($G$14),ISNUMBER($H$14)),ABS($H$14-$G$14),"")</f>
        <v>0</v>
      </c>
      <c r="J14" s="68">
        <v>1E-09</v>
      </c>
      <c r="K14" s="69" t="str">
        <f>IF(AND(ISNUMBER($G$14),ISNUMBER($H$14)),IF(ABS($H$14-$G$14)&lt;=$J$14,"PASS","FAIL"),"FAIL")</f>
        <v>PASS</v>
      </c>
    </row>
    <row r="15" spans="1:25" ht="16.2" customHeight="1">
      <c r="B15" s="65">
        <v>5</v>
      </c>
      <c r="C15" s="62" t="s">
        <v>213</v>
      </c>
      <c r="D15" s="62"/>
      <c r="E15" s="62"/>
      <c r="F15" s="62"/>
      <c r="G15" s="70">
        <v>20</v>
      </c>
      <c r="H15" s="71">
        <f>$V$36</f>
        <v>20</v>
      </c>
      <c r="I15" s="67">
        <f>IF(AND(ISNUMBER($G$15),ISNUMBER($H$15)),ABS($H$15-$G$15),"")</f>
        <v>0</v>
      </c>
      <c r="J15" s="68">
        <v>1E-09</v>
      </c>
      <c r="K15" s="69" t="str">
        <f>IF(AND(ISNUMBER($G$15),ISNUMBER($H$15)),IF(ABS($H$15-$G$15)&lt;=$J$15,"PASS","FAIL"),"FAIL")</f>
        <v>PASS</v>
      </c>
    </row>
    <row r="16" spans="1:25" ht="16.2" customHeight="1">
      <c r="B16" s="65">
        <v>6</v>
      </c>
      <c r="C16" s="62" t="s">
        <v>214</v>
      </c>
      <c r="D16" s="62"/>
      <c r="E16" s="62"/>
      <c r="F16" s="62"/>
      <c r="G16" s="70">
        <v>5.5</v>
      </c>
      <c r="H16" s="71">
        <f>$V$37</f>
        <v>5.5</v>
      </c>
      <c r="I16" s="67">
        <f>IF(AND(ISNUMBER($G$16),ISNUMBER($H$16)),ABS($H$16-$G$16),"")</f>
        <v>0</v>
      </c>
      <c r="J16" s="68">
        <v>1E-09</v>
      </c>
      <c r="K16" s="69" t="str">
        <f>IF(AND(ISNUMBER($G$16),ISNUMBER($H$16)),IF(ABS($H$16-$G$16)&lt;=$J$16,"PASS","FAIL"),"FAIL")</f>
        <v>PASS</v>
      </c>
    </row>
    <row r="17" spans="2:12" ht="16.2" customHeight="1">
      <c r="B17" s="65">
        <v>7</v>
      </c>
      <c r="C17" s="62" t="s">
        <v>215</v>
      </c>
      <c r="D17" s="62"/>
      <c r="E17" s="62"/>
      <c r="F17" s="62"/>
      <c r="G17" s="70">
        <v>5.940000000000001</v>
      </c>
      <c r="H17" s="71">
        <f>$V$38</f>
        <v>5.94</v>
      </c>
      <c r="I17" s="67">
        <f>IF(AND(ISNUMBER($G$17),ISNUMBER($H$17)),ABS($H$17-$G$17),"")</f>
        <v>0</v>
      </c>
      <c r="J17" s="68">
        <v>1E-09</v>
      </c>
      <c r="K17" s="69" t="str">
        <f>IF(AND(ISNUMBER($G$17),ISNUMBER($H$17)),IF(ABS($H$17-$G$17)&lt;=$J$17,"PASS","FAIL"),"FAIL")</f>
        <v>PASS</v>
      </c>
    </row>
    <row r="18" spans="2:12" ht="16.2" customHeight="1">
      <c r="B18" s="65">
        <v>8</v>
      </c>
      <c r="C18" s="62" t="s">
        <v>216</v>
      </c>
      <c r="D18" s="62"/>
      <c r="E18" s="62"/>
      <c r="F18" s="62"/>
      <c r="G18" s="70">
        <v>37.6</v>
      </c>
      <c r="H18" s="71">
        <f>$W$38</f>
        <v>37.6</v>
      </c>
      <c r="I18" s="67">
        <f>IF(AND(ISNUMBER($G$18),ISNUMBER($H$18)),ABS($H$18-$G$18),"")</f>
        <v>0</v>
      </c>
      <c r="J18" s="68">
        <v>1E-09</v>
      </c>
      <c r="K18" s="69" t="str">
        <f>IF(AND(ISNUMBER($G$18),ISNUMBER($H$18)),IF(ABS($H$18-$G$18)&lt;=$J$18,"PASS","FAIL"),"FAIL")</f>
        <v>PASS</v>
      </c>
    </row>
    <row r="19" spans="2:12" ht="16.2" customHeight="1">
      <c r="B19" s="65">
        <v>9</v>
      </c>
      <c r="C19" s="62" t="s">
        <v>217</v>
      </c>
      <c r="D19" s="62"/>
      <c r="E19" s="62"/>
      <c r="F19" s="62"/>
      <c r="G19" s="61" t="s">
        <v>218</v>
      </c>
      <c r="H19" s="56" t="str">
        <f>$Y$39</f>
        <v>Fewer than 3 readings</v>
      </c>
      <c r="I19" s="56"/>
      <c r="J19" s="63" t="s">
        <v>219</v>
      </c>
      <c r="K19" s="69" t="str">
        <f>IF($H$19&amp;""=$G$19&amp;"","PASS","FAIL")</f>
        <v>PASS</v>
      </c>
    </row>
    <row r="20" spans="2:12" ht="16.2" customHeight="1">
      <c r="B20" s="65">
        <v>10</v>
      </c>
      <c r="C20" s="62" t="s">
        <v>220</v>
      </c>
      <c r="D20" s="62"/>
      <c r="E20" s="62"/>
      <c r="F20" s="62"/>
      <c r="G20" s="61" t="s">
        <v>221</v>
      </c>
      <c r="H20" s="56" t="str">
        <f>$Y$35</f>
        <v>OK</v>
      </c>
      <c r="I20" s="56"/>
      <c r="J20" s="63" t="s">
        <v>219</v>
      </c>
      <c r="K20" s="69" t="str">
        <f>IF($H$20&amp;""=$G$20&amp;"","PASS","FAIL")</f>
        <v>PASS</v>
      </c>
    </row>
    <row r="21" spans="2:12" ht="16.2" customHeight="1">
      <c r="B21" s="65">
        <v>11</v>
      </c>
      <c r="C21" s="62" t="s">
        <v>222</v>
      </c>
      <c r="D21" s="62"/>
      <c r="E21" s="62"/>
      <c r="F21" s="62"/>
      <c r="G21" s="70">
        <v>46.95</v>
      </c>
      <c r="H21" s="71">
        <f>IF(COUNT(tblVerifyElements[Standard (s)])=0,"",SUM(tblVerifyElements[Standard (s)]))</f>
        <v>46.95</v>
      </c>
      <c r="I21" s="67">
        <f>IF(AND(ISNUMBER($G$21),ISNUMBER($H$21)),ABS($H$21-$G$21),"")</f>
        <v>0</v>
      </c>
      <c r="J21" s="68">
        <v>1E-09</v>
      </c>
      <c r="K21" s="69" t="str">
        <f>IF(AND(ISNUMBER($G$21),ISNUMBER($H$21)),IF(ABS($H$21-$G$21)&lt;=$J$21,"PASS","FAIL"),"FAIL")</f>
        <v>PASS</v>
      </c>
    </row>
    <row r="22" spans="2:12" ht="16.2" customHeight="1">
      <c r="B22" s="65">
        <v>12</v>
      </c>
      <c r="C22" s="62" t="s">
        <v>223</v>
      </c>
      <c r="D22" s="62"/>
      <c r="E22" s="62"/>
      <c r="F22" s="62"/>
      <c r="G22" s="70">
        <v>26.95</v>
      </c>
      <c r="H22" s="71">
        <f>IF(COUNT(tblVerifyElements[Standard (s)])=0,"",SUMIFS(tblVerifyElements[Standard (s)],tblVerifyElements[Type],"Manual")+SUMIFS(tblVerifyElements[Standard (s)],tblVerifyElements[Type],"Walk"))</f>
        <v>26.95</v>
      </c>
      <c r="I22" s="67">
        <f>IF(AND(ISNUMBER($G$22),ISNUMBER($H$22)),ABS($H$22-$G$22),"")</f>
        <v>0</v>
      </c>
      <c r="J22" s="68">
        <v>1E-09</v>
      </c>
      <c r="K22" s="69" t="str">
        <f>IF(AND(ISNUMBER($G$22),ISNUMBER($H$22)),IF(ABS($H$22-$G$22)&lt;=$J$22,"PASS","FAIL"),"FAIL")</f>
        <v>PASS</v>
      </c>
    </row>
    <row r="23" spans="2:12" ht="16.2" customHeight="1">
      <c r="B23" s="65">
        <v>13</v>
      </c>
      <c r="C23" s="62" t="s">
        <v>224</v>
      </c>
      <c r="D23" s="62"/>
      <c r="E23" s="62"/>
      <c r="F23" s="62"/>
      <c r="G23" s="73">
        <v>0.4146153846153847</v>
      </c>
      <c r="H23" s="40">
        <f>IF(($E$31)=0,"",(SUMIFS(tblVerifyElements[Standard (s)],tblVerifyElements[Type],"Manual")+SUMIFS(tblVerifyElements[Standard (s)],tblVerifyElements[Type],"Walk"))/($E$31))</f>
        <v>0.414615384615385</v>
      </c>
      <c r="I23" s="67">
        <f>IF(AND(ISNUMBER($G$23),ISNUMBER($H$23)),ABS($H$23-$G$23),"")</f>
        <v>0</v>
      </c>
      <c r="J23" s="68">
        <v>1E-09</v>
      </c>
      <c r="K23" s="69" t="str">
        <f>IF(AND(ISNUMBER($G$23),ISNUMBER($H$23)),IF(ABS($H$23-$G$23)&lt;=$J$23,"PASS","FAIL"),"FAIL")</f>
        <v>PASS</v>
      </c>
    </row>
    <row r="24" spans="2:12" ht="16.2" customHeight="1">
      <c r="B24" s="65">
        <v>14</v>
      </c>
      <c r="C24" s="62" t="s">
        <v>225</v>
      </c>
      <c r="D24" s="62"/>
      <c r="E24" s="62"/>
      <c r="F24" s="62"/>
      <c r="G24" s="70">
        <v>18.05</v>
      </c>
      <c r="H24" s="71">
        <f>IF(COUNT(tblVerifyElements[Standard (s)])=0,"",$E$31-SUM(tblVerifyElements[Standard (s)]))</f>
        <v>18.05</v>
      </c>
      <c r="I24" s="67">
        <f>IF(AND(ISNUMBER($G$24),ISNUMBER($H$24)),ABS($H$24-$G$24),"")</f>
        <v>0</v>
      </c>
      <c r="J24" s="68">
        <v>1E-09</v>
      </c>
      <c r="K24" s="69" t="str">
        <f>IF(AND(ISNUMBER($G$24),ISNUMBER($H$24)),IF(ABS($H$24-$G$24)&lt;=$J$24,"PASS","FAIL"),"FAIL")</f>
        <v>PASS</v>
      </c>
    </row>
    <row r="26" spans="2:12" ht="21" customHeight="1">
      <c r="B26" s="8" t="s">
        <v>226</v>
      </c>
      <c r="C26" s="8"/>
      <c r="D26" s="8"/>
      <c r="E26" s="8"/>
      <c r="F26" s="8"/>
      <c r="G26" s="8"/>
      <c r="H26" s="8"/>
      <c r="I26" s="8"/>
      <c r="J26" s="8"/>
      <c r="K26" s="8"/>
      <c r="L26" s="8"/>
    </row>
    <row r="27" spans="2:12" ht="5" customHeight="1"/>
    <row r="28" spans="2:12">
      <c r="B28" s="21" t="s">
        <v>227</v>
      </c>
      <c r="C28" s="21"/>
      <c r="D28" s="21"/>
      <c r="E28" s="21"/>
      <c r="F28" s="21"/>
      <c r="G28" s="21"/>
      <c r="H28" s="21"/>
      <c r="I28" s="21"/>
      <c r="J28" s="21"/>
      <c r="K28" s="21"/>
      <c r="L28" s="21"/>
    </row>
    <row r="29" spans="2:12">
      <c r="B29" s="51" t="s">
        <v>228</v>
      </c>
      <c r="C29" s="51"/>
      <c r="D29" s="51"/>
      <c r="E29" s="51"/>
      <c r="F29" s="51"/>
    </row>
    <row r="30" spans="2:12">
      <c r="B30" s="27" t="s">
        <v>75</v>
      </c>
      <c r="C30" s="27"/>
      <c r="D30" s="27"/>
      <c r="E30" s="73">
        <v>0.1</v>
      </c>
      <c r="F30" s="7"/>
    </row>
    <row r="31" spans="2:12">
      <c r="B31" s="27" t="s">
        <v>229</v>
      </c>
      <c r="C31" s="27"/>
      <c r="D31" s="27"/>
      <c r="E31" s="55">
        <v>65</v>
      </c>
      <c r="F31" s="7"/>
    </row>
    <row r="33" spans="2:25">
      <c r="B33" s="51" t="s">
        <v>230</v>
      </c>
      <c r="C33" s="51"/>
      <c r="D33" s="51"/>
      <c r="E33" s="51"/>
      <c r="F33" s="51"/>
      <c r="G33" s="51"/>
      <c r="H33" s="51"/>
      <c r="I33" s="51"/>
      <c r="J33" s="51"/>
      <c r="K33" s="51"/>
      <c r="L33" s="51"/>
    </row>
    <row r="34" spans="2:25" ht="32" customHeight="1">
      <c r="B34" s="34" t="s">
        <v>77</v>
      </c>
      <c r="C34" s="34" t="s">
        <v>78</v>
      </c>
      <c r="D34" s="34" t="s">
        <v>79</v>
      </c>
      <c r="E34" s="34" t="s">
        <v>80</v>
      </c>
      <c r="F34" s="34" t="s">
        <v>81</v>
      </c>
      <c r="G34" s="34" t="s">
        <v>82</v>
      </c>
      <c r="H34" s="34" t="s">
        <v>83</v>
      </c>
      <c r="I34" s="34" t="s">
        <v>84</v>
      </c>
      <c r="J34" s="34" t="s">
        <v>85</v>
      </c>
      <c r="K34" s="34" t="s">
        <v>86</v>
      </c>
      <c r="L34" s="34" t="s">
        <v>87</v>
      </c>
      <c r="M34" s="34" t="s">
        <v>88</v>
      </c>
      <c r="N34" s="34" t="s">
        <v>89</v>
      </c>
      <c r="O34" s="34" t="s">
        <v>90</v>
      </c>
      <c r="P34" s="34" t="s">
        <v>91</v>
      </c>
      <c r="Q34" s="34" t="s">
        <v>92</v>
      </c>
      <c r="R34" s="34" t="s">
        <v>93</v>
      </c>
      <c r="S34" s="34" t="s">
        <v>94</v>
      </c>
      <c r="T34" s="34" t="s">
        <v>95</v>
      </c>
      <c r="U34" s="34" t="s">
        <v>96</v>
      </c>
      <c r="V34" s="34" t="s">
        <v>97</v>
      </c>
      <c r="W34" s="34" t="s">
        <v>98</v>
      </c>
      <c r="X34" s="34" t="s">
        <v>99</v>
      </c>
      <c r="Y34" s="34" t="s">
        <v>100</v>
      </c>
    </row>
    <row r="35" spans="2:25">
      <c r="B35" s="72">
        <v>1</v>
      </c>
      <c r="C35" s="61" t="s">
        <v>231</v>
      </c>
      <c r="D35" s="61" t="s">
        <v>103</v>
      </c>
      <c r="E35" s="55">
        <v>10</v>
      </c>
      <c r="F35" s="55">
        <v>10.4</v>
      </c>
      <c r="G35" s="55">
        <v>9.6</v>
      </c>
      <c r="H35" s="55">
        <v>10</v>
      </c>
      <c r="I35" s="55"/>
      <c r="J35" s="55"/>
      <c r="K35" s="55"/>
      <c r="L35" s="55"/>
      <c r="M35" s="55"/>
      <c r="N35" s="55"/>
      <c r="O35" s="73">
        <v>1.1</v>
      </c>
      <c r="P35" s="37">
        <f>IF(tblVerifyElements[[#This Row],[No.]]="","",COUNT(tblVerifyElements[[#This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f>
        <v>4</v>
      </c>
      <c r="Q35" s="38">
        <f>IF(tblVerifyElements[[#This Row],[No.]]="","",IF(tblVerifyElements[[#This Row],[Cycles]]=0,"",AVERAGE(tblVerifyElements[[#This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f>
        <v>10</v>
      </c>
      <c r="R35" s="39">
        <f>IF(tblVerifyElements[[#This Row],[No.]]="","",IF(tblVerifyElements[[#This Row],[Cycles]]=0,"",MIN(tblVerifyElements[[#This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f>
        <v>9.6</v>
      </c>
      <c r="S35" s="39">
        <f>IF(tblVerifyElements[[#This Row],[No.]]="","",IF(tblVerifyElements[[#This Row],[Cycles]]=0,"",MAX(tblVerifyElements[[#This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f>
        <v>10.4</v>
      </c>
      <c r="T35" s="38">
        <f>IF(tblVerifyElements[[#This Row],[No.]]="","",IF(tblVerifyElements[[#This Row],[Cycles]]=0,"",tblVerifyElements[[#This Row],[Mean (s)]]*IF(tblVerifyElements[[#This Row],[Type]]="Machine",1,tblVerifyElements[[#This Row],[Rating (%)]])))</f>
        <v>11</v>
      </c>
      <c r="U35" s="40">
        <f>IF(tblVerifyElements[[#This Row],[No.]]="","",IF(tblVerifyElements[[#This Row],[Type]]="Machine",0,$E$30))</f>
        <v>0.1</v>
      </c>
      <c r="V35" s="38">
        <f>IF(tblVerifyElements[[#This Row],[No.]]="","",IF(tblVerifyElements[[#This Row],[Cycles]]=0,"",tblVerifyElements[[#This Row],[Normal (s)]]*(1+tblVerifyElements[[#This Row],[Allowance (%)]])))</f>
        <v>12.1</v>
      </c>
      <c r="W35" s="39">
        <f>IF(tblVerifyElements[[#This Row],[No.]]="","",SUMIFS(tblVerifyElements[Standard (s)],tblVerifyElements[No.],"&lt;"&amp;tblVerifyElements[[#This Row],[No.]]))</f>
        <v>0</v>
      </c>
      <c r="X35" s="37">
        <f>IF(tblVerifyElements[[#This Row],[No.]]="","",IF(tblVerifyElements[[#This Row],[Cycles]]&lt;2,"",ROUNDUP((40*SQRT(MAX(0,tblVerifyElements[[#This Row],[Cycles]]*SUMSQ(tblVerifyElements[[#This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(s)]])-SUM(tblVerifyElements[[#This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(s)]])^2))/SUM(tblVerifyElements[[#This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(s)]]))^2,0)))</f>
        <v>2</v>
      </c>
      <c r="Y35" s="41" t="str">
        <f>IF(tblVerifyElements[[#This Row],[No.]]="","",IF(tblVerifyElements[[#This Row],[Element]]="","Missing element",IF(tblVerifyElements[[#This Row],[Type]]="","Missing type",IF(tblVerifyElements[[#This Row],[Rating (%)]]="","Missing rating",IF(COUNTIF(tblVerifyElements[No.],tblVerifyElements[[#This Row],[No.]])&gt;1,"Duplicate element number",IF(tblVerifyElements[[#This Row],[Cycles]]&lt;3,"Fewer than 3 readings",IF(AND(tblVerifyElements[[#This Row],[Type]]="Machine",tblVerifyElements[[#This Row],[Rating (%)]]&lt;&gt;1),"Machine element: rating not used",IF(OR(tblVerifyElements[[#This Row],[Max (s)]]&gt;1.5*tblVerifyElements[[#This Row],[Mean (s)]],tblVerifyElements[[#This Row],[Min (s)]]&lt;0.5*tblVerifyElements[[#This Row],[Mean (s)]]),"Check outlier reading",IF(tblVerifyElements[[#This Row],[Cycles]]&lt;tblVerifyElements[[#This Row],[Cycles needed]],"Study more cycles","OK")))))))))</f>
        <v>OK</v>
      </c>
    </row>
    <row r="36" spans="2:25">
      <c r="B36" s="72">
        <v>2</v>
      </c>
      <c r="C36" s="61" t="s">
        <v>232</v>
      </c>
      <c r="D36" s="61" t="s">
        <v>110</v>
      </c>
      <c r="E36" s="55">
        <v>20</v>
      </c>
      <c r="F36" s="55">
        <v>20</v>
      </c>
      <c r="G36" s="55">
        <v>20</v>
      </c>
      <c r="H36" s="55"/>
      <c r="I36" s="55"/>
      <c r="J36" s="55"/>
      <c r="K36" s="55"/>
      <c r="L36" s="55"/>
      <c r="M36" s="55"/>
      <c r="N36" s="55"/>
      <c r="O36" s="73">
        <v>1</v>
      </c>
      <c r="P36" s="37">
        <f>IF(tblVerifyElements[[#This Row],[No.]]="","",COUNT(tblVerifyElements[[#This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f>
        <v>3</v>
      </c>
      <c r="Q36" s="38">
        <f>IF(tblVerifyElements[[#This Row],[No.]]="","",IF(tblVerifyElements[[#This Row],[Cycles]]=0,"",AVERAGE(tblVerifyElements[[#This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f>
        <v>20</v>
      </c>
      <c r="R36" s="39">
        <f>IF(tblVerifyElements[[#This Row],[No.]]="","",IF(tblVerifyElements[[#This Row],[Cycles]]=0,"",MIN(tblVerifyElements[[#This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f>
        <v>20</v>
      </c>
      <c r="S36" s="39">
        <f>IF(tblVerifyElements[[#This Row],[No.]]="","",IF(tblVerifyElements[[#This Row],[Cycles]]=0,"",MAX(tblVerifyElements[[#This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f>
        <v>20</v>
      </c>
      <c r="T36" s="38">
        <f>IF(tblVerifyElements[[#This Row],[No.]]="","",IF(tblVerifyElements[[#This Row],[Cycles]]=0,"",tblVerifyElements[[#This Row],[Mean (s)]]*IF(tblVerifyElements[[#This Row],[Type]]="Machine",1,tblVerifyElements[[#This Row],[Rating (%)]])))</f>
        <v>20</v>
      </c>
      <c r="U36" s="40">
        <f>IF(tblVerifyElements[[#This Row],[No.]]="","",IF(tblVerifyElements[[#This Row],[Type]]="Machine",0,$E$30))</f>
        <v>0</v>
      </c>
      <c r="V36" s="38">
        <f>IF(tblVerifyElements[[#This Row],[No.]]="","",IF(tblVerifyElements[[#This Row],[Cycles]]=0,"",tblVerifyElements[[#This Row],[Normal (s)]]*(1+tblVerifyElements[[#This Row],[Allowance (%)]])))</f>
        <v>20</v>
      </c>
      <c r="W36" s="39">
        <f>IF(tblVerifyElements[[#This Row],[No.]]="","",SUMIFS(tblVerifyElements[Standard (s)],tblVerifyElements[No.],"&lt;"&amp;tblVerifyElements[[#This Row],[No.]]))</f>
        <v>12.1</v>
      </c>
      <c r="X36" s="37">
        <f>IF(tblVerifyElements[[#This Row],[No.]]="","",IF(tblVerifyElements[[#This Row],[Cycles]]&lt;2,"",ROUNDUP((40*SQRT(MAX(0,tblVerifyElements[[#This Row],[Cycles]]*SUMSQ(tblVerifyElements[[#This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(s)]])-SUM(tblVerifyElements[[#This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(s)]])^2))/SUM(tblVerifyElements[[#This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(s)]]))^2,0)))</f>
        <v>0</v>
      </c>
      <c r="Y36" s="41" t="str">
        <f>IF(tblVerifyElements[[#This Row],[No.]]="","",IF(tblVerifyElements[[#This Row],[Element]]="","Missing element",IF(tblVerifyElements[[#This Row],[Type]]="","Missing type",IF(tblVerifyElements[[#This Row],[Rating (%)]]="","Missing rating",IF(COUNTIF(tblVerifyElements[No.],tblVerifyElements[[#This Row],[No.]])&gt;1,"Duplicate element number",IF(tblVerifyElements[[#This Row],[Cycles]]&lt;3,"Fewer than 3 readings",IF(AND(tblVerifyElements[[#This Row],[Type]]="Machine",tblVerifyElements[[#This Row],[Rating (%)]]&lt;&gt;1),"Machine element: rating not used",IF(OR(tblVerifyElements[[#This Row],[Max (s)]]&gt;1.5*tblVerifyElements[[#This Row],[Mean (s)]],tblVerifyElements[[#This Row],[Min (s)]]&lt;0.5*tblVerifyElements[[#This Row],[Mean (s)]]),"Check outlier reading",IF(tblVerifyElements[[#This Row],[Cycles]]&lt;tblVerifyElements[[#This Row],[Cycles needed]],"Study more cycles","OK")))))))))</f>
        <v>OK</v>
      </c>
    </row>
    <row r="37" spans="2:25">
      <c r="B37" s="72">
        <v>3</v>
      </c>
      <c r="C37" s="61" t="s">
        <v>107</v>
      </c>
      <c r="D37" s="61" t="s">
        <v>107</v>
      </c>
      <c r="E37" s="55">
        <v>5</v>
      </c>
      <c r="F37" s="55">
        <v>5.2</v>
      </c>
      <c r="G37" s="55">
        <v>4.8</v>
      </c>
      <c r="H37" s="55"/>
      <c r="I37" s="55"/>
      <c r="J37" s="55"/>
      <c r="K37" s="55"/>
      <c r="L37" s="55"/>
      <c r="M37" s="55"/>
      <c r="N37" s="55"/>
      <c r="O37" s="73">
        <v>1</v>
      </c>
      <c r="P37" s="37">
        <f>IF(tblVerifyElements[[#This Row],[No.]]="","",COUNT(tblVerifyElements[[#This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f>
        <v>3</v>
      </c>
      <c r="Q37" s="38">
        <f>IF(tblVerifyElements[[#This Row],[No.]]="","",IF(tblVerifyElements[[#This Row],[Cycles]]=0,"",AVERAGE(tblVerifyElements[[#This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f>
        <v>5</v>
      </c>
      <c r="R37" s="39">
        <f>IF(tblVerifyElements[[#This Row],[No.]]="","",IF(tblVerifyElements[[#This Row],[Cycles]]=0,"",MIN(tblVerifyElements[[#This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f>
        <v>4.8</v>
      </c>
      <c r="S37" s="39">
        <f>IF(tblVerifyElements[[#This Row],[No.]]="","",IF(tblVerifyElements[[#This Row],[Cycles]]=0,"",MAX(tblVerifyElements[[#This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f>
        <v>5.2</v>
      </c>
      <c r="T37" s="38">
        <f>IF(tblVerifyElements[[#This Row],[No.]]="","",IF(tblVerifyElements[[#This Row],[Cycles]]=0,"",tblVerifyElements[[#This Row],[Mean (s)]]*IF(tblVerifyElements[[#This Row],[Type]]="Machine",1,tblVerifyElements[[#This Row],[Rating (%)]])))</f>
        <v>5</v>
      </c>
      <c r="U37" s="40">
        <f>IF(tblVerifyElements[[#This Row],[No.]]="","",IF(tblVerifyElements[[#This Row],[Type]]="Machine",0,$E$30))</f>
        <v>0.1</v>
      </c>
      <c r="V37" s="38">
        <f>IF(tblVerifyElements[[#This Row],[No.]]="","",IF(tblVerifyElements[[#This Row],[Cycles]]=0,"",tblVerifyElements[[#This Row],[Normal (s)]]*(1+tblVerifyElements[[#This Row],[Allowance (%)]])))</f>
        <v>5.5</v>
      </c>
      <c r="W37" s="39">
        <f>IF(tblVerifyElements[[#This Row],[No.]]="","",SUMIFS(tblVerifyElements[Standard (s)],tblVerifyElements[No.],"&lt;"&amp;tblVerifyElements[[#This Row],[No.]]))</f>
        <v>32.1</v>
      </c>
      <c r="X37" s="37">
        <f>IF(tblVerifyElements[[#This Row],[No.]]="","",IF(tblVerifyElements[[#This Row],[Cycles]]&lt;2,"",ROUNDUP((40*SQRT(MAX(0,tblVerifyElements[[#This Row],[Cycles]]*SUMSQ(tblVerifyElements[[#This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(s)]])-SUM(tblVerifyElements[[#This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(s)]])^2))/SUM(tblVerifyElements[[#This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(s)]]))^2,0)))</f>
        <v>2</v>
      </c>
      <c r="Y37" s="41" t="str">
        <f>IF(tblVerifyElements[[#This Row],[No.]]="","",IF(tblVerifyElements[[#This Row],[Element]]="","Missing element",IF(tblVerifyElements[[#This Row],[Type]]="","Missing type",IF(tblVerifyElements[[#This Row],[Rating (%)]]="","Missing rating",IF(COUNTIF(tblVerifyElements[No.],tblVerifyElements[[#This Row],[No.]])&gt;1,"Duplicate element number",IF(tblVerifyElements[[#This Row],[Cycles]]&lt;3,"Fewer than 3 readings",IF(AND(tblVerifyElements[[#This Row],[Type]]="Machine",tblVerifyElements[[#This Row],[Rating (%)]]&lt;&gt;1),"Machine element: rating not used",IF(OR(tblVerifyElements[[#This Row],[Max (s)]]&gt;1.5*tblVerifyElements[[#This Row],[Mean (s)]],tblVerifyElements[[#This Row],[Min (s)]]&lt;0.5*tblVerifyElements[[#This Row],[Mean (s)]]),"Check outlier reading",IF(tblVerifyElements[[#This Row],[Cycles]]&lt;tblVerifyElements[[#This Row],[Cycles needed]],"Study more cycles","OK")))))))))</f>
        <v>OK</v>
      </c>
    </row>
    <row r="38" spans="2:25">
      <c r="B38" s="72">
        <v>4</v>
      </c>
      <c r="C38" s="61" t="s">
        <v>233</v>
      </c>
      <c r="D38" s="61" t="s">
        <v>103</v>
      </c>
      <c r="E38" s="55">
        <v>6</v>
      </c>
      <c r="F38" s="55">
        <v>6.5</v>
      </c>
      <c r="G38" s="55">
        <v>5.5</v>
      </c>
      <c r="H38" s="55">
        <v>6</v>
      </c>
      <c r="I38" s="55"/>
      <c r="J38" s="55"/>
      <c r="K38" s="55"/>
      <c r="L38" s="55"/>
      <c r="M38" s="55"/>
      <c r="N38" s="55"/>
      <c r="O38" s="73">
        <v>0.9</v>
      </c>
      <c r="P38" s="37">
        <f>IF(tblVerifyElements[[#This Row],[No.]]="","",COUNT(tblVerifyElements[[#This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f>
        <v>4</v>
      </c>
      <c r="Q38" s="38">
        <f>IF(tblVerifyElements[[#This Row],[No.]]="","",IF(tblVerifyElements[[#This Row],[Cycles]]=0,"",AVERAGE(tblVerifyElements[[#This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f>
        <v>6</v>
      </c>
      <c r="R38" s="39">
        <f>IF(tblVerifyElements[[#This Row],[No.]]="","",IF(tblVerifyElements[[#This Row],[Cycles]]=0,"",MIN(tblVerifyElements[[#This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f>
        <v>5.5</v>
      </c>
      <c r="S38" s="39">
        <f>IF(tblVerifyElements[[#This Row],[No.]]="","",IF(tblVerifyElements[[#This Row],[Cycles]]=0,"",MAX(tblVerifyElements[[#This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f>
        <v>6.5</v>
      </c>
      <c r="T38" s="38">
        <f>IF(tblVerifyElements[[#This Row],[No.]]="","",IF(tblVerifyElements[[#This Row],[Cycles]]=0,"",tblVerifyElements[[#This Row],[Mean (s)]]*IF(tblVerifyElements[[#This Row],[Type]]="Machine",1,tblVerifyElements[[#This Row],[Rating (%)]])))</f>
        <v>5.4</v>
      </c>
      <c r="U38" s="40">
        <f>IF(tblVerifyElements[[#This Row],[No.]]="","",IF(tblVerifyElements[[#This Row],[Type]]="Machine",0,$E$30))</f>
        <v>0.1</v>
      </c>
      <c r="V38" s="38">
        <f>IF(tblVerifyElements[[#This Row],[No.]]="","",IF(tblVerifyElements[[#This Row],[Cycles]]=0,"",tblVerifyElements[[#This Row],[Normal (s)]]*(1+tblVerifyElements[[#This Row],[Allowance (%)]])))</f>
        <v>5.94</v>
      </c>
      <c r="W38" s="39">
        <f>IF(tblVerifyElements[[#This Row],[No.]]="","",SUMIFS(tblVerifyElements[Standard (s)],tblVerifyElements[No.],"&lt;"&amp;tblVerifyElements[[#This Row],[No.]]))</f>
        <v>37.6</v>
      </c>
      <c r="X38" s="37">
        <f>IF(tblVerifyElements[[#This Row],[No.]]="","",IF(tblVerifyElements[[#This Row],[Cycles]]&lt;2,"",ROUNDUP((40*SQRT(MAX(0,tblVerifyElements[[#This Row],[Cycles]]*SUMSQ(tblVerifyElements[[#This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(s)]])-SUM(tblVerifyElements[[#This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(s)]])^2))/SUM(tblVerifyElements[[#This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(s)]]))^2,0)))</f>
        <v>6</v>
      </c>
      <c r="Y38" s="41" t="str">
        <f>IF(tblVerifyElements[[#This Row],[No.]]="","",IF(tblVerifyElements[[#This Row],[Element]]="","Missing element",IF(tblVerifyElements[[#This Row],[Type]]="","Missing type",IF(tblVerifyElements[[#This Row],[Rating (%)]]="","Missing rating",IF(COUNTIF(tblVerifyElements[No.],tblVerifyElements[[#This Row],[No.]])&gt;1,"Duplicate element number",IF(tblVerifyElements[[#This Row],[Cycles]]&lt;3,"Fewer than 3 readings",IF(AND(tblVerifyElements[[#This Row],[Type]]="Machine",tblVerifyElements[[#This Row],[Rating (%)]]&lt;&gt;1),"Machine element: rating not used",IF(OR(tblVerifyElements[[#This Row],[Max (s)]]&gt;1.5*tblVerifyElements[[#This Row],[Mean (s)]],tblVerifyElements[[#This Row],[Min (s)]]&lt;0.5*tblVerifyElements[[#This Row],[Mean (s)]]),"Check outlier reading",IF(tblVerifyElements[[#This Row],[Cycles]]&lt;tblVerifyElements[[#This Row],[Cycles needed]],"Study more cycles","OK")))))))))</f>
        <v>Study more cycles</v>
      </c>
    </row>
    <row r="39" spans="2:25">
      <c r="B39" s="72">
        <v>5</v>
      </c>
      <c r="C39" s="61" t="s">
        <v>234</v>
      </c>
      <c r="D39" s="61" t="s">
        <v>103</v>
      </c>
      <c r="E39" s="55">
        <v>3</v>
      </c>
      <c r="F39" s="55">
        <v>3.2</v>
      </c>
      <c r="G39" s="55"/>
      <c r="H39" s="55"/>
      <c r="I39" s="55"/>
      <c r="J39" s="55"/>
      <c r="K39" s="55"/>
      <c r="L39" s="55"/>
      <c r="M39" s="55"/>
      <c r="N39" s="55"/>
      <c r="O39" s="73">
        <v>1</v>
      </c>
      <c r="P39" s="37">
        <f>IF(tblVerifyElements[[#This Row],[No.]]="","",COUNT(tblVerifyElements[[#This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f>
        <v>2</v>
      </c>
      <c r="Q39" s="38">
        <f>IF(tblVerifyElements[[#This Row],[No.]]="","",IF(tblVerifyElements[[#This Row],[Cycles]]=0,"",AVERAGE(tblVerifyElements[[#This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f>
        <v>3.1</v>
      </c>
      <c r="R39" s="39">
        <f>IF(tblVerifyElements[[#This Row],[No.]]="","",IF(tblVerifyElements[[#This Row],[Cycles]]=0,"",MIN(tblVerifyElements[[#This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f>
        <v>3</v>
      </c>
      <c r="S39" s="39">
        <f>IF(tblVerifyElements[[#This Row],[No.]]="","",IF(tblVerifyElements[[#This Row],[Cycles]]=0,"",MAX(tblVerifyElements[[#This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f>
        <v>3.2</v>
      </c>
      <c r="T39" s="38">
        <f>IF(tblVerifyElements[[#This Row],[No.]]="","",IF(tblVerifyElements[[#This Row],[Cycles]]=0,"",tblVerifyElements[[#This Row],[Mean (s)]]*IF(tblVerifyElements[[#This Row],[Type]]="Machine",1,tblVerifyElements[[#This Row],[Rating (%)]])))</f>
        <v>3.1</v>
      </c>
      <c r="U39" s="40">
        <f>IF(tblVerifyElements[[#This Row],[No.]]="","",IF(tblVerifyElements[[#This Row],[Type]]="Machine",0,$E$30))</f>
        <v>0.1</v>
      </c>
      <c r="V39" s="38">
        <f>IF(tblVerifyElements[[#This Row],[No.]]="","",IF(tblVerifyElements[[#This Row],[Cycles]]=0,"",tblVerifyElements[[#This Row],[Normal (s)]]*(1+tblVerifyElements[[#This Row],[Allowance (%)]])))</f>
        <v>3.41</v>
      </c>
      <c r="W39" s="39">
        <f>IF(tblVerifyElements[[#This Row],[No.]]="","",SUMIFS(tblVerifyElements[Standard (s)],tblVerifyElements[No.],"&lt;"&amp;tblVerifyElements[[#This Row],[No.]]))</f>
        <v>43.54</v>
      </c>
      <c r="X39" s="37">
        <f>IF(tblVerifyElements[[#This Row],[No.]]="","",IF(tblVerifyElements[[#This Row],[Cycles]]&lt;2,"",ROUNDUP((40*SQRT(MAX(0,tblVerifyElements[[#This Row],[Cycles]]*SUMSQ(tblVerifyElements[[#This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(s)]])-SUM(tblVerifyElements[[#This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(s)]])^2))/SUM(tblVerifyElements[[#This Row],[Obs 1 (s)]],tblVerifyElements[[#This Row],[Obs 2 (s)]],tblVerifyElements[[#This Row],[Obs 3 (s)]],tblVerifyElements[[#This Row],[Obs 4 (s)]],tblVerifyElements[[#This Row],[Obs 5 (s)]],tblVerifyElements[[#This Row],[Obs 6 (s)]],tblVerifyElements[[#This Row],[Obs 7 (s)]],tblVerifyElements[[#This Row],[Obs 8 (s)]],tblVerifyElements[[#This Row],[Obs 9 (s)]],tblVerifyElements[[#This Row],[Obs 10 (s)]]))^2,0)))</f>
        <v>2</v>
      </c>
      <c r="Y39" s="41" t="str">
        <f>IF(tblVerifyElements[[#This Row],[No.]]="","",IF(tblVerifyElements[[#This Row],[Element]]="","Missing element",IF(tblVerifyElements[[#This Row],[Type]]="","Missing type",IF(tblVerifyElements[[#This Row],[Rating (%)]]="","Missing rating",IF(COUNTIF(tblVerifyElements[No.],tblVerifyElements[[#This Row],[No.]])&gt;1,"Duplicate element number",IF(tblVerifyElements[[#This Row],[Cycles]]&lt;3,"Fewer than 3 readings",IF(AND(tblVerifyElements[[#This Row],[Type]]="Machine",tblVerifyElements[[#This Row],[Rating (%)]]&lt;&gt;1),"Machine element: rating not used",IF(OR(tblVerifyElements[[#This Row],[Max (s)]]&gt;1.5*tblVerifyElements[[#This Row],[Mean (s)]],tblVerifyElements[[#This Row],[Min (s)]]&lt;0.5*tblVerifyElements[[#This Row],[Mean (s)]]),"Check outlier reading",IF(tblVerifyElements[[#This Row],[Cycles]]&lt;tblVerifyElements[[#This Row],[Cycles needed]],"Study more cycles","OK")))))))))</f>
        <v>Fewer than 3 readings</v>
      </c>
    </row>
  </sheetData>
  <sheetProtection sheet="1" formatColumns="0" formatRows="0"/>
  <mergeCells count="28">
    <mergeCell ref="A1:Y1"/>
    <mergeCell ref="B2:X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B26:L26"/>
    <mergeCell ref="B28:L28"/>
    <mergeCell ref="B29:F29"/>
    <mergeCell ref="B30:D30"/>
    <mergeCell ref="B31:D31"/>
    <mergeCell ref="B33:L33"/>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4">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Y35:Y39">
    <cfRule type="expression" dxfId="3" priority="41">
      <formula>$Y35="OK"</formula>
    </cfRule>
    <cfRule type="expression" dxfId="1" priority="42">
      <formula>AND($Y35&lt;&gt;"",$Y35&lt;&gt;"OK")</formula>
    </cfRule>
  </conditionalFormatting>
  <hyperlinks>
    <hyperlink ref="Y2" r:id="rId1" tooltip="Free manufacturing calculators and templates"/>
  </hyperlinks>
  <printOptions horizontalCentered="1"/>
  <pageMargins left="0.4" right="0.4" top="0.7" bottom="0.65" header="0.3" footer="0.3"/>
  <pageSetup fitToHeight="0" orientation="landscape"/>
  <headerFooter>
    <oddHeader>&amp;L&amp;8MFG Calcs - Time Study and Standard Work&amp;R&amp;8&amp;A</oddHeader>
    <oddFooter>&amp;L&amp;8mfgcalcs.com - free manufacturing templates&amp;R&amp;8Page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21</vt:i4>
      </vt:variant>
    </vt:vector>
  </HeadingPairs>
  <TitlesOfParts>
    <vt:vector size="27" baseType="lpstr">
      <vt:lpstr>Start Here</vt:lpstr>
      <vt:lpstr>Setup</vt:lpstr>
      <vt:lpstr>Study</vt:lpstr>
      <vt:lpstr>Dashboard</vt:lpstr>
      <vt:lpstr>Method</vt:lpstr>
      <vt:lpstr>Verify</vt:lpstr>
      <vt:lpstr>Allowance</vt:lpstr>
      <vt:lpstr>Analyst</vt:lpstr>
      <vt:lpstr>AvailMin</vt:lpstr>
      <vt:lpstr>Demand</vt:lpstr>
      <vt:lpstr>KpiCycle</vt:lpstr>
      <vt:lpstr>KpiGap</vt:lpstr>
      <vt:lpstr>KpiSAM</vt:lpstr>
      <vt:lpstr>KpiUtil</vt:lpstr>
      <vt:lpstr>OpName</vt:lpstr>
      <vt:lpstr>Dashboard!Print_Area</vt:lpstr>
      <vt:lpstr>Method!Print_Area</vt:lpstr>
      <vt:lpstr>Setup!Print_Area</vt:lpstr>
      <vt:lpstr>'Start Here'!Print_Area</vt:lpstr>
      <vt:lpstr>Study!Print_Area</vt:lpstr>
      <vt:lpstr>Verify!Print_Area</vt:lpstr>
      <vt:lpstr>Method!Print_Titles</vt:lpstr>
      <vt:lpstr>Study!Print_Titles</vt:lpstr>
      <vt:lpstr>SelfCheck</vt:lpstr>
      <vt:lpstr>SelfCheckSummary</vt:lpstr>
      <vt:lpstr>StudyDate</vt:lpstr>
      <vt:lpstr>Takt</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Time Study and Standard Work - free Excel template from MFG Calcs</dc:title>
  <dc:subject>Turn stopwatch readings into normal and standard times per element, check the study size, and compare the standard work combination with takt time.</dc:subject>
  <dc:creator>MFG Calcs</dc:creator>
  <cp:keywords>time study, standard work, standard time, SAM, takt time, PF&amp;D allowance, performance rating, work measurement, standard work combination</cp:keywords>
  <dc:description>https://www.mfgcalcs.com/templates/time-study-standard-work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time-study-standard-work</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study</vt:lpwstr>
  </property>
  <property fmtid="{D5CDD505-2E9C-101B-9397-08002B2CF9AE}" pid="6" name="Template URL">
    <vt:lpwstr>https://www.mfgcalcs.com/templates/time-study-standard-work</vt:lpwstr>
  </property>
  <property fmtid="{D5CDD505-2E9C-101B-9397-08002B2CF9AE}" pid="7" name="Template sheet roles">
    <vt:lpwstr>Start Here=start;Setup=setup;Study=work;Dashboard=dashboard;Method=method;Verify=verify</vt:lpwstr>
  </property>
</Properties>
</file>