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Tool Change Log" sheetId="3" r:id="rId3"/>
    <sheet name="Dashboard" sheetId="4" r:id="rId4"/>
    <sheet name="Method" sheetId="5" r:id="rId5"/>
    <sheet name="Verify" sheetId="6" r:id="rId6"/>
  </sheets>
  <definedNames>
    <definedName name="Currency">Setup!$C$7</definedName>
    <definedName name="DashFrom">Dashboard!$G$4</definedName>
    <definedName name="DashMachine">Dashboard!$C$4</definedName>
    <definedName name="DashTo">Dashboard!$K$4</definedName>
    <definedName name="FFrom">IF(DashFrom="",0,DashFrom)</definedName>
    <definedName name="FTo">IF(DashTo="",2958465,DashTo)</definedName>
    <definedName name="KpiChanges">Dashboard!$B$30</definedName>
    <definedName name="KpiExcess">Dashboard!$J$8</definedName>
    <definedName name="KpiLife">Dashboard!$B$8</definedName>
    <definedName name="KpiLowTool">Dashboard!$G$30</definedName>
    <definedName name="KpiPlanned">Dashboard!$D$30</definedName>
    <definedName name="KpiPrem">Dashboard!$D$8</definedName>
    <definedName name="KpiSpend">Dashboard!$G$8</definedName>
    <definedName name="KpiTopReason">Dashboard!$J$30</definedName>
    <definedName name="Machines">tblMachines[Machine]</definedName>
    <definedName name="PrematureLimit">Setup!$C$9</definedName>
    <definedName name="_xlnm.Print_Area" localSheetId="3">Dashboard!$A$1:$L$97</definedName>
    <definedName name="_xlnm.Print_Area" localSheetId="4">Method!$A$1:$D$58</definedName>
    <definedName name="_xlnm.Print_Area" localSheetId="1">Setup!$A$1:$J$46</definedName>
    <definedName name="_xlnm.Print_Area" localSheetId="0">'Start Here'!$A$1:$F$56</definedName>
    <definedName name="_xlnm.Print_Area" localSheetId="2">'Tool Change Log'!$A$1:$Q$122</definedName>
    <definedName name="_xlnm.Print_Area" localSheetId="5">Verify!$A$1:$Q$62</definedName>
    <definedName name="_xlnm.Print_Titles" localSheetId="4">Method!$1:$2</definedName>
    <definedName name="_xlnm.Print_Titles" localSheetId="2">'Tool Change Log'!$1:$6</definedName>
    <definedName name="Reasons">tblReasons[Reason]</definedName>
    <definedName name="SelfCheck">Verify!$D$4</definedName>
    <definedName name="SelfCheckSummary">Verify!$F$4</definedName>
    <definedName name="ShopName">Setup!$C$6</definedName>
    <definedName name="TargetLife">Setup!$C$8</definedName>
    <definedName name="Tools">tblTools[Tool ID]</definedName>
  </definedNames>
  <calcPr calcId="124519" fullCalcOnLoad="1"/>
</workbook>
</file>

<file path=xl/sharedStrings.xml><?xml version="1.0" encoding="utf-8"?>
<sst xmlns="http://schemas.openxmlformats.org/spreadsheetml/2006/main" count="1079" uniqueCount="315">
  <si>
    <t>Cutting Tool Life Tracker</t>
  </si>
  <si>
    <t>Read this first: what the workbook does and how to use it.</t>
  </si>
  <si>
    <t>mfgcalcs.com</t>
  </si>
  <si>
    <t>Log every edge and tool change with the parts it made and why it came off, and see life achieved, early failures and tool cost per part by tool and machine.</t>
  </si>
  <si>
    <t>For: CNC shop leads, manufacturing and process engineers, tool crib managers and machine-shop owners.</t>
  </si>
  <si>
    <t>Version 1.0.0  ·  updated 15 October 2026</t>
  </si>
  <si>
    <t>Quick start</t>
  </si>
  <si>
    <t>1.</t>
  </si>
  <si>
    <t>On Setup, type your shop name, currency and targets, then replace the example machines, tools (price, edges or regrind lives, standard life) and change reasons.</t>
  </si>
  <si>
    <t>2.</t>
  </si>
  <si>
    <t>On Tool Change Log, add one row each time an edge is indexed or a tool is changed: date, machine, tool, part number, parts made on that life and the reason.</t>
  </si>
  <si>
    <t>3.</t>
  </si>
  <si>
    <t>Read the Check column: anything other than OK names the problem in words.</t>
  </si>
  <si>
    <t>4.</t>
  </si>
  <si>
    <t>Open the Dashboard and use the machine and date filters to look at one machine or one week.</t>
  </si>
  <si>
    <t>5.</t>
  </si>
  <si>
    <t>Start with the tools at the top of the early-change Pareto and the lowest life achieved.</t>
  </si>
  <si>
    <t>What is in this workbook</t>
  </si>
  <si>
    <t>Start Here</t>
  </si>
  <si>
    <t>Setup</t>
  </si>
  <si>
    <t>Your plant, currency, targets and the dropdown lists.</t>
  </si>
  <si>
    <t>Tool Change Log</t>
  </si>
  <si>
    <t>One row each time an edge is indexed or a tool is changed: parts made on that life and why it came off.</t>
  </si>
  <si>
    <t>Dashboard</t>
  </si>
  <si>
    <t>Life achieved against standard, early tool changes and their cost, for the machine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</si>
  <si>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</si>
  <si>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</si>
  <si>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</si>
  <si>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</si>
  <si>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</si>
  <si>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</si>
  <si>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</si>
  <si>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</si>
  <si>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</si>
  <si>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</si>
  <si>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</si>
  <si>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</si>
  <si>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</si>
  <si>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</si>
  <si>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</si>
  <si>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</si>
  <si>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</si>
  <si>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</si>
  <si>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</si>
  <si>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</si>
  <si>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Insert Cost per Part Calculator on mfgcalcs.com</t>
  </si>
  <si>
    <t>Latest version</t>
  </si>
  <si>
    <t>mfgcalcs.com/templates/tool-life-tracker</t>
  </si>
  <si>
    <t>More free templates</t>
  </si>
  <si>
    <t>mfgcalcs.com/templates</t>
  </si>
  <si>
    <t>Version</t>
  </si>
  <si>
    <t>1.0.0 (updated 15 October 2026)</t>
  </si>
  <si>
    <t>About the example data</t>
  </si>
  <si>
    <t>Every number already in this workbook is example data for Kestrel Precision Machining, a fictional business invented for this template, so the dashboard and charts show something meaningful on day one. It covers eight tracked tools on five CNC machines over six weeks (24 August to 2 October 2026), generated from a fixed seed. Prices are examples: use your supplier's.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</si>
  <si>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</si>
  <si>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</si>
  <si>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</si>
  <si>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</si>
  <si>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</si>
  <si>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</si>
  <si>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</si>
  <si>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</si>
  <si>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</si>
  <si>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Type</t>
  </si>
  <si>
    <t>Notes</t>
  </si>
  <si>
    <t>Tool ID</t>
  </si>
  <si>
    <t>Description</t>
  </si>
  <si>
    <t>Price</t>
  </si>
  <si>
    <t>Lives per tool</t>
  </si>
  <si>
    <t>Regrind cost</t>
  </si>
  <si>
    <t>Standard life (parts)</t>
  </si>
  <si>
    <t>Cost per life</t>
  </si>
  <si>
    <t>Standard cost per part</t>
  </si>
  <si>
    <t>Reason</t>
  </si>
  <si>
    <t>Definition</t>
  </si>
  <si>
    <t>Category</t>
  </si>
  <si>
    <t>Shop and targets</t>
  </si>
  <si>
    <t>Shop or cell name</t>
  </si>
  <si>
    <t>Kestrel Precision Machining (example)</t>
  </si>
  <si>
    <t>Currency label</t>
  </si>
  <si>
    <t>USD</t>
  </si>
  <si>
    <t>Life achieved target</t>
  </si>
  <si>
    <t>Premature failure limit</t>
  </si>
  <si>
    <t>Targets are yours to set; nothing in this workbook assumes an industry benchmark. 'Near target' means within 5% of the target (85.5% to 90% against a 90% life target).</t>
  </si>
  <si>
    <t>Lists that feed the dropdowns</t>
  </si>
  <si>
    <t>Edit, add or remove rows; every dropdown on the log reads these lists. Keep IDs unique: log rows that use a renamed ID stop matching and their Check column says so. Prices are examples: use your supplier's.</t>
  </si>
  <si>
    <t>Machines</t>
  </si>
  <si>
    <t>L-1</t>
  </si>
  <si>
    <t>CNC lathe</t>
  </si>
  <si>
    <t>Shafts</t>
  </si>
  <si>
    <t>L-2</t>
  </si>
  <si>
    <t>Bushes</t>
  </si>
  <si>
    <t>V-1</t>
  </si>
  <si>
    <t>Vertical machining centre</t>
  </si>
  <si>
    <t>Manifolds</t>
  </si>
  <si>
    <t>V-2</t>
  </si>
  <si>
    <t>Housings</t>
  </si>
  <si>
    <t>H-1</t>
  </si>
  <si>
    <t>Horizontal machining centre</t>
  </si>
  <si>
    <t>Valve bodies</t>
  </si>
  <si>
    <t>Tools tracked (prices are examples)</t>
  </si>
  <si>
    <t>T-101</t>
  </si>
  <si>
    <t>CNMG 120408 roughing insert</t>
  </si>
  <si>
    <t>Turning insert</t>
  </si>
  <si>
    <t>T-102</t>
  </si>
  <si>
    <t>DNMG 150604 finishing insert</t>
  </si>
  <si>
    <t>T-103</t>
  </si>
  <si>
    <t>3 mm grooving insert</t>
  </si>
  <si>
    <t>Grooving insert</t>
  </si>
  <si>
    <t>T-201</t>
  </si>
  <si>
    <t>APKT 1604 inserts, set of 5</t>
  </si>
  <si>
    <t>Milling insert</t>
  </si>
  <si>
    <t>T-202</t>
  </si>
  <si>
    <t>10 mm 4-flute carbide end mill</t>
  </si>
  <si>
    <t>Solid end mill</t>
  </si>
  <si>
    <t>T-203</t>
  </si>
  <si>
    <t>6.8 mm carbide drill</t>
  </si>
  <si>
    <t>Drill</t>
  </si>
  <si>
    <t>T-204</t>
  </si>
  <si>
    <t>M8 spiral-flute tap, HSS-E</t>
  </si>
  <si>
    <t>Tap</t>
  </si>
  <si>
    <t>T-205</t>
  </si>
  <si>
    <t>8 mm H7 carbide reamer</t>
  </si>
  <si>
    <t>Reamer</t>
  </si>
  <si>
    <t>Change reasons</t>
  </si>
  <si>
    <t>Life limit reached</t>
  </si>
  <si>
    <t>At the tool-life counter or planned count</t>
  </si>
  <si>
    <t>Planned</t>
  </si>
  <si>
    <t>Flank wear</t>
  </si>
  <si>
    <t>Worn edge found before the planned count</t>
  </si>
  <si>
    <t>Wear</t>
  </si>
  <si>
    <t>Crater wear</t>
  </si>
  <si>
    <t>Crater on the rake face before the count</t>
  </si>
  <si>
    <t>Size or finish drift</t>
  </si>
  <si>
    <t>Size or finish drifting toward tolerance</t>
  </si>
  <si>
    <t>Built-up edge</t>
  </si>
  <si>
    <t>Material welded to the edge, poor finish</t>
  </si>
  <si>
    <t>Chipping</t>
  </si>
  <si>
    <t>Pieces missing from the cutting edge</t>
  </si>
  <si>
    <t>Premature failure</t>
  </si>
  <si>
    <t>Breakage</t>
  </si>
  <si>
    <t>Tool or insert broken in the cut</t>
  </si>
  <si>
    <t>Crash or collision</t>
  </si>
  <si>
    <t>Damaged by a collision or set-up error</t>
  </si>
  <si>
    <t>Other</t>
  </si>
  <si>
    <t>Anything else; say what in the Notes</t>
  </si>
  <si>
    <t>Date</t>
  </si>
  <si>
    <t>Part number</t>
  </si>
  <si>
    <t>Parts made</t>
  </si>
  <si>
    <t>Life cost</t>
  </si>
  <si>
    <t>Standard cost</t>
  </si>
  <si>
    <t>Life achieved</t>
  </si>
  <si>
    <t>Cost per part</t>
  </si>
  <si>
    <t>Life status</t>
  </si>
  <si>
    <t>View date</t>
  </si>
  <si>
    <t>Check</t>
  </si>
  <si>
    <t>Example data for Kestrel Precision Machining (fictional). Replace it with your own: select the example rows, right-click, Delete &gt; Table Rows. Yellow = you type; blue = calculated; Check names any problem.</t>
  </si>
  <si>
    <t>MB-3301</t>
  </si>
  <si>
    <t/>
  </si>
  <si>
    <t>SH-2210</t>
  </si>
  <si>
    <t>BU-1407</t>
  </si>
  <si>
    <t>HS-0815</t>
  </si>
  <si>
    <t>VB-6020</t>
  </si>
  <si>
    <t>BU-1530</t>
  </si>
  <si>
    <t>Interrupted cut at the cross hole</t>
  </si>
  <si>
    <t>Offset error after a set-up</t>
  </si>
  <si>
    <t>From</t>
  </si>
  <si>
    <t>To</t>
  </si>
  <si>
    <t>LIFE ACHIEVED (OF STANDARD)</t>
  </si>
  <si>
    <t>PREMATURE FAILURES (OF CHANGES)</t>
  </si>
  <si>
    <t>Cost of every life used up in view</t>
  </si>
  <si>
    <t>Tool spend - standard cost of the parts made</t>
  </si>
  <si>
    <t>TOOL CHANGES</t>
  </si>
  <si>
    <t>CHANGED AT FULL LIFE</t>
  </si>
  <si>
    <t>LOWEST LIFE ACHIEVED</t>
  </si>
  <si>
    <t>BIGGEST EARLY-CHANGE REASON</t>
  </si>
  <si>
    <t>Edges indexed or tools changed in view</t>
  </si>
  <si>
    <t>Share of changes in the Planned category</t>
  </si>
  <si>
    <t>Tool with the lowest life in view</t>
  </si>
  <si>
    <t>Ranked by changes, see the Pareto</t>
  </si>
  <si>
    <t>By tool</t>
  </si>
  <si>
    <t>Tool</t>
  </si>
  <si>
    <t>Changes</t>
  </si>
  <si>
    <t>Early changes</t>
  </si>
  <si>
    <t>Life target</t>
  </si>
  <si>
    <t>Tool spend</t>
  </si>
  <si>
    <t>Above standard</t>
  </si>
  <si>
    <t>By machine</t>
  </si>
  <si>
    <t>Premature failures</t>
  </si>
  <si>
    <t>Premature share</t>
  </si>
  <si>
    <t>Weekly (last 6 weeks in view, oldest first)</t>
  </si>
  <si>
    <t>Week starting (Mon)</t>
  </si>
  <si>
    <t>Spend at standard life</t>
  </si>
  <si>
    <t>Spend above standard</t>
  </si>
  <si>
    <t>Early changes by reason (Pareto)</t>
  </si>
  <si>
    <t>Rank</t>
  </si>
  <si>
    <t>Share</t>
  </si>
  <si>
    <t>Cumulative</t>
  </si>
  <si>
    <t>Helper: Reason (list order)</t>
  </si>
  <si>
    <t>Helper: value (-1 = unused slot)</t>
  </si>
  <si>
    <t>Helper: rank, ties by list order</t>
  </si>
  <si>
    <t>changes</t>
  </si>
  <si>
    <t>%</t>
  </si>
  <si>
    <t>Total</t>
  </si>
  <si>
    <t>The Dashboard shows the 8 tools, 5 machines and 9 reasons of the Setup lists. If you add more, extend the 'By tool', 'By machine' and Pareto blocks (see Method) or they will not appear here.</t>
  </si>
  <si>
    <t>What this workbook calculates</t>
  </si>
  <si>
    <t>Every time an insert edge is indexed or a solid tool is changed, the log records how many parts that life made and why it ended. Comparing parts made with the standard life (the count the tool-life counter or the plan allows) gives life achieved; the cost of a life spread over the parts it made gives tool cost per part. A life that ends early costs as much as a full one but makes fewer parts, and the Dashboard puts a number on that: spend above standard.</t>
  </si>
  <si>
    <t>Calculations</t>
  </si>
  <si>
    <t>Quantity</t>
  </si>
  <si>
    <t>How it is calculated</t>
  </si>
  <si>
    <t>Units</t>
  </si>
  <si>
    <t>Cost per life (Setup)</t>
  </si>
  <si>
    <t>(Price + regrind cost x (lives per tool - 1)) / lives per tool. An insert with 4 edges and no regrinds: price / 4.</t>
  </si>
  <si>
    <t>currency/life</t>
  </si>
  <si>
    <t>Standard cost per part (Setup)</t>
  </si>
  <si>
    <t>Cost per life / standard life: the tool cost of one part when every life reaches its standard.</t>
  </si>
  <si>
    <t>currency/part</t>
  </si>
  <si>
    <t>Standard life, life cost, category</t>
  </si>
  <si>
    <t>Looked up from the Tools and Reasons lists on Setup by tool ID and reason (INDEX/MATCH).</t>
  </si>
  <si>
    <t>parts, currency, -</t>
  </si>
  <si>
    <t>Parts made / standard life for one row. Over several rows: sum of parts made / sum of standard lives, so long and short lives weigh by their parts.</t>
  </si>
  <si>
    <t>Life cost / parts made for one row; over several rows, sum of life costs / sum of parts made for the same tool. Not added across tools: a part cut by four tools carries four tools' costs.</t>
  </si>
  <si>
    <t>Parts made x life cost / standard life: what the parts made would have cost at the standard life.</t>
  </si>
  <si>
    <t>currency</t>
  </si>
  <si>
    <t>Sum of life costs of the changes in view: each logged change uses up one life.</t>
  </si>
  <si>
    <t>Spend above standard (est.)</t>
  </si>
  <si>
    <t>Tool spend - standard cost. Positive when lives end early, negative when they run past the standard. Tool cost only; it leaves out machine time, scrap and set-up.</t>
  </si>
  <si>
    <t>Premature failure share</t>
  </si>
  <si>
    <t>Changes whose reason is in the Premature failure category (chipping, breakage, crash) / all changes in view.</t>
  </si>
  <si>
    <t>Changes whose reason is not in the Planned category, counted per reason and ranked largest first (Pareto by COUNTIF ranks, ties keep list order; helper columns AO:AQ on the Dashboard are hidden).</t>
  </si>
  <si>
    <t>Dashboard roll-ups</t>
  </si>
  <si>
    <t>SUMIFS and COUNTIFS over the log restricted to rows whose View date is filled in (inside the machine and date filters).</t>
  </si>
  <si>
    <t>-</t>
  </si>
  <si>
    <t>Assumptions</t>
  </si>
  <si>
    <t>One row per life: an edge indexed, an insert set changed or a solid tool swapped. Changing a full set of inserts on a cutter is one row with the set's price.</t>
  </si>
  <si>
    <t>Parts made is the count for that life only, including any scrap the tool cut.</t>
  </si>
  <si>
    <t>A solid tool's lives are the new tool plus its planned regrinds; every life is assumed to cost the same (price and regrinds averaged).</t>
  </si>
  <si>
    <t>The standard life is the planned count for that tool on your parts; it is not a published or catalogue tool life.</t>
  </si>
  <si>
    <t>Limitations</t>
  </si>
  <si>
    <t>Tool life depends on material, cutting data and the part; a tool that runs different jobs on different machines shares one standard life here. Track it under two tool IDs if the jobs differ a lot.</t>
  </si>
  <si>
    <t>Spend above standard counts tool cost only, not the machine time, scrap or rework that a broken tool causes.</t>
  </si>
  <si>
    <t>The Dashboard has fixed blocks for the number of tools, machines and reasons in the example lists; longer lists need the blocks extended (a warning appears on the Dashboard).</t>
  </si>
  <si>
    <t>The weekly block shows the last 6 weeks inside the filters.</t>
  </si>
  <si>
    <t>Agreement with the live calculator</t>
  </si>
  <si>
    <t>For a tool without regrinds whose edges reach their standard life, the workbook's cost per part equals the live Insert Cost per Part calculator: insert price / (usable edges x parts per edge). The calculator works on one insert at its planned life; the workbook logs each life as it really ended, so its cost per part rises when edges end early. The template's reference implementation is checked against the calculator's engine for the calculator's own example (18.00 per insert, 4 edges, 60 parts per edge: 0.0750 per part) and for tool T-101 on every build.</t>
  </si>
  <si>
    <t>Open the Insert Cost per Part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</si>
  <si>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</si>
  <si>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</si>
  <si>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3685:1993, Tool-life testing with single-point turning tools (definitions of tool life and wear criteria; this workbook tracks production counts, not test results).</t>
  </si>
  <si>
    <t>ISO 8688-1 and 8688-2, Tool life testing in milling (face and end milling).</t>
  </si>
  <si>
    <t>MFG Calcs Insert Cost per Part calculator (insert-cost-per-part): the same cost per part for one insert.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</si>
  <si>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</si>
  <si>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</si>
  <si>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</si>
  <si>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</si>
  <si>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</si>
  <si>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</si>
  <si>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</si>
  <si>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</si>
  <si>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</si>
  <si>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</si>
  <si>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</si>
  <si>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</si>
  <si>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</si>
  <si>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</si>
  <si>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</si>
  <si>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Tool X-1: cost per life</t>
  </si>
  <si>
    <t>Tool X-1: standard cost per part</t>
  </si>
  <si>
    <t>Tool X-2: cost per life</t>
  </si>
  <si>
    <t>Tool X-2: standard cost per part</t>
  </si>
  <si>
    <t>Tool X-3: cost per life</t>
  </si>
  <si>
    <t>Tool X-3: standard cost per part</t>
  </si>
  <si>
    <t>Row 1 (calculator example): life achieved</t>
  </si>
  <si>
    <t>Row 1 (calculator example): standard cost</t>
  </si>
  <si>
    <t>Row 1 (calculator example): cost per part</t>
  </si>
  <si>
    <t>Row 2 (chipped early): life achieved</t>
  </si>
  <si>
    <t>Row 2 (chipped early): standard cost</t>
  </si>
  <si>
    <t>Row 2 (chipped early): cost per part</t>
  </si>
  <si>
    <t>Row 3 (regrind tool, worn): life achieved</t>
  </si>
  <si>
    <t>Row 3 (regrind tool, worn): standard cost</t>
  </si>
  <si>
    <t>Row 3 (regrind tool, worn): cost per part</t>
  </si>
  <si>
    <t>Row 4 (broke on the first part): life achieved</t>
  </si>
  <si>
    <t>Row 4 (broke on the first part): standard cost</t>
  </si>
  <si>
    <t>Row 4: cost per part is blank when no parts were made</t>
  </si>
  <si>
    <t>exact</t>
  </si>
  <si>
    <t>Row 1: life status at 100% against a 90% target</t>
  </si>
  <si>
    <t>On target</t>
  </si>
  <si>
    <t>Row 3: life status at 86% against a 90% target</t>
  </si>
  <si>
    <t>Near target</t>
  </si>
  <si>
    <t>Row 2: life status at 70% against a 90% target</t>
  </si>
  <si>
    <t>Below target</t>
  </si>
  <si>
    <t>Row 5: Check reports parts above 3x standard</t>
  </si>
  <si>
    <t>Parts above 3x standard: check count</t>
  </si>
  <si>
    <t>All rows: life achieved (Dashboard formula)</t>
  </si>
  <si>
    <t>All rows: premature failure share (Dashboard formula)</t>
  </si>
  <si>
    <t>All rows: tool spend (Dashboard formula)</t>
  </si>
  <si>
    <t>All rows: spend above standard (Dashboard formula)</t>
  </si>
  <si>
    <t>Fixed test inputs</t>
  </si>
  <si>
    <t>White cells are fixed test inputs; blue cells are the workbook's formulas evaluated on them.</t>
  </si>
  <si>
    <t>Parameters</t>
  </si>
  <si>
    <t>Filter: from (0 = no limit)</t>
  </si>
  <si>
    <t>Filter: to (2958465 = no limit)</t>
  </si>
  <si>
    <t>Filter: machine (blank = all)</t>
  </si>
  <si>
    <t>Test table: Tools</t>
  </si>
  <si>
    <t>X-1</t>
  </si>
  <si>
    <t>Calculator example insert</t>
  </si>
  <si>
    <t>X-2</t>
  </si>
  <si>
    <t>Solid end mill with 2 regrinds</t>
  </si>
  <si>
    <t>X-3</t>
  </si>
  <si>
    <t>Tap, no regrind</t>
  </si>
  <si>
    <t>Test table: Changes</t>
  </si>
  <si>
    <t>M1</t>
  </si>
  <si>
    <t>P1</t>
  </si>
  <si>
    <t>M2</t>
  </si>
  <si>
    <t>P2</t>
  </si>
</sst>
</file>

<file path=xl/styles.xml><?xml version="1.0" encoding="utf-8"?>
<styleSheet xmlns="http://schemas.openxmlformats.org/spreadsheetml/2006/main">
  <numFmts count="10">
    <numFmt numFmtId="164" formatCode="0.0%"/>
    <numFmt numFmtId="165" formatCode="#,##0.00"/>
    <numFmt numFmtId="166" formatCode="#,##0"/>
    <numFmt numFmtId="167" formatCode="#,##0.0000"/>
    <numFmt numFmtId="168" formatCode="d mmm yyyy"/>
    <numFmt numFmtId="169" formatCode="0%"/>
    <numFmt numFmtId="170" formatCode="&quot;Target &quot;0.0%"/>
    <numFmt numFmtId="171" formatCode="&quot;Limit &quot;0.0%"/>
    <numFmt numFmtId="172" formatCode="d mmm"/>
    <numFmt numFmtId="173"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20"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168" fontId="10" fillId="3" borderId="2" xfId="0" applyNumberFormat="1" applyFont="1" applyFill="1" applyBorder="1" applyAlignment="1" applyProtection="1">
      <alignment horizontal="left" vertical="center"/>
      <protection locked="0"/>
    </xf>
    <xf numFmtId="0" fontId="19"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9" fontId="10" fillId="0" borderId="9" xfId="0" applyNumberFormat="1" applyFont="1" applyBorder="1" applyAlignment="1">
      <alignment vertical="center"/>
    </xf>
    <xf numFmtId="172" fontId="9" fillId="0" borderId="9" xfId="0" applyNumberFormat="1" applyFont="1" applyBorder="1" applyAlignment="1">
      <alignment vertical="center"/>
    </xf>
    <xf numFmtId="166" fontId="9" fillId="0" borderId="9" xfId="0" applyNumberFormat="1" applyFont="1" applyBorder="1" applyAlignment="1">
      <alignment horizontal="center" vertical="center"/>
    </xf>
    <xf numFmtId="164" fontId="10" fillId="4" borderId="3" xfId="0" applyNumberFormat="1" applyFont="1" applyFill="1" applyBorder="1" applyAlignment="1">
      <alignment vertical="center"/>
    </xf>
    <xf numFmtId="166" fontId="10" fillId="0" borderId="0" xfId="0" applyNumberFormat="1" applyFont="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Life achieved by tool (share of standard life)</a:t>
            </a:r>
          </a:p>
        </c:rich>
      </c:tx>
      <c:layout/>
    </c:title>
    <c:plotArea>
      <c:layout/>
      <c:barChart>
        <c:barDir val="col"/>
        <c:grouping val="clustered"/>
        <c:ser>
          <c:idx val="0"/>
          <c:order val="0"/>
          <c:tx>
            <c:v>Life achieved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Dashboard!$B$54:$B$61</c:f>
              <c:strCache>
                <c:ptCount val="8"/>
                <c:pt idx="0">
                  <c:v>T-101</c:v>
                </c:pt>
                <c:pt idx="1">
                  <c:v>T-102</c:v>
                </c:pt>
                <c:pt idx="2">
                  <c:v>T-103</c:v>
                </c:pt>
                <c:pt idx="3">
                  <c:v>T-201</c:v>
                </c:pt>
                <c:pt idx="4">
                  <c:v>T-202</c:v>
                </c:pt>
                <c:pt idx="5">
                  <c:v>T-203</c:v>
                </c:pt>
                <c:pt idx="6">
                  <c:v>T-204</c:v>
                </c:pt>
                <c:pt idx="7">
                  <c:v>T-205</c:v>
                </c:pt>
              </c:strCache>
            </c:strRef>
          </c:cat>
          <c:val>
            <c:numRef>
              <c:f>Dashboard!$F$54:$F$61</c:f>
              <c:numCache>
                <c:formatCode>General</c:formatCode>
                <c:ptCount val="8"/>
                <c:pt idx="0">
                  <c:v>0.727546296296296</c:v>
                </c:pt>
                <c:pt idx="1">
                  <c:v>0.898295454545455</c:v>
                </c:pt>
                <c:pt idx="2">
                  <c:v>0.835555555555556</c:v>
                </c:pt>
                <c:pt idx="3">
                  <c:v>0.94156378600823</c:v>
                </c:pt>
                <c:pt idx="4">
                  <c:v>0.927692307692308</c:v>
                </c:pt>
                <c:pt idx="5">
                  <c:v>0.958333333333333</c:v>
                </c:pt>
                <c:pt idx="6">
                  <c:v>1</c:v>
                </c:pt>
                <c:pt idx="7">
                  <c:v>1</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strRef>
              <c:f>Dashboard!$B$54:$B$61</c:f>
              <c:strCache>
                <c:ptCount val="8"/>
                <c:pt idx="0">
                  <c:v>T-101</c:v>
                </c:pt>
                <c:pt idx="1">
                  <c:v>T-102</c:v>
                </c:pt>
                <c:pt idx="2">
                  <c:v>T-103</c:v>
                </c:pt>
                <c:pt idx="3">
                  <c:v>T-201</c:v>
                </c:pt>
                <c:pt idx="4">
                  <c:v>T-202</c:v>
                </c:pt>
                <c:pt idx="5">
                  <c:v>T-203</c:v>
                </c:pt>
                <c:pt idx="6">
                  <c:v>T-204</c:v>
                </c:pt>
                <c:pt idx="7">
                  <c:v>T-205</c:v>
                </c:pt>
              </c:strCache>
            </c:strRef>
          </c:cat>
          <c:val>
            <c:numRef>
              <c:f>Dashboard!$G$54:$G$61</c:f>
              <c:numCache>
                <c:formatCode>General</c:formatCode>
                <c:ptCount val="8"/>
                <c:pt idx="0">
                  <c:v>0.9</c:v>
                </c:pt>
                <c:pt idx="1">
                  <c:v>0.9</c:v>
                </c:pt>
                <c:pt idx="2">
                  <c:v>0.9</c:v>
                </c:pt>
                <c:pt idx="3">
                  <c:v>0.9</c:v>
                </c:pt>
                <c:pt idx="4">
                  <c:v>0.9</c:v>
                </c:pt>
                <c:pt idx="5">
                  <c:v>0.9</c:v>
                </c:pt>
                <c:pt idx="6">
                  <c:v>0.9</c:v>
                </c:pt>
                <c:pt idx="7">
                  <c:v>0.9</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majorUnit val="0.2"/>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Early tool changes by reason</a:t>
            </a:r>
          </a:p>
        </c:rich>
      </c:tx>
      <c:layout/>
    </c:title>
    <c:plotArea>
      <c:layout/>
      <c:barChart>
        <c:barDir val="col"/>
        <c:grouping val="clustered"/>
        <c:ser>
          <c:idx val="0"/>
          <c:order val="0"/>
          <c:tx>
            <c:v>Changes</c:v>
          </c:tx>
          <c:spPr>
            <a:solidFill>
              <a:srgbClr val="3B64D8"/>
            </a:solidFill>
            <a:ln w="9525">
              <a:solidFill>
                <a:srgbClr val="FFFFFF"/>
              </a:solidFill>
            </a:ln>
          </c:spPr>
          <c:cat>
            <c:strRef>
              <c:f>Dashboard!$C$85:$C$93</c:f>
              <c:strCache>
                <c:ptCount val="9"/>
                <c:pt idx="0">
                  <c:v>Chipping</c:v>
                </c:pt>
                <c:pt idx="1">
                  <c:v>Flank wear</c:v>
                </c:pt>
                <c:pt idx="2">
                  <c:v>Size or finish drift</c:v>
                </c:pt>
                <c:pt idx="3">
                  <c:v>Built-up edge</c:v>
                </c:pt>
                <c:pt idx="4">
                  <c:v>Crater wear</c:v>
                </c:pt>
                <c:pt idx="5">
                  <c:v>Breakage</c:v>
                </c:pt>
                <c:pt idx="6">
                  <c:v>Crash or collision</c:v>
                </c:pt>
                <c:pt idx="7">
                  <c:v>Other</c:v>
                </c:pt>
                <c:pt idx="8">
                  <c:v>Life limit reached</c:v>
                </c:pt>
              </c:strCache>
            </c:strRef>
          </c:cat>
          <c:val>
            <c:numRef>
              <c:f>Dashboard!$E$85:$E$93</c:f>
              <c:numCache>
                <c:formatCode>General</c:formatCode>
                <c:ptCount val="9"/>
                <c:pt idx="0">
                  <c:v>15</c:v>
                </c:pt>
                <c:pt idx="1">
                  <c:v>8</c:v>
                </c:pt>
                <c:pt idx="2">
                  <c:v>6</c:v>
                </c:pt>
                <c:pt idx="3">
                  <c:v>3</c:v>
                </c:pt>
                <c:pt idx="4">
                  <c:v>2</c:v>
                </c:pt>
                <c:pt idx="5">
                  <c:v>2</c:v>
                </c:pt>
                <c:pt idx="6">
                  <c:v>2</c:v>
                </c:pt>
                <c:pt idx="7">
                  <c:v>1</c:v>
                </c:pt>
                <c:pt idx="8">
                  <c:v>0</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Dashboard!$C$85:$C$93</c:f>
              <c:strCache>
                <c:ptCount val="9"/>
                <c:pt idx="0">
                  <c:v>Chipping</c:v>
                </c:pt>
                <c:pt idx="1">
                  <c:v>Flank wear</c:v>
                </c:pt>
                <c:pt idx="2">
                  <c:v>Size or finish drift</c:v>
                </c:pt>
                <c:pt idx="3">
                  <c:v>Built-up edge</c:v>
                </c:pt>
                <c:pt idx="4">
                  <c:v>Crater wear</c:v>
                </c:pt>
                <c:pt idx="5">
                  <c:v>Breakage</c:v>
                </c:pt>
                <c:pt idx="6">
                  <c:v>Crash or collision</c:v>
                </c:pt>
                <c:pt idx="7">
                  <c:v>Other</c:v>
                </c:pt>
                <c:pt idx="8">
                  <c:v>Life limit reached</c:v>
                </c:pt>
              </c:strCache>
            </c:strRef>
          </c:cat>
          <c:val>
            <c:numRef>
              <c:f>Dashboard!$G$85:$G$93</c:f>
              <c:numCache>
                <c:formatCode>General</c:formatCode>
                <c:ptCount val="9"/>
                <c:pt idx="0">
                  <c:v>0.384615384615385</c:v>
                </c:pt>
                <c:pt idx="1">
                  <c:v>0.58974358974359</c:v>
                </c:pt>
                <c:pt idx="2">
                  <c:v>0.743589743589744</c:v>
                </c:pt>
                <c:pt idx="3">
                  <c:v>0.820512820512821</c:v>
                </c:pt>
                <c:pt idx="4">
                  <c:v>0.871794871794872</c:v>
                </c:pt>
                <c:pt idx="5">
                  <c:v>0.923076923076923</c:v>
                </c:pt>
                <c:pt idx="6">
                  <c:v>0.974358974358974</c:v>
                </c:pt>
                <c:pt idx="7">
                  <c:v>1</c:v>
                </c:pt>
                <c:pt idx="8">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Tool cost per part by tool: actual and standard</a:t>
            </a:r>
          </a:p>
        </c:rich>
      </c:tx>
      <c:layout/>
    </c:title>
    <c:plotArea>
      <c:layout/>
      <c:barChart>
        <c:barDir val="col"/>
        <c:grouping val="clustered"/>
        <c:ser>
          <c:idx val="0"/>
          <c:order val="0"/>
          <c:tx>
            <c:v>Actual</c:v>
          </c:tx>
          <c:spPr>
            <a:solidFill>
              <a:srgbClr val="3B64D8"/>
            </a:solidFill>
            <a:ln w="9525">
              <a:solidFill>
                <a:srgbClr val="FFFFFF"/>
              </a:solidFill>
            </a:ln>
          </c:spPr>
          <c:cat>
            <c:strRef>
              <c:f>Dashboard!$B$54:$B$61</c:f>
              <c:strCache>
                <c:ptCount val="8"/>
                <c:pt idx="0">
                  <c:v>T-101</c:v>
                </c:pt>
                <c:pt idx="1">
                  <c:v>T-102</c:v>
                </c:pt>
                <c:pt idx="2">
                  <c:v>T-103</c:v>
                </c:pt>
                <c:pt idx="3">
                  <c:v>T-201</c:v>
                </c:pt>
                <c:pt idx="4">
                  <c:v>T-202</c:v>
                </c:pt>
                <c:pt idx="5">
                  <c:v>T-203</c:v>
                </c:pt>
                <c:pt idx="6">
                  <c:v>T-204</c:v>
                </c:pt>
                <c:pt idx="7">
                  <c:v>T-205</c:v>
                </c:pt>
              </c:strCache>
            </c:strRef>
          </c:cat>
          <c:val>
            <c:numRef>
              <c:f>Dashboard!$I$54:$I$61</c:f>
              <c:numCache>
                <c:formatCode>General</c:formatCode>
                <c:ptCount val="8"/>
                <c:pt idx="0">
                  <c:v>0.042379891823099</c:v>
                </c:pt>
                <c:pt idx="1">
                  <c:v>0.0281783681214421</c:v>
                </c:pt>
                <c:pt idx="2">
                  <c:v>0.0777925531914894</c:v>
                </c:pt>
                <c:pt idx="3">
                  <c:v>0.306818181818182</c:v>
                </c:pt>
                <c:pt idx="4">
                  <c:v>0.160309563294638</c:v>
                </c:pt>
                <c:pt idx="5">
                  <c:v>0.0591304347826087</c:v>
                </c:pt>
                <c:pt idx="6">
                  <c:v>0.0294444444444444</c:v>
                </c:pt>
                <c:pt idx="7">
                  <c:v>0.136666666666667</c:v>
                </c:pt>
              </c:numCache>
            </c:numRef>
          </c:val>
        </c:ser>
        <c:ser>
          <c:idx val="1"/>
          <c:order val="1"/>
          <c:tx>
            <c:v>At standard life</c:v>
          </c:tx>
          <c:spPr>
            <a:solidFill>
              <a:srgbClr val="E8702A"/>
            </a:solidFill>
            <a:ln w="9525">
              <a:solidFill>
                <a:srgbClr val="FFFFFF"/>
              </a:solidFill>
            </a:ln>
          </c:spPr>
          <c:cat>
            <c:strRef>
              <c:f>Dashboard!$B$54:$B$61</c:f>
              <c:strCache>
                <c:ptCount val="8"/>
                <c:pt idx="0">
                  <c:v>T-101</c:v>
                </c:pt>
                <c:pt idx="1">
                  <c:v>T-102</c:v>
                </c:pt>
                <c:pt idx="2">
                  <c:v>T-103</c:v>
                </c:pt>
                <c:pt idx="3">
                  <c:v>T-201</c:v>
                </c:pt>
                <c:pt idx="4">
                  <c:v>T-202</c:v>
                </c:pt>
                <c:pt idx="5">
                  <c:v>T-203</c:v>
                </c:pt>
                <c:pt idx="6">
                  <c:v>T-204</c:v>
                </c:pt>
                <c:pt idx="7">
                  <c:v>T-205</c:v>
                </c:pt>
              </c:strCache>
            </c:strRef>
          </c:cat>
          <c:val>
            <c:numRef>
              <c:f>Dashboard!$J$54:$J$61</c:f>
              <c:numCache>
                <c:formatCode>General</c:formatCode>
                <c:ptCount val="8"/>
                <c:pt idx="0">
                  <c:v>0.0308333333333333</c:v>
                </c:pt>
                <c:pt idx="1">
                  <c:v>0.0253125</c:v>
                </c:pt>
                <c:pt idx="2">
                  <c:v>0.065</c:v>
                </c:pt>
                <c:pt idx="3">
                  <c:v>0.288888888888889</c:v>
                </c:pt>
                <c:pt idx="4">
                  <c:v>0.148717948717949</c:v>
                </c:pt>
                <c:pt idx="5">
                  <c:v>0.0566666666666667</c:v>
                </c:pt>
                <c:pt idx="6">
                  <c:v>0.0294444444444444</c:v>
                </c:pt>
                <c:pt idx="7">
                  <c:v>0.136666666666667</c:v>
                </c:pt>
              </c:numCache>
            </c:numRef>
          </c:val>
        </c:ser>
        <c:gapWidth val="60"/>
        <c:overlap val="-10"/>
        <c:axId val="50030001"/>
        <c:axId val="50030002"/>
      </c:bar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Weekly tool spend: at standard life and above it</a:t>
            </a:r>
          </a:p>
        </c:rich>
      </c:tx>
      <c:layout/>
    </c:title>
    <c:plotArea>
      <c:layout/>
      <c:barChart>
        <c:barDir val="col"/>
        <c:grouping val="stacked"/>
        <c:ser>
          <c:idx val="0"/>
          <c:order val="0"/>
          <c:tx>
            <c:v>At standard life</c:v>
          </c:tx>
          <c:spPr>
            <a:solidFill>
              <a:srgbClr val="3B64D8"/>
            </a:solidFill>
            <a:ln w="9525">
              <a:solidFill>
                <a:srgbClr val="FFFFFF"/>
              </a:solidFill>
            </a:ln>
          </c:spPr>
          <c:cat>
            <c:numRef>
              <c:f>Dashboard!$B$75:$B$80</c:f>
              <c:numCache>
                <c:formatCode>General</c:formatCode>
                <c:ptCount val="6"/>
                <c:pt idx="0">
                  <c:v>46258</c:v>
                </c:pt>
                <c:pt idx="1">
                  <c:v>46265</c:v>
                </c:pt>
                <c:pt idx="2">
                  <c:v>46272</c:v>
                </c:pt>
                <c:pt idx="3">
                  <c:v>46279</c:v>
                </c:pt>
                <c:pt idx="4">
                  <c:v>46286</c:v>
                </c:pt>
                <c:pt idx="5">
                  <c:v>46293</c:v>
                </c:pt>
              </c:numCache>
            </c:numRef>
          </c:cat>
          <c:val>
            <c:numRef>
              <c:f>Dashboard!$F$75:$F$80</c:f>
              <c:numCache>
                <c:formatCode>General</c:formatCode>
                <c:ptCount val="6"/>
                <c:pt idx="0">
                  <c:v>156.875854700855</c:v>
                </c:pt>
                <c:pt idx="1">
                  <c:v>283.961666666667</c:v>
                </c:pt>
                <c:pt idx="2">
                  <c:v>326.794166666667</c:v>
                </c:pt>
                <c:pt idx="3">
                  <c:v>284.204895833333</c:v>
                </c:pt>
                <c:pt idx="4">
                  <c:v>366.169615384615</c:v>
                </c:pt>
                <c:pt idx="5">
                  <c:v>240.460833333333</c:v>
                </c:pt>
              </c:numCache>
            </c:numRef>
          </c:val>
        </c:ser>
        <c:ser>
          <c:idx val="1"/>
          <c:order val="1"/>
          <c:tx>
            <c:v>Above standard</c:v>
          </c:tx>
          <c:spPr>
            <a:solidFill>
              <a:srgbClr val="E8702A"/>
            </a:solidFill>
            <a:ln w="9525">
              <a:solidFill>
                <a:srgbClr val="FFFFFF"/>
              </a:solidFill>
            </a:ln>
          </c:spPr>
          <c:cat>
            <c:numRef>
              <c:f>Dashboard!$B$75:$B$80</c:f>
              <c:numCache>
                <c:formatCode>General</c:formatCode>
                <c:ptCount val="6"/>
                <c:pt idx="0">
                  <c:v>46258</c:v>
                </c:pt>
                <c:pt idx="1">
                  <c:v>46265</c:v>
                </c:pt>
                <c:pt idx="2">
                  <c:v>46272</c:v>
                </c:pt>
                <c:pt idx="3">
                  <c:v>46279</c:v>
                </c:pt>
                <c:pt idx="4">
                  <c:v>46286</c:v>
                </c:pt>
                <c:pt idx="5">
                  <c:v>46293</c:v>
                </c:pt>
              </c:numCache>
            </c:numRef>
          </c:cat>
          <c:val>
            <c:numRef>
              <c:f>Dashboard!$G$75:$G$80</c:f>
              <c:numCache>
                <c:formatCode>General</c:formatCode>
                <c:ptCount val="6"/>
                <c:pt idx="0">
                  <c:v>53.390811965812</c:v>
                </c:pt>
                <c:pt idx="1">
                  <c:v>13.2216666666667</c:v>
                </c:pt>
                <c:pt idx="2">
                  <c:v>16.4225</c:v>
                </c:pt>
                <c:pt idx="3">
                  <c:v>23.4784375</c:v>
                </c:pt>
                <c:pt idx="4">
                  <c:v>29.8637179487179</c:v>
                </c:pt>
                <c:pt idx="5">
                  <c:v>17.5725</c:v>
                </c:pt>
              </c:numCache>
            </c:numRef>
          </c:val>
        </c:ser>
        <c:gapWidth val="60"/>
        <c:overlap val="100"/>
        <c:axId val="50040001"/>
        <c:axId val="50040002"/>
      </c:barChart>
      <c:catAx>
        <c:axId val="5004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parts made as a share of the standard life for each tracked tool, with the lif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tool changes made before the standard life, by reason, largest first, with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Clustered column chart comparing each tool's actual tool cost per part with its cost per part at the standard lif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Stacked column chart of weekly tool spend split into the cost of the parts made at standard life and the extra spend caused by short tool liv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Machines" displayName="tblMachines" ref="B17:D22" totalsRowShown="0">
  <autoFilter ref="B17:D22"/>
  <tableColumns count="3">
    <tableColumn id="1" name="Machine"/>
    <tableColumn id="2" name="Type"/>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Tools" displayName="tblTools" ref="B26:J34" totalsRowShown="0">
  <autoFilter ref="B26:J34"/>
  <tableColumns count="9">
    <tableColumn id="1" name="Tool ID"/>
    <tableColumn id="2" name="Description"/>
    <tableColumn id="3" name="Type"/>
    <tableColumn id="4" name="Price"/>
    <tableColumn id="5" name="Lives per tool"/>
    <tableColumn id="6" name="Regrind cost"/>
    <tableColumn id="7" name="Standard life (parts)"/>
    <tableColumn id="8" name="Cost per life">
      <calculatedColumnFormula>IF(OR(tblTools[[#This Row],[Price]]="",tblTools[[#This Row],[Lives per tool]]=""),"",(tblTools[[#This Row],[Price]]+tblTools[[#This Row],[Regrind cost]]*(tblTools[[#This Row],[Lives per tool]]-1))/tblTools[[#This Row],[Lives per tool]])</calculatedColumnFormula>
    </tableColumn>
    <tableColumn id="9" name="Standard cost per part">
      <calculatedColumnFormula>IF(OR(tblTools[[#This Row],[Cost per life]]="",tblTools[[#This Row],[Standard life (parts)]]=""),"",tblTools[[#This Row],[Cost per life]]/tblTools[[#This Row],[Standard life (parts)]])</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Reasons" displayName="tblReasons" ref="B37:D46" totalsRowShown="0">
  <autoFilter ref="B37:D46"/>
  <tableColumns count="3">
    <tableColumn id="1" name="Reason"/>
    <tableColumn id="2" name="Definition"/>
    <tableColumn id="3" name="Category"/>
  </tableColumns>
  <tableStyleInfo name="TableStyleLight1" showFirstColumn="0" showLastColumn="0" showRowStripes="0" showColumnStripes="0"/>
</table>
</file>

<file path=xl/tables/table4.xml><?xml version="1.0" encoding="utf-8"?>
<table xmlns="http://schemas.openxmlformats.org/spreadsheetml/2006/main" id="4" name="tblChanges" displayName="tblChanges" ref="B6:Q122" totalsRowShown="0">
  <autoFilter ref="B6:Q122"/>
  <tableColumns count="16">
    <tableColumn id="1" name="Date"/>
    <tableColumn id="2" name="Machine"/>
    <tableColumn id="3" name="Tool ID"/>
    <tableColumn id="4" name="Part number"/>
    <tableColumn id="5" name="Parts made"/>
    <tableColumn id="6" name="Reason"/>
    <tableColumn id="7" name="Standard life (parts)">
      <calculatedColumnFormula>IF(tblChanges[[#This Row],[Date]]="","",IFERROR(INDEX(tblTools[Standard life (parts)],MATCH(tblChanges[[#This Row],[Tool ID]],tblTools[Tool ID],0)),""))</calculatedColumnFormula>
    </tableColumn>
    <tableColumn id="8" name="Life cost">
      <calculatedColumnFormula>IF(tblChanges[[#This Row],[Date]]="","",IFERROR(INDEX(tblTools[Cost per life],MATCH(tblChanges[[#This Row],[Tool ID]],tblTools[Tool ID],0)),""))</calculatedColumnFormula>
    </tableColumn>
    <tableColumn id="9" name="Standard cost">
      <calculatedColumnFormula>IF(tblChanges[[#This Row],[Date]]="","",IF(OR(tblChanges[[#This Row],[Life cost]]="",tblChanges[[#This Row],[Standard life (parts)]]=""),"",tblChanges[[#This Row],[Parts made]]*tblChanges[[#This Row],[Life cost]]/tblChanges[[#This Row],[Standard life (parts)]]))</calculatedColumnFormula>
    </tableColumn>
    <tableColumn id="10" name="Life achieved">
      <calculatedColumnFormula>IF(tblChanges[[#This Row],[Date]]="","",IF(OR(tblChanges[[#This Row],[Standard life (parts)]]="",tblChanges[[#This Row],[Parts made]]=""),"",tblChanges[[#This Row],[Parts made]]/tblChanges[[#This Row],[Standard life (parts)]]))</calculatedColumnFormula>
    </tableColumn>
    <tableColumn id="11" name="Cost per part">
      <calculatedColumnFormula>IF(tblChanges[[#This Row],[Date]]="","",IF(OR(tblChanges[[#This Row],[Life cost]]="",N(tblChanges[[#This Row],[Parts made]])=0),"",tblChanges[[#This Row],[Life cost]]/tblChanges[[#This Row],[Parts made]]))</calculatedColumnFormula>
    </tableColumn>
    <tableColumn id="12" name="Category">
      <calculatedColumnFormula>IF(tblChanges[[#This Row],[Date]]="","",IFERROR(INDEX(tblReasons[Category],MATCH(tblChanges[[#This Row],[Reason]],tblReasons[Reason],0)),""))</calculatedColumnFormula>
    </tableColumn>
    <tableColumn id="13" name="Life status">
      <calculatedColumnFormula>IF(NOT(ISNUMBER(tblChanges[[#This Row],[Life achieved]])),"",IF(tblChanges[[#This Row],[Life achieved]]&gt;=TargetLife,"On target",IF(tblChanges[[#This Row],[Life achieved]]&gt;=TargetLife*(1-0.05),"Near target","Below target")))</calculatedColumnFormula>
    </tableColumn>
    <tableColumn id="14" name="View date">
      <calculatedColumnFormula>IF(tblChanges[[#This Row],[Date]]="","",IF(AND(tblChanges[[#This Row],[Date]]&gt;=FFrom,tblChanges[[#This Row],[Date]]&lt;=FTo,OR(DashMachine="",tblChanges[[#This Row],[Machine]]=DashMachine)),tblChanges[[#This Row],[Date]],""))</calculatedColumnFormula>
    </tableColumn>
    <tableColumn id="15" name="Check">
      <calculatedColumnFormula>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calculatedColumnFormula>
    </tableColumn>
    <tableColumn id="16" name="Notes"/>
  </tableColumns>
  <tableStyleInfo name="TableStyleLight1" showFirstColumn="0" showLastColumn="0" showRowStripes="0" showColumnStripes="0"/>
</table>
</file>

<file path=xl/tables/table5.xml><?xml version="1.0" encoding="utf-8"?>
<table xmlns="http://schemas.openxmlformats.org/spreadsheetml/2006/main" id="5" name="tblVerifyTools" displayName="tblVerifyTools" ref="B50:J53" totalsRowShown="0">
  <tableColumns count="9">
    <tableColumn id="1" name="Tool ID"/>
    <tableColumn id="2" name="Description"/>
    <tableColumn id="3" name="Type"/>
    <tableColumn id="4" name="Price"/>
    <tableColumn id="5" name="Lives per tool"/>
    <tableColumn id="6" name="Regrind cost"/>
    <tableColumn id="7" name="Standard life (parts)"/>
    <tableColumn id="8" name="Cost per life">
      <calculatedColumnFormula>IF(OR(tblVerifyTools[[#This Row],[Price]]="",tblVerifyTools[[#This Row],[Lives per tool]]=""),"",(tblVerifyTools[[#This Row],[Price]]+tblVerifyTools[[#This Row],[Regrind cost]]*(tblVerifyTools[[#This Row],[Lives per tool]]-1))/tblVerifyTools[[#This Row],[Lives per tool]])</calculatedColumnFormula>
    </tableColumn>
    <tableColumn id="9" name="Standard cost per part">
      <calculatedColumnFormula>IF(OR(tblVerifyTools[[#This Row],[Cost per life]]="",tblVerifyTools[[#This Row],[Standard life (parts)]]=""),"",tblVerifyTools[[#This Row],[Cost per life]]/tblVerifyTools[[#This Row],[Standard life (parts)]])</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VerifyChanges" displayName="tblVerifyChanges" ref="B57:Q62" totalsRowShown="0">
  <tableColumns count="16">
    <tableColumn id="1" name="Date"/>
    <tableColumn id="2" name="Machine"/>
    <tableColumn id="3" name="Tool ID"/>
    <tableColumn id="4" name="Part number"/>
    <tableColumn id="5" name="Parts made"/>
    <tableColumn id="6" name="Reason"/>
    <tableColumn id="7" name="Standard life (parts)"/>
    <tableColumn id="8" name="Life cost"/>
    <tableColumn id="9" name="Standard cost">
      <calculatedColumnFormula>IF(tblVerifyChanges[[#This Row],[Date]]="","",IF(OR(tblVerifyChanges[[#This Row],[Life cost]]="",tblVerifyChanges[[#This Row],[Standard life (parts)]]=""),"",tblVerifyChanges[[#This Row],[Parts made]]*tblVerifyChanges[[#This Row],[Life cost]]/tblVerifyChanges[[#This Row],[Standard life (parts)]]))</calculatedColumnFormula>
    </tableColumn>
    <tableColumn id="10" name="Life achieved">
      <calculatedColumnFormula>IF(tblVerifyChanges[[#This Row],[Date]]="","",IF(OR(tblVerifyChanges[[#This Row],[Standard life (parts)]]="",tblVerifyChanges[[#This Row],[Parts made]]=""),"",tblVerifyChanges[[#This Row],[Parts made]]/tblVerifyChanges[[#This Row],[Standard life (parts)]]))</calculatedColumnFormula>
    </tableColumn>
    <tableColumn id="11" name="Cost per part">
      <calculatedColumnFormula>IF(tblVerifyChanges[[#This Row],[Date]]="","",IF(OR(tblVerifyChanges[[#This Row],[Life cost]]="",N(tblVerifyChanges[[#This Row],[Parts made]])=0),"",tblVerifyChanges[[#This Row],[Life cost]]/tblVerifyChanges[[#This Row],[Parts made]]))</calculatedColumnFormula>
    </tableColumn>
    <tableColumn id="12" name="Category"/>
    <tableColumn id="13" name="Life status">
      <calculatedColumnFormula>IF(NOT(ISNUMBER(tblVerifyChanges[[#This Row],[Life achieved]])),"",IF(tblVerifyChanges[[#This Row],[Life achieved]]&gt;=$E$45,"On target",IF(tblVerifyChanges[[#This Row],[Life achieved]]&gt;=$E$45*(1-0.05),"Near target","Below target")))</calculatedColumnFormula>
    </tableColumn>
    <tableColumn id="14" name="View date">
      <calculatedColumnFormula>IF(tblVerifyChanges[[#This Row],[Date]]="","",IF(AND(tblVerifyChanges[[#This Row],[Date]]&gt;=$E$42,tblVerifyChanges[[#This Row],[Date]]&lt;=$E$43,OR($E$44="",tblVerifyChanges[[#This Row],[Machine]]=$E$44)),tblVerifyChanges[[#This Row],[Date]],""))</calculatedColumnFormula>
    </tableColumn>
    <tableColumn id="15" name="Check">
      <calculatedColumnFormula>IF(tblVerifyChanges[[#This Row],[Date]]="","",IF(tblVerifyChanges[[#This Row],[Machine]]="","Missing machine",IF(tblVerifyChanges[[#This Row],[Tool ID]]="","Missing tool id",IF(tblVerifyChanges[[#This Row],[Parts made]]="","Missing parts made",IF(tblVerifyChanges[[#This Row],[Reason]]="","Missing reason",IF(tblVerifyChanges[[#This Row],[Standard life (parts)]]="","Tool not on Setup list",IF(tblVerifyChanges[[#This Row],[Category]]="","Reason not on Setup list",IF(tblVerifyChanges[[#This Row],[Parts made]]&gt;3*tblVerifyChanges[[#This Row],[Standard life (parts)]],"Parts above 3x standard: check count",IF(AND(tblVerifyChanges[[#This Row],[Category]]="Planned",tblVerifyChanges[[#This Row],[Parts made]]&lt;0.8*tblVerifyChanges[[#This Row],[Standard life (parts)]]),"Planned change below 80% of standard","OK")))))))))</calculatedColumnFormula>
    </tableColumn>
    <tableColumn id="16"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ool-life-tracker" TargetMode="External"/><Relationship Id="rId2" Type="http://schemas.openxmlformats.org/officeDocument/2006/relationships/hyperlink" Target="https://www.mfgcalcs.com/calculators/cnc-machining-cutting-tools/insert-cost-per-part?utm_source=mfgcalcs-template&amp;utm_medium=xlsx&amp;utm_campaign=tool-life-tracker" TargetMode="External"/><Relationship Id="rId3" Type="http://schemas.openxmlformats.org/officeDocument/2006/relationships/hyperlink" Target="https://www.mfgcalcs.com/templates/tool-life-tracker?utm_source=mfgcalcs-template&amp;utm_medium=xlsx&amp;utm_campaign=tool-life-tracker" TargetMode="External"/><Relationship Id="rId4" Type="http://schemas.openxmlformats.org/officeDocument/2006/relationships/hyperlink" Target="https://www.mfgcalcs.com/templates?utm_source=mfgcalcs-template&amp;utm_medium=xlsx&amp;utm_campaign=tool-lif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ool-life-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ool-life-tracker"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ool-life-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ool-life-tracker" TargetMode="External"/><Relationship Id="rId2" Type="http://schemas.openxmlformats.org/officeDocument/2006/relationships/hyperlink" Target="https://www.mfgcalcs.com/calculators/cnc-machining-cutting-tools/insert-cost-per-part?utm_source=mfgcalcs-template&amp;utm_medium=xlsx&amp;utm_campaign=tool-life-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ool-life-tracker"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26 of 26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Tool Change Log'!A1" tooltip="Go to Tool Change Log" display="Tool Change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Cutting Tool Life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J46"/>
  <sheetViews>
    <sheetView showGridLines="0" workbookViewId="0"/>
  </sheetViews>
  <sheetFormatPr defaultRowHeight="15"/>
  <cols>
    <col min="1" max="1" width="2.7109375" customWidth="1"/>
    <col min="2" max="2" width="22.7109375" customWidth="1"/>
    <col min="3" max="3" width="44.7109375" customWidth="1"/>
    <col min="4" max="4" width="17.7109375" customWidth="1"/>
    <col min="5" max="6" width="10.7109375" customWidth="1"/>
    <col min="7" max="9" width="11.7109375" customWidth="1"/>
    <col min="10" max="10" width="12.7109375" customWidth="1"/>
  </cols>
  <sheetData>
    <row r="1" spans="1:10" ht="30" customHeight="1">
      <c r="A1" s="1" t="s">
        <v>0</v>
      </c>
      <c r="B1" s="1"/>
      <c r="C1" s="1"/>
      <c r="D1" s="1"/>
      <c r="E1" s="1"/>
      <c r="F1" s="1"/>
      <c r="G1" s="1"/>
      <c r="H1" s="1"/>
      <c r="I1" s="1"/>
      <c r="J1" s="1"/>
    </row>
    <row r="2" spans="1:10" ht="21" customHeight="1">
      <c r="B2" s="2" t="s">
        <v>20</v>
      </c>
      <c r="C2" s="2"/>
      <c r="D2" s="2"/>
      <c r="E2" s="2"/>
      <c r="F2" s="2"/>
      <c r="G2" s="2"/>
      <c r="H2" s="2"/>
      <c r="I2" s="2"/>
      <c r="J2" s="3" t="s">
        <v>2</v>
      </c>
    </row>
    <row r="3" spans="1:10" ht="6" customHeight="1"/>
    <row r="4" spans="1:10" ht="21" customHeight="1">
      <c r="B4" s="8" t="s">
        <v>76</v>
      </c>
      <c r="C4" s="8"/>
      <c r="D4" s="8"/>
      <c r="E4" s="8"/>
      <c r="F4" s="8"/>
      <c r="G4" s="8"/>
      <c r="H4" s="8"/>
      <c r="I4" s="8"/>
      <c r="J4" s="8"/>
    </row>
    <row r="5" spans="1:10" ht="5" customHeight="1"/>
    <row r="6" spans="1:10">
      <c r="B6" s="27" t="s">
        <v>77</v>
      </c>
      <c r="C6" s="28" t="s">
        <v>78</v>
      </c>
    </row>
    <row r="7" spans="1:10">
      <c r="B7" s="27" t="s">
        <v>79</v>
      </c>
      <c r="C7" s="28" t="s">
        <v>80</v>
      </c>
    </row>
    <row r="8" spans="1:10">
      <c r="B8" s="27" t="s">
        <v>81</v>
      </c>
      <c r="C8" s="29">
        <v>0.9</v>
      </c>
    </row>
    <row r="9" spans="1:10">
      <c r="B9" s="27" t="s">
        <v>82</v>
      </c>
      <c r="C9" s="29">
        <v>0.1</v>
      </c>
    </row>
    <row r="11" spans="1:10" ht="22.2" customHeight="1">
      <c r="B11" s="25" t="s">
        <v>83</v>
      </c>
      <c r="C11" s="25"/>
      <c r="D11" s="25"/>
      <c r="E11" s="25"/>
      <c r="F11" s="25"/>
      <c r="G11" s="25"/>
      <c r="H11" s="25"/>
      <c r="I11" s="25"/>
      <c r="J11" s="25"/>
    </row>
    <row r="13" spans="1:10" ht="21" customHeight="1">
      <c r="B13" s="8" t="s">
        <v>84</v>
      </c>
      <c r="C13" s="8"/>
      <c r="D13" s="8"/>
      <c r="E13" s="8"/>
      <c r="F13" s="8"/>
      <c r="G13" s="8"/>
      <c r="H13" s="8"/>
      <c r="I13" s="8"/>
      <c r="J13" s="8"/>
    </row>
    <row r="14" spans="1:10" ht="5" customHeight="1"/>
    <row r="15" spans="1:10">
      <c r="B15" s="21" t="s">
        <v>85</v>
      </c>
      <c r="C15" s="21"/>
      <c r="D15" s="21"/>
      <c r="E15" s="21"/>
      <c r="F15" s="21"/>
      <c r="G15" s="21"/>
      <c r="H15" s="21"/>
      <c r="I15" s="21"/>
      <c r="J15" s="21"/>
    </row>
    <row r="16" spans="1:10">
      <c r="B16" s="30" t="s">
        <v>86</v>
      </c>
      <c r="C16" s="30"/>
      <c r="D16" s="30"/>
    </row>
    <row r="17" spans="2:10" ht="20" customHeight="1">
      <c r="B17" s="31" t="s">
        <v>62</v>
      </c>
      <c r="C17" s="31" t="s">
        <v>63</v>
      </c>
      <c r="D17" s="31" t="s">
        <v>64</v>
      </c>
    </row>
    <row r="18" spans="2:10">
      <c r="B18" s="28" t="s">
        <v>87</v>
      </c>
      <c r="C18" s="28" t="s">
        <v>88</v>
      </c>
      <c r="D18" s="28" t="s">
        <v>89</v>
      </c>
    </row>
    <row r="19" spans="2:10">
      <c r="B19" s="28" t="s">
        <v>90</v>
      </c>
      <c r="C19" s="28" t="s">
        <v>88</v>
      </c>
      <c r="D19" s="28" t="s">
        <v>91</v>
      </c>
    </row>
    <row r="20" spans="2:10">
      <c r="B20" s="28" t="s">
        <v>92</v>
      </c>
      <c r="C20" s="28" t="s">
        <v>93</v>
      </c>
      <c r="D20" s="28" t="s">
        <v>94</v>
      </c>
    </row>
    <row r="21" spans="2:10">
      <c r="B21" s="28" t="s">
        <v>95</v>
      </c>
      <c r="C21" s="28" t="s">
        <v>93</v>
      </c>
      <c r="D21" s="28" t="s">
        <v>96</v>
      </c>
    </row>
    <row r="22" spans="2:10">
      <c r="B22" s="28" t="s">
        <v>97</v>
      </c>
      <c r="C22" s="28" t="s">
        <v>98</v>
      </c>
      <c r="D22" s="28" t="s">
        <v>99</v>
      </c>
    </row>
    <row r="24" spans="2:10">
      <c r="B24" s="30" t="s">
        <v>100</v>
      </c>
      <c r="C24" s="30"/>
      <c r="D24" s="30"/>
      <c r="E24" s="30"/>
      <c r="F24" s="30"/>
      <c r="G24" s="30"/>
      <c r="H24" s="30"/>
      <c r="I24" s="30"/>
      <c r="J24" s="30"/>
    </row>
    <row r="25" spans="2:10" ht="14" customHeight="1">
      <c r="B25" s="32"/>
      <c r="C25" s="32"/>
      <c r="D25" s="32"/>
      <c r="E25" s="32" t="str">
        <f>Currency&amp;"/tool"</f>
        <v>USD/tool</v>
      </c>
      <c r="F25" s="32"/>
      <c r="G25" s="32" t="str">
        <f>Currency&amp;"/regrind"</f>
        <v>USD/regrind</v>
      </c>
      <c r="H25" s="32"/>
      <c r="I25" s="32" t="str">
        <f>Currency&amp;"/life"</f>
        <v>USD/life</v>
      </c>
      <c r="J25" s="32" t="str">
        <f>Currency&amp;"/part"</f>
        <v>USD/part</v>
      </c>
    </row>
    <row r="26" spans="2:10" ht="32" customHeight="1">
      <c r="B26" s="31" t="s">
        <v>65</v>
      </c>
      <c r="C26" s="31" t="s">
        <v>66</v>
      </c>
      <c r="D26" s="31" t="s">
        <v>63</v>
      </c>
      <c r="E26" s="31" t="s">
        <v>67</v>
      </c>
      <c r="F26" s="31" t="s">
        <v>68</v>
      </c>
      <c r="G26" s="31" t="s">
        <v>69</v>
      </c>
      <c r="H26" s="31" t="s">
        <v>70</v>
      </c>
      <c r="I26" s="31" t="s">
        <v>71</v>
      </c>
      <c r="J26" s="31" t="s">
        <v>72</v>
      </c>
    </row>
    <row r="27" spans="2:10">
      <c r="B27" s="28" t="s">
        <v>101</v>
      </c>
      <c r="C27" s="28" t="s">
        <v>102</v>
      </c>
      <c r="D27" s="28" t="s">
        <v>103</v>
      </c>
      <c r="E27" s="33">
        <v>14.8</v>
      </c>
      <c r="F27" s="34">
        <v>4</v>
      </c>
      <c r="G27" s="33">
        <v>0</v>
      </c>
      <c r="H27" s="34">
        <v>120</v>
      </c>
      <c r="I27" s="35">
        <f>IF(OR(tblTools[[#This Row],[Price]]="",tblTools[[#This Row],[Lives per tool]]=""),"",(tblTools[[#This Row],[Price]]+tblTools[[#This Row],[Regrind cost]]*(tblTools[[#This Row],[Lives per tool]]-1))/tblTools[[#This Row],[Lives per tool]])</f>
        <v>3.7</v>
      </c>
      <c r="J27" s="36">
        <f>IF(OR(tblTools[[#This Row],[Cost per life]]="",tblTools[[#This Row],[Standard life (parts)]]=""),"",tblTools[[#This Row],[Cost per life]]/tblTools[[#This Row],[Standard life (parts)]])</f>
        <v>0.0308333333333333</v>
      </c>
    </row>
    <row r="28" spans="2:10">
      <c r="B28" s="28" t="s">
        <v>104</v>
      </c>
      <c r="C28" s="28" t="s">
        <v>105</v>
      </c>
      <c r="D28" s="28" t="s">
        <v>103</v>
      </c>
      <c r="E28" s="33">
        <v>16.2</v>
      </c>
      <c r="F28" s="34">
        <v>4</v>
      </c>
      <c r="G28" s="33">
        <v>0</v>
      </c>
      <c r="H28" s="34">
        <v>160</v>
      </c>
      <c r="I28" s="35">
        <f>IF(OR(tblTools[[#This Row],[Price]]="",tblTools[[#This Row],[Lives per tool]]=""),"",(tblTools[[#This Row],[Price]]+tblTools[[#This Row],[Regrind cost]]*(tblTools[[#This Row],[Lives per tool]]-1))/tblTools[[#This Row],[Lives per tool]])</f>
        <v>4.05</v>
      </c>
      <c r="J28" s="36">
        <f>IF(OR(tblTools[[#This Row],[Cost per life]]="",tblTools[[#This Row],[Standard life (parts)]]=""),"",tblTools[[#This Row],[Cost per life]]/tblTools[[#This Row],[Standard life (parts)]])</f>
        <v>0.0253125</v>
      </c>
    </row>
    <row r="29" spans="2:10">
      <c r="B29" s="28" t="s">
        <v>106</v>
      </c>
      <c r="C29" s="28" t="s">
        <v>107</v>
      </c>
      <c r="D29" s="28" t="s">
        <v>108</v>
      </c>
      <c r="E29" s="33">
        <v>19.5</v>
      </c>
      <c r="F29" s="34">
        <v>2</v>
      </c>
      <c r="G29" s="33">
        <v>0</v>
      </c>
      <c r="H29" s="34">
        <v>150</v>
      </c>
      <c r="I29" s="35">
        <f>IF(OR(tblTools[[#This Row],[Price]]="",tblTools[[#This Row],[Lives per tool]]=""),"",(tblTools[[#This Row],[Price]]+tblTools[[#This Row],[Regrind cost]]*(tblTools[[#This Row],[Lives per tool]]-1))/tblTools[[#This Row],[Lives per tool]])</f>
        <v>9.75</v>
      </c>
      <c r="J29" s="36">
        <f>IF(OR(tblTools[[#This Row],[Cost per life]]="",tblTools[[#This Row],[Standard life (parts)]]=""),"",tblTools[[#This Row],[Cost per life]]/tblTools[[#This Row],[Standard life (parts)]])</f>
        <v>0.065</v>
      </c>
    </row>
    <row r="30" spans="2:10">
      <c r="B30" s="28" t="s">
        <v>109</v>
      </c>
      <c r="C30" s="28" t="s">
        <v>110</v>
      </c>
      <c r="D30" s="28" t="s">
        <v>111</v>
      </c>
      <c r="E30" s="33">
        <v>52</v>
      </c>
      <c r="F30" s="34">
        <v>2</v>
      </c>
      <c r="G30" s="33">
        <v>0</v>
      </c>
      <c r="H30" s="34">
        <v>90</v>
      </c>
      <c r="I30" s="35">
        <f>IF(OR(tblTools[[#This Row],[Price]]="",tblTools[[#This Row],[Lives per tool]]=""),"",(tblTools[[#This Row],[Price]]+tblTools[[#This Row],[Regrind cost]]*(tblTools[[#This Row],[Lives per tool]]-1))/tblTools[[#This Row],[Lives per tool]])</f>
        <v>26</v>
      </c>
      <c r="J30" s="36">
        <f>IF(OR(tblTools[[#This Row],[Cost per life]]="",tblTools[[#This Row],[Standard life (parts)]]=""),"",tblTools[[#This Row],[Cost per life]]/tblTools[[#This Row],[Standard life (parts)]])</f>
        <v>0.288888888888889</v>
      </c>
    </row>
    <row r="31" spans="2:10">
      <c r="B31" s="28" t="s">
        <v>112</v>
      </c>
      <c r="C31" s="28" t="s">
        <v>113</v>
      </c>
      <c r="D31" s="28" t="s">
        <v>114</v>
      </c>
      <c r="E31" s="33">
        <v>72</v>
      </c>
      <c r="F31" s="34">
        <v>3</v>
      </c>
      <c r="G31" s="33">
        <v>22</v>
      </c>
      <c r="H31" s="34">
        <v>260</v>
      </c>
      <c r="I31" s="35">
        <f>IF(OR(tblTools[[#This Row],[Price]]="",tblTools[[#This Row],[Lives per tool]]=""),"",(tblTools[[#This Row],[Price]]+tblTools[[#This Row],[Regrind cost]]*(tblTools[[#This Row],[Lives per tool]]-1))/tblTools[[#This Row],[Lives per tool]])</f>
        <v>38.6666666666667</v>
      </c>
      <c r="J31" s="36">
        <f>IF(OR(tblTools[[#This Row],[Cost per life]]="",tblTools[[#This Row],[Standard life (parts)]]=""),"",tblTools[[#This Row],[Cost per life]]/tblTools[[#This Row],[Standard life (parts)]])</f>
        <v>0.148717948717949</v>
      </c>
    </row>
    <row r="32" spans="2:10">
      <c r="B32" s="28" t="s">
        <v>115</v>
      </c>
      <c r="C32" s="28" t="s">
        <v>116</v>
      </c>
      <c r="D32" s="28" t="s">
        <v>117</v>
      </c>
      <c r="E32" s="33">
        <v>88</v>
      </c>
      <c r="F32" s="34">
        <v>4</v>
      </c>
      <c r="G32" s="33">
        <v>16</v>
      </c>
      <c r="H32" s="34">
        <v>600</v>
      </c>
      <c r="I32" s="35">
        <f>IF(OR(tblTools[[#This Row],[Price]]="",tblTools[[#This Row],[Lives per tool]]=""),"",(tblTools[[#This Row],[Price]]+tblTools[[#This Row],[Regrind cost]]*(tblTools[[#This Row],[Lives per tool]]-1))/tblTools[[#This Row],[Lives per tool]])</f>
        <v>34</v>
      </c>
      <c r="J32" s="36">
        <f>IF(OR(tblTools[[#This Row],[Cost per life]]="",tblTools[[#This Row],[Standard life (parts)]]=""),"",tblTools[[#This Row],[Cost per life]]/tblTools[[#This Row],[Standard life (parts)]])</f>
        <v>0.0566666666666667</v>
      </c>
    </row>
    <row r="33" spans="2:10">
      <c r="B33" s="28" t="s">
        <v>118</v>
      </c>
      <c r="C33" s="28" t="s">
        <v>119</v>
      </c>
      <c r="D33" s="28" t="s">
        <v>120</v>
      </c>
      <c r="E33" s="33">
        <v>26.5</v>
      </c>
      <c r="F33" s="34">
        <v>1</v>
      </c>
      <c r="G33" s="33">
        <v>0</v>
      </c>
      <c r="H33" s="34">
        <v>900</v>
      </c>
      <c r="I33" s="35">
        <f>IF(OR(tblTools[[#This Row],[Price]]="",tblTools[[#This Row],[Lives per tool]]=""),"",(tblTools[[#This Row],[Price]]+tblTools[[#This Row],[Regrind cost]]*(tblTools[[#This Row],[Lives per tool]]-1))/tblTools[[#This Row],[Lives per tool]])</f>
        <v>26.5</v>
      </c>
      <c r="J33" s="36">
        <f>IF(OR(tblTools[[#This Row],[Cost per life]]="",tblTools[[#This Row],[Standard life (parts)]]=""),"",tblTools[[#This Row],[Cost per life]]/tblTools[[#This Row],[Standard life (parts)]])</f>
        <v>0.0294444444444444</v>
      </c>
    </row>
    <row r="34" spans="2:10">
      <c r="B34" s="28" t="s">
        <v>121</v>
      </c>
      <c r="C34" s="28" t="s">
        <v>122</v>
      </c>
      <c r="D34" s="28" t="s">
        <v>123</v>
      </c>
      <c r="E34" s="33">
        <v>95</v>
      </c>
      <c r="F34" s="34">
        <v>2</v>
      </c>
      <c r="G34" s="33">
        <v>28</v>
      </c>
      <c r="H34" s="34">
        <v>450</v>
      </c>
      <c r="I34" s="35">
        <f>IF(OR(tblTools[[#This Row],[Price]]="",tblTools[[#This Row],[Lives per tool]]=""),"",(tblTools[[#This Row],[Price]]+tblTools[[#This Row],[Regrind cost]]*(tblTools[[#This Row],[Lives per tool]]-1))/tblTools[[#This Row],[Lives per tool]])</f>
        <v>61.5</v>
      </c>
      <c r="J34" s="36">
        <f>IF(OR(tblTools[[#This Row],[Cost per life]]="",tblTools[[#This Row],[Standard life (parts)]]=""),"",tblTools[[#This Row],[Cost per life]]/tblTools[[#This Row],[Standard life (parts)]])</f>
        <v>0.136666666666667</v>
      </c>
    </row>
    <row r="36" spans="2:10">
      <c r="B36" s="30" t="s">
        <v>124</v>
      </c>
      <c r="C36" s="30"/>
      <c r="D36" s="30"/>
    </row>
    <row r="37" spans="2:10" ht="20" customHeight="1">
      <c r="B37" s="31" t="s">
        <v>73</v>
      </c>
      <c r="C37" s="31" t="s">
        <v>74</v>
      </c>
      <c r="D37" s="31" t="s">
        <v>75</v>
      </c>
    </row>
    <row r="38" spans="2:10">
      <c r="B38" s="28" t="s">
        <v>125</v>
      </c>
      <c r="C38" s="28" t="s">
        <v>126</v>
      </c>
      <c r="D38" s="28" t="s">
        <v>127</v>
      </c>
    </row>
    <row r="39" spans="2:10">
      <c r="B39" s="28" t="s">
        <v>128</v>
      </c>
      <c r="C39" s="28" t="s">
        <v>129</v>
      </c>
      <c r="D39" s="28" t="s">
        <v>130</v>
      </c>
    </row>
    <row r="40" spans="2:10">
      <c r="B40" s="28" t="s">
        <v>131</v>
      </c>
      <c r="C40" s="28" t="s">
        <v>132</v>
      </c>
      <c r="D40" s="28" t="s">
        <v>130</v>
      </c>
    </row>
    <row r="41" spans="2:10">
      <c r="B41" s="28" t="s">
        <v>133</v>
      </c>
      <c r="C41" s="28" t="s">
        <v>134</v>
      </c>
      <c r="D41" s="28" t="s">
        <v>130</v>
      </c>
    </row>
    <row r="42" spans="2:10">
      <c r="B42" s="28" t="s">
        <v>135</v>
      </c>
      <c r="C42" s="28" t="s">
        <v>136</v>
      </c>
      <c r="D42" s="28" t="s">
        <v>130</v>
      </c>
    </row>
    <row r="43" spans="2:10">
      <c r="B43" s="28" t="s">
        <v>137</v>
      </c>
      <c r="C43" s="28" t="s">
        <v>138</v>
      </c>
      <c r="D43" s="28" t="s">
        <v>139</v>
      </c>
    </row>
    <row r="44" spans="2:10">
      <c r="B44" s="28" t="s">
        <v>140</v>
      </c>
      <c r="C44" s="28" t="s">
        <v>141</v>
      </c>
      <c r="D44" s="28" t="s">
        <v>139</v>
      </c>
    </row>
    <row r="45" spans="2:10">
      <c r="B45" s="28" t="s">
        <v>142</v>
      </c>
      <c r="C45" s="28" t="s">
        <v>143</v>
      </c>
      <c r="D45" s="28" t="s">
        <v>139</v>
      </c>
    </row>
    <row r="46" spans="2:10">
      <c r="B46" s="28" t="s">
        <v>144</v>
      </c>
      <c r="C46" s="28" t="s">
        <v>145</v>
      </c>
      <c r="D46" s="28" t="s">
        <v>144</v>
      </c>
    </row>
  </sheetData>
  <mergeCells count="9">
    <mergeCell ref="A1:J1"/>
    <mergeCell ref="B2:I2"/>
    <mergeCell ref="B4:J4"/>
    <mergeCell ref="B11:J11"/>
    <mergeCell ref="B13:J13"/>
    <mergeCell ref="B15:J15"/>
    <mergeCell ref="B16:D16"/>
    <mergeCell ref="B24:J24"/>
    <mergeCell ref="B36:D36"/>
  </mergeCells>
  <dataValidations count="17">
    <dataValidation type="textLength" allowBlank="1" showInputMessage="1" showErrorMessage="1" errorTitle="Check this entry" error="Text up to 80 characters." promptTitle="Shop or cell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percentage from 0% to 200% (type 85% or 0.85)." promptTitle="Life achieved target" prompt="Your own target for parts made as a share of the standard life. 100% means every edge reaches its counter. Enter a percentage from 0% to 200% (type 85% or 0.85)." sqref="C8">
      <formula1>0</formula1>
      <formula2>2</formula2>
    </dataValidation>
    <dataValidation type="decimal" allowBlank="1" showInputMessage="1" showErrorMessage="1" errorTitle="Check this entry" error="Enter a percentage from 0% to 100% (type 85% or 0.85)." promptTitle="Premature failure limit" prompt="Your own limit for the share of changes caused by chipping, breakage or a crash. Enter a percentage from 0% to 100% (type 85% or 0.85)." sqref="C9">
      <formula1>0</formula1>
      <formula2>1</formula2>
    </dataValidation>
    <dataValidation type="textLength" allowBlank="1" showInputMessage="1" showErrorMessage="1" errorTitle="Check this entry" error="Text up to 40 characters." promptTitle="Machine" prompt="Text up to 40 characters." sqref="B18:B122">
      <formula1>0</formula1>
      <formula2>40</formula2>
    </dataValidation>
    <dataValidation type="textLength" allowBlank="1" showInputMessage="1" showErrorMessage="1" errorTitle="Check this entry" error="Text up to 60 characters." promptTitle="Type" prompt="Text up to 60 characters." sqref="C18:C122">
      <formula1>0</formula1>
      <formula2>60</formula2>
    </dataValidation>
    <dataValidation type="textLength" allowBlank="1" showInputMessage="1" showErrorMessage="1" errorTitle="Check this entry" error="Text up to 120 characters." promptTitle="Notes" prompt="Text up to 120 characters." sqref="D18:D122">
      <formula1>0</formula1>
      <formula2>120</formula2>
    </dataValidation>
    <dataValidation type="textLength" allowBlank="1" showInputMessage="1" showErrorMessage="1" errorTitle="Check this entry" error="Text up to 30 characters." promptTitle="Tool ID" prompt="Your crib or catalogue number. One row per tool or insert grade you track. Text up to 30 characters." sqref="B27:B134">
      <formula1>0</formula1>
      <formula2>30</formula2>
    </dataValidation>
    <dataValidation type="textLength" allowBlank="1" showInputMessage="1" showErrorMessage="1" errorTitle="Check this entry" error="Text up to 80 characters." promptTitle="Description" prompt="Text up to 80 characters." sqref="C27:C134">
      <formula1>0</formula1>
      <formula2>80</formula2>
    </dataValidation>
    <dataValidation type="list" allowBlank="1" showInputMessage="1" showErrorMessage="1" errorTitle="Check this entry" error="Pick one of: Turning insert, Grooving insert, Milling insert, Solid end mill, Drill, Tap, Reamer, Other." promptTitle="Type" prompt="Pick one of: Turning insert, Grooving insert, Milling insert, Solid end mill, Drill, Tap, Reamer, Other." sqref="D27:D134">
      <formula1>"Turning insert,Grooving insert,Milling insert,Solid end mill,Drill,Tap,Reamer,Other"</formula1>
    </dataValidation>
    <dataValidation type="decimal" allowBlank="1" showInputMessage="1" showErrorMessage="1" errorTitle="Check this entry" error="Enter a number from 0 to 1,000,000." promptTitle="Price" prompt="Price of one insert (or one set, if you change the whole set at once) or one solid tool. Enter a number from 0 to 1,000,000." sqref="E27:E134">
      <formula1>0</formula1>
      <formula2>1000000.0</formula2>
    </dataValidation>
    <dataValidation type="whole" allowBlank="1" showInputMessage="1" showErrorMessage="1" errorTitle="Check this entry" error="Enter a whole number from 1 to 100." promptTitle="Lives per tool" prompt="Usable edges of an insert, or 1 + planned regrinds for a solid tool. Enter a whole number from 1 to 100." sqref="F27:F134">
      <formula1>1</formula1>
      <formula2>100</formula2>
    </dataValidation>
    <dataValidation type="decimal" allowBlank="1" showInputMessage="1" showErrorMessage="1" errorTitle="Check this entry" error="Enter a number from 0 to 1,000,000." promptTitle="Regrind cost" prompt="Cost of one regrind and recoat, including freight. 0 for inserts. Enter a number from 0 to 1,000,000." sqref="G27:G134">
      <formula1>0</formula1>
      <formula2>1000000.0</formula2>
    </dataValidation>
    <dataValidation type="whole" allowBlank="1" showInputMessage="1" showErrorMessage="1" errorTitle="Check this entry" error="Enter a whole number from 1 to 10,000,000." promptTitle="Standard life (parts)" prompt="Parts per edge or per life that the tool-life counter or your plan allows. Enter a whole number from 1 to 10,000,000." sqref="H27:H134">
      <formula1>1</formula1>
      <formula2>10000000</formula2>
    </dataValidation>
    <dataValidation type="textLength" allowBlank="1" showInputMessage="1" showErrorMessage="1" errorTitle="Check this entry" error="Text up to 60 characters." promptTitle="Reason" prompt="Text up to 60 characters." sqref="B38:B146">
      <formula1>0</formula1>
      <formula2>60</formula2>
    </dataValidation>
    <dataValidation type="textLength" allowBlank="1" showInputMessage="1" showErrorMessage="1" errorTitle="Check this entry" error="Text up to 160 characters." promptTitle="Definition" prompt="Text up to 160 characters." sqref="C38:C146">
      <formula1>0</formula1>
      <formula2>160</formula2>
    </dataValidation>
    <dataValidation type="list" allowBlank="1" showInputMessage="1" showErrorMessage="1" errorTitle="Check this entry" error="Pick one of: Planned, Wear, Premature failure, Other." promptTitle="Category" prompt="Planned = changed at the counter; Wear = worn out early; Premature failure = chipped, broken or crashed. Pick one of: Planned, Wear, Premature failure, Other." sqref="D38:D146">
      <formula1>"Planned,Wear,Premature failure,Other"</formula1>
    </dataValidation>
  </dataValidations>
  <hyperlinks>
    <hyperlink ref="J2" r:id="rId1" tooltip="Free manufacturing calculators and templates"/>
  </hyperlinks>
  <pageMargins left="0.4" right="0.4" top="0.7" bottom="0.65" header="0.3" footer="0.3"/>
  <pageSetup fitToHeight="0" orientation="landscape"/>
  <headerFooter>
    <oddHeader>&amp;L&amp;8MFG Calcs - Cutting Tool Life Tracker&amp;R&amp;8&amp;A</oddHeader>
    <oddFooter>&amp;L&amp;8mfgcalcs.com - free manufacturing templates&amp;R&amp;8Page &amp;P of &amp;N</oddFooter>
  </headerFooter>
  <rowBreaks count="1" manualBreakCount="1">
    <brk id="23"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Q122"/>
  <sheetViews>
    <sheetView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1" width="2.7109375" customWidth="1"/>
    <col min="2" max="2" width="12.28515625" customWidth="1"/>
    <col min="3" max="3" width="9.7109375" customWidth="1"/>
    <col min="4" max="4" width="9.28515625" customWidth="1"/>
    <col min="5" max="5" width="11.7109375" customWidth="1"/>
    <col min="6" max="6" width="9.28515625" customWidth="1"/>
    <col min="7" max="7" width="17.7109375" customWidth="1"/>
    <col min="8" max="8" width="10.28515625" customWidth="1"/>
    <col min="9" max="9" width="9.7109375" customWidth="1"/>
    <col min="10" max="10" width="10.28515625" customWidth="1"/>
    <col min="11" max="11" width="9.7109375" customWidth="1"/>
    <col min="12" max="12" width="10.28515625" customWidth="1"/>
    <col min="13" max="13" width="15.7109375" customWidth="1"/>
    <col min="14" max="15" width="12.28515625" customWidth="1"/>
    <col min="16" max="16" width="24.7109375" customWidth="1"/>
    <col min="17" max="17" width="26.7109375" customWidth="1"/>
  </cols>
  <sheetData>
    <row r="1" spans="1:17" ht="30" customHeight="1" x14ac:dyDescent="0.25">
      <c r="A1" s="1" t="s">
        <v>0</v>
      </c>
      <c r="B1" s="1"/>
      <c r="C1" s="1"/>
      <c r="D1" s="1"/>
      <c r="E1" s="1"/>
      <c r="F1" s="1"/>
      <c r="G1" s="1"/>
      <c r="H1" s="1"/>
      <c r="I1" s="1"/>
      <c r="J1" s="1"/>
      <c r="K1" s="1"/>
      <c r="L1" s="1"/>
      <c r="M1" s="1"/>
      <c r="N1" s="1"/>
      <c r="O1" s="1"/>
      <c r="P1" s="1"/>
      <c r="Q1" s="1"/>
    </row>
    <row r="2" spans="1:17" ht="21" customHeight="1" x14ac:dyDescent="0.25">
      <c r="B2" s="2" t="s">
        <v>22</v>
      </c>
      <c r="C2" s="2"/>
      <c r="D2" s="2"/>
      <c r="E2" s="2"/>
      <c r="F2" s="2"/>
      <c r="G2" s="2"/>
      <c r="H2" s="2"/>
      <c r="I2" s="2"/>
      <c r="J2" s="2"/>
      <c r="K2" s="2"/>
      <c r="L2" s="2"/>
      <c r="M2" s="2"/>
      <c r="N2" s="2"/>
      <c r="O2" s="2"/>
      <c r="P2" s="2"/>
      <c r="Q2" s="3" t="s">
        <v>2</v>
      </c>
    </row>
    <row r="3" spans="1:17" ht="6" customHeight="1" x14ac:dyDescent="0.25"/>
    <row r="4" spans="1:17" ht="29.76" customHeight="1" x14ac:dyDescent="0.25">
      <c r="B4" s="37" t="s">
        <v>156</v>
      </c>
      <c r="C4" s="37"/>
      <c r="D4" s="37"/>
      <c r="E4" s="37"/>
      <c r="F4" s="37"/>
      <c r="G4" s="37"/>
      <c r="H4" s="37"/>
      <c r="I4" s="37"/>
      <c r="J4" s="37"/>
      <c r="K4" s="37"/>
      <c r="L4" s="37"/>
      <c r="M4" s="37"/>
      <c r="N4" s="37"/>
      <c r="O4" s="37"/>
      <c r="P4" s="37"/>
      <c r="Q4" s="37"/>
    </row>
    <row r="5" spans="1:17" ht="14" customHeight="1" x14ac:dyDescent="0.25">
      <c r="B5" s="32"/>
      <c r="C5" s="32"/>
      <c r="D5" s="32"/>
      <c r="E5" s="32"/>
      <c r="F5" s="32"/>
      <c r="G5" s="32"/>
      <c r="H5" s="32"/>
      <c r="I5" s="32" t="str">
        <f>Currency</f>
        <v>USD</v>
      </c>
      <c r="J5" s="32" t="str">
        <f>Currency</f>
        <v>USD</v>
      </c>
      <c r="K5" s="32"/>
      <c r="L5" s="32" t="str">
        <f>Currency&amp;"/part"</f>
        <v>USD/part</v>
      </c>
      <c r="M5" s="32"/>
      <c r="N5" s="32"/>
      <c r="O5" s="32"/>
      <c r="P5" s="32"/>
      <c r="Q5" s="32"/>
    </row>
    <row r="6" spans="1:17" ht="32" customHeight="1" x14ac:dyDescent="0.25">
      <c r="B6" s="31" t="s">
        <v>146</v>
      </c>
      <c r="C6" s="31" t="s">
        <v>62</v>
      </c>
      <c r="D6" s="31" t="s">
        <v>65</v>
      </c>
      <c r="E6" s="31" t="s">
        <v>147</v>
      </c>
      <c r="F6" s="31" t="s">
        <v>148</v>
      </c>
      <c r="G6" s="31" t="s">
        <v>73</v>
      </c>
      <c r="H6" s="31" t="s">
        <v>70</v>
      </c>
      <c r="I6" s="31" t="s">
        <v>149</v>
      </c>
      <c r="J6" s="31" t="s">
        <v>150</v>
      </c>
      <c r="K6" s="31" t="s">
        <v>151</v>
      </c>
      <c r="L6" s="31" t="s">
        <v>152</v>
      </c>
      <c r="M6" s="31" t="s">
        <v>75</v>
      </c>
      <c r="N6" s="31" t="s">
        <v>153</v>
      </c>
      <c r="O6" s="31" t="s">
        <v>154</v>
      </c>
      <c r="P6" s="31" t="s">
        <v>155</v>
      </c>
      <c r="Q6" s="31" t="s">
        <v>64</v>
      </c>
    </row>
    <row r="7" spans="1:17" x14ac:dyDescent="0.25">
      <c r="B7" s="38">
        <v>46258</v>
      </c>
      <c r="C7" s="28" t="s">
        <v>92</v>
      </c>
      <c r="D7" s="28" t="s">
        <v>109</v>
      </c>
      <c r="E7" s="28" t="s">
        <v>157</v>
      </c>
      <c r="F7" s="34">
        <v>59</v>
      </c>
      <c r="G7" s="28" t="s">
        <v>128</v>
      </c>
      <c r="H7" s="39">
        <f>IF(tblChanges[[#This Row],[Date]]="","",IFERROR(INDEX(tblTools[Standard life (parts)],MATCH(tblChanges[[#This Row],[Tool ID]],tblTools[Tool ID],0)),""))</f>
        <v>90</v>
      </c>
      <c r="I7" s="35">
        <f>IF(tblChanges[[#This Row],[Date]]="","",IFERROR(INDEX(tblTools[Cost per life],MATCH(tblChanges[[#This Row],[Tool ID]],tblTools[Tool ID],0)),""))</f>
        <v>26</v>
      </c>
      <c r="J7" s="35">
        <f>IF(tblChanges[[#This Row],[Date]]="","",IF(OR(tblChanges[[#This Row],[Life cost]]="",tblChanges[[#This Row],[Standard life (parts)]]=""),"",tblChanges[[#This Row],[Parts made]]*tblChanges[[#This Row],[Life cost]]/tblChanges[[#This Row],[Standard life (parts)]]))</f>
        <v>17.0444444444444</v>
      </c>
      <c r="K7" s="40">
        <f>IF(tblChanges[[#This Row],[Date]]="","",IF(OR(tblChanges[[#This Row],[Standard life (parts)]]="",tblChanges[[#This Row],[Parts made]]=""),"",tblChanges[[#This Row],[Parts made]]/tblChanges[[#This Row],[Standard life (parts)]]))</f>
        <v>0.655555555555556</v>
      </c>
      <c r="L7" s="36">
        <f>IF(tblChanges[[#This Row],[Date]]="","",IF(OR(tblChanges[[#This Row],[Life cost]]="",N(tblChanges[[#This Row],[Parts made]])=0),"",tblChanges[[#This Row],[Life cost]]/tblChanges[[#This Row],[Parts made]]))</f>
        <v>0.440677966101695</v>
      </c>
      <c r="M7" s="41" t="str">
        <f>IF(tblChanges[[#This Row],[Date]]="","",IFERROR(INDEX(tblReasons[Category],MATCH(tblChanges[[#This Row],[Reason]],tblReasons[Reason],0)),""))</f>
        <v>Wear</v>
      </c>
      <c r="N7" s="42" t="str">
        <f>IF(NOT(ISNUMBER(tblChanges[[#This Row],[Life achieved]])),"",IF(tblChanges[[#This Row],[Life achieved]]&gt;=TargetLife,"On target",IF(tblChanges[[#This Row],[Life achieved]]&gt;=TargetLife*(1-0.05),"Near target","Below target")))</f>
        <v>Below target</v>
      </c>
      <c r="O7" s="43">
        <f>IF(tblChanges[[#This Row],[Date]]="","",IF(AND(tblChanges[[#This Row],[Date]]&gt;=FFrom,tblChanges[[#This Row],[Date]]&lt;=FTo,OR(DashMachine="",tblChanges[[#This Row],[Machine]]=DashMachine)),tblChanges[[#This Row],[Date]],""))</f>
        <v>46258</v>
      </c>
      <c r="P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 s="28" t="s">
        <v>158</v>
      </c>
    </row>
    <row r="8" spans="1:17" x14ac:dyDescent="0.25">
      <c r="B8" s="38">
        <v>46259</v>
      </c>
      <c r="C8" s="28" t="s">
        <v>87</v>
      </c>
      <c r="D8" s="28" t="s">
        <v>101</v>
      </c>
      <c r="E8" s="28" t="s">
        <v>159</v>
      </c>
      <c r="F8" s="34">
        <v>120</v>
      </c>
      <c r="G8" s="28" t="s">
        <v>125</v>
      </c>
      <c r="H8" s="39">
        <f>IF(tblChanges[[#This Row],[Date]]="","",IFERROR(INDEX(tblTools[Standard life (parts)],MATCH(tblChanges[[#This Row],[Tool ID]],tblTools[Tool ID],0)),""))</f>
        <v>120</v>
      </c>
      <c r="I8" s="35">
        <f>IF(tblChanges[[#This Row],[Date]]="","",IFERROR(INDEX(tblTools[Cost per life],MATCH(tblChanges[[#This Row],[Tool ID]],tblTools[Tool ID],0)),""))</f>
        <v>3.7</v>
      </c>
      <c r="J8" s="35">
        <f>IF(tblChanges[[#This Row],[Date]]="","",IF(OR(tblChanges[[#This Row],[Life cost]]="",tblChanges[[#This Row],[Standard life (parts)]]=""),"",tblChanges[[#This Row],[Parts made]]*tblChanges[[#This Row],[Life cost]]/tblChanges[[#This Row],[Standard life (parts)]]))</f>
        <v>3.7</v>
      </c>
      <c r="K8" s="40">
        <f>IF(tblChanges[[#This Row],[Date]]="","",IF(OR(tblChanges[[#This Row],[Standard life (parts)]]="",tblChanges[[#This Row],[Parts made]]=""),"",tblChanges[[#This Row],[Parts made]]/tblChanges[[#This Row],[Standard life (parts)]]))</f>
        <v>1</v>
      </c>
      <c r="L8" s="36">
        <f>IF(tblChanges[[#This Row],[Date]]="","",IF(OR(tblChanges[[#This Row],[Life cost]]="",N(tblChanges[[#This Row],[Parts made]])=0),"",tblChanges[[#This Row],[Life cost]]/tblChanges[[#This Row],[Parts made]]))</f>
        <v>0.0308333333333333</v>
      </c>
      <c r="M8" s="41" t="str">
        <f>IF(tblChanges[[#This Row],[Date]]="","",IFERROR(INDEX(tblReasons[Category],MATCH(tblChanges[[#This Row],[Reason]],tblReasons[Reason],0)),""))</f>
        <v>Planned</v>
      </c>
      <c r="N8" s="42" t="str">
        <f>IF(NOT(ISNUMBER(tblChanges[[#This Row],[Life achieved]])),"",IF(tblChanges[[#This Row],[Life achieved]]&gt;=TargetLife,"On target",IF(tblChanges[[#This Row],[Life achieved]]&gt;=TargetLife*(1-0.05),"Near target","Below target")))</f>
        <v>On target</v>
      </c>
      <c r="O8" s="43">
        <f>IF(tblChanges[[#This Row],[Date]]="","",IF(AND(tblChanges[[#This Row],[Date]]&gt;=FFrom,tblChanges[[#This Row],[Date]]&lt;=FTo,OR(DashMachine="",tblChanges[[#This Row],[Machine]]=DashMachine)),tblChanges[[#This Row],[Date]],""))</f>
        <v>46259</v>
      </c>
      <c r="P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 s="28" t="s">
        <v>158</v>
      </c>
    </row>
    <row r="9" spans="1:17" x14ac:dyDescent="0.25">
      <c r="B9" s="38">
        <v>46259</v>
      </c>
      <c r="C9" s="28" t="s">
        <v>87</v>
      </c>
      <c r="D9" s="28" t="s">
        <v>106</v>
      </c>
      <c r="E9" s="28" t="s">
        <v>159</v>
      </c>
      <c r="F9" s="34">
        <v>125</v>
      </c>
      <c r="G9" s="28" t="s">
        <v>133</v>
      </c>
      <c r="H9" s="39">
        <f>IF(tblChanges[[#This Row],[Date]]="","",IFERROR(INDEX(tblTools[Standard life (parts)],MATCH(tblChanges[[#This Row],[Tool ID]],tblTools[Tool ID],0)),""))</f>
        <v>150</v>
      </c>
      <c r="I9" s="35">
        <f>IF(tblChanges[[#This Row],[Date]]="","",IFERROR(INDEX(tblTools[Cost per life],MATCH(tblChanges[[#This Row],[Tool ID]],tblTools[Tool ID],0)),""))</f>
        <v>9.75</v>
      </c>
      <c r="J9" s="35">
        <f>IF(tblChanges[[#This Row],[Date]]="","",IF(OR(tblChanges[[#This Row],[Life cost]]="",tblChanges[[#This Row],[Standard life (parts)]]=""),"",tblChanges[[#This Row],[Parts made]]*tblChanges[[#This Row],[Life cost]]/tblChanges[[#This Row],[Standard life (parts)]]))</f>
        <v>8.125</v>
      </c>
      <c r="K9" s="40">
        <f>IF(tblChanges[[#This Row],[Date]]="","",IF(OR(tblChanges[[#This Row],[Standard life (parts)]]="",tblChanges[[#This Row],[Parts made]]=""),"",tblChanges[[#This Row],[Parts made]]/tblChanges[[#This Row],[Standard life (parts)]]))</f>
        <v>0.833333333333333</v>
      </c>
      <c r="L9" s="36">
        <f>IF(tblChanges[[#This Row],[Date]]="","",IF(OR(tblChanges[[#This Row],[Life cost]]="",N(tblChanges[[#This Row],[Parts made]])=0),"",tblChanges[[#This Row],[Life cost]]/tblChanges[[#This Row],[Parts made]]))</f>
        <v>0.078</v>
      </c>
      <c r="M9" s="41" t="str">
        <f>IF(tblChanges[[#This Row],[Date]]="","",IFERROR(INDEX(tblReasons[Category],MATCH(tblChanges[[#This Row],[Reason]],tblReasons[Reason],0)),""))</f>
        <v>Wear</v>
      </c>
      <c r="N9" s="42" t="str">
        <f>IF(NOT(ISNUMBER(tblChanges[[#This Row],[Life achieved]])),"",IF(tblChanges[[#This Row],[Life achieved]]&gt;=TargetLife,"On target",IF(tblChanges[[#This Row],[Life achieved]]&gt;=TargetLife*(1-0.05),"Near target","Below target")))</f>
        <v>Below target</v>
      </c>
      <c r="O9" s="43">
        <f>IF(tblChanges[[#This Row],[Date]]="","",IF(AND(tblChanges[[#This Row],[Date]]&gt;=FFrom,tblChanges[[#This Row],[Date]]&lt;=FTo,OR(DashMachine="",tblChanges[[#This Row],[Machine]]=DashMachine)),tblChanges[[#This Row],[Date]],""))</f>
        <v>46259</v>
      </c>
      <c r="P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 s="28" t="s">
        <v>158</v>
      </c>
    </row>
    <row r="10" spans="1:17" x14ac:dyDescent="0.25">
      <c r="B10" s="38">
        <v>46259</v>
      </c>
      <c r="C10" s="28" t="s">
        <v>90</v>
      </c>
      <c r="D10" s="28" t="s">
        <v>101</v>
      </c>
      <c r="E10" s="28" t="s">
        <v>160</v>
      </c>
      <c r="F10" s="34">
        <v>120</v>
      </c>
      <c r="G10" s="28" t="s">
        <v>125</v>
      </c>
      <c r="H10" s="39">
        <f>IF(tblChanges[[#This Row],[Date]]="","",IFERROR(INDEX(tblTools[Standard life (parts)],MATCH(tblChanges[[#This Row],[Tool ID]],tblTools[Tool ID],0)),""))</f>
        <v>120</v>
      </c>
      <c r="I10" s="35">
        <f>IF(tblChanges[[#This Row],[Date]]="","",IFERROR(INDEX(tblTools[Cost per life],MATCH(tblChanges[[#This Row],[Tool ID]],tblTools[Tool ID],0)),""))</f>
        <v>3.7</v>
      </c>
      <c r="J10" s="35">
        <f>IF(tblChanges[[#This Row],[Date]]="","",IF(OR(tblChanges[[#This Row],[Life cost]]="",tblChanges[[#This Row],[Standard life (parts)]]=""),"",tblChanges[[#This Row],[Parts made]]*tblChanges[[#This Row],[Life cost]]/tblChanges[[#This Row],[Standard life (parts)]]))</f>
        <v>3.7</v>
      </c>
      <c r="K10" s="40">
        <f>IF(tblChanges[[#This Row],[Date]]="","",IF(OR(tblChanges[[#This Row],[Standard life (parts)]]="",tblChanges[[#This Row],[Parts made]]=""),"",tblChanges[[#This Row],[Parts made]]/tblChanges[[#This Row],[Standard life (parts)]]))</f>
        <v>1</v>
      </c>
      <c r="L10" s="36">
        <f>IF(tblChanges[[#This Row],[Date]]="","",IF(OR(tblChanges[[#This Row],[Life cost]]="",N(tblChanges[[#This Row],[Parts made]])=0),"",tblChanges[[#This Row],[Life cost]]/tblChanges[[#This Row],[Parts made]]))</f>
        <v>0.0308333333333333</v>
      </c>
      <c r="M10" s="41" t="str">
        <f>IF(tblChanges[[#This Row],[Date]]="","",IFERROR(INDEX(tblReasons[Category],MATCH(tblChanges[[#This Row],[Reason]],tblReasons[Reason],0)),""))</f>
        <v>Planned</v>
      </c>
      <c r="N10" s="42" t="str">
        <f>IF(NOT(ISNUMBER(tblChanges[[#This Row],[Life achieved]])),"",IF(tblChanges[[#This Row],[Life achieved]]&gt;=TargetLife,"On target",IF(tblChanges[[#This Row],[Life achieved]]&gt;=TargetLife*(1-0.05),"Near target","Below target")))</f>
        <v>On target</v>
      </c>
      <c r="O10" s="43">
        <f>IF(tblChanges[[#This Row],[Date]]="","",IF(AND(tblChanges[[#This Row],[Date]]&gt;=FFrom,tblChanges[[#This Row],[Date]]&lt;=FTo,OR(DashMachine="",tblChanges[[#This Row],[Machine]]=DashMachine)),tblChanges[[#This Row],[Date]],""))</f>
        <v>46259</v>
      </c>
      <c r="P1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 s="28" t="s">
        <v>158</v>
      </c>
    </row>
    <row r="11" spans="1:17" x14ac:dyDescent="0.25">
      <c r="B11" s="38">
        <v>46259</v>
      </c>
      <c r="C11" s="28" t="s">
        <v>92</v>
      </c>
      <c r="D11" s="28" t="s">
        <v>109</v>
      </c>
      <c r="E11" s="28" t="s">
        <v>157</v>
      </c>
      <c r="F11" s="34">
        <v>66</v>
      </c>
      <c r="G11" s="28" t="s">
        <v>128</v>
      </c>
      <c r="H11" s="39">
        <f>IF(tblChanges[[#This Row],[Date]]="","",IFERROR(INDEX(tblTools[Standard life (parts)],MATCH(tblChanges[[#This Row],[Tool ID]],tblTools[Tool ID],0)),""))</f>
        <v>90</v>
      </c>
      <c r="I11" s="35">
        <f>IF(tblChanges[[#This Row],[Date]]="","",IFERROR(INDEX(tblTools[Cost per life],MATCH(tblChanges[[#This Row],[Tool ID]],tblTools[Tool ID],0)),""))</f>
        <v>26</v>
      </c>
      <c r="J11" s="35">
        <f>IF(tblChanges[[#This Row],[Date]]="","",IF(OR(tblChanges[[#This Row],[Life cost]]="",tblChanges[[#This Row],[Standard life (parts)]]=""),"",tblChanges[[#This Row],[Parts made]]*tblChanges[[#This Row],[Life cost]]/tblChanges[[#This Row],[Standard life (parts)]]))</f>
        <v>19.0666666666667</v>
      </c>
      <c r="K11" s="40">
        <f>IF(tblChanges[[#This Row],[Date]]="","",IF(OR(tblChanges[[#This Row],[Standard life (parts)]]="",tblChanges[[#This Row],[Parts made]]=""),"",tblChanges[[#This Row],[Parts made]]/tblChanges[[#This Row],[Standard life (parts)]]))</f>
        <v>0.733333333333333</v>
      </c>
      <c r="L11" s="36">
        <f>IF(tblChanges[[#This Row],[Date]]="","",IF(OR(tblChanges[[#This Row],[Life cost]]="",N(tblChanges[[#This Row],[Parts made]])=0),"",tblChanges[[#This Row],[Life cost]]/tblChanges[[#This Row],[Parts made]]))</f>
        <v>0.393939393939394</v>
      </c>
      <c r="M11" s="41" t="str">
        <f>IF(tblChanges[[#This Row],[Date]]="","",IFERROR(INDEX(tblReasons[Category],MATCH(tblChanges[[#This Row],[Reason]],tblReasons[Reason],0)),""))</f>
        <v>Wear</v>
      </c>
      <c r="N11" s="42" t="str">
        <f>IF(NOT(ISNUMBER(tblChanges[[#This Row],[Life achieved]])),"",IF(tblChanges[[#This Row],[Life achieved]]&gt;=TargetLife,"On target",IF(tblChanges[[#This Row],[Life achieved]]&gt;=TargetLife*(1-0.05),"Near target","Below target")))</f>
        <v>Below target</v>
      </c>
      <c r="O11" s="43">
        <f>IF(tblChanges[[#This Row],[Date]]="","",IF(AND(tblChanges[[#This Row],[Date]]&gt;=FFrom,tblChanges[[#This Row],[Date]]&lt;=FTo,OR(DashMachine="",tblChanges[[#This Row],[Machine]]=DashMachine)),tblChanges[[#This Row],[Date]],""))</f>
        <v>46259</v>
      </c>
      <c r="P1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 s="28" t="s">
        <v>158</v>
      </c>
    </row>
    <row r="12" spans="1:17" x14ac:dyDescent="0.25">
      <c r="B12" s="38">
        <v>46260</v>
      </c>
      <c r="C12" s="28" t="s">
        <v>87</v>
      </c>
      <c r="D12" s="28" t="s">
        <v>104</v>
      </c>
      <c r="E12" s="28" t="s">
        <v>159</v>
      </c>
      <c r="F12" s="34">
        <v>160</v>
      </c>
      <c r="G12" s="28" t="s">
        <v>125</v>
      </c>
      <c r="H12" s="39">
        <f>IF(tblChanges[[#This Row],[Date]]="","",IFERROR(INDEX(tblTools[Standard life (parts)],MATCH(tblChanges[[#This Row],[Tool ID]],tblTools[Tool ID],0)),""))</f>
        <v>160</v>
      </c>
      <c r="I12" s="35">
        <f>IF(tblChanges[[#This Row],[Date]]="","",IFERROR(INDEX(tblTools[Cost per life],MATCH(tblChanges[[#This Row],[Tool ID]],tblTools[Tool ID],0)),""))</f>
        <v>4.05</v>
      </c>
      <c r="J12" s="35">
        <f>IF(tblChanges[[#This Row],[Date]]="","",IF(OR(tblChanges[[#This Row],[Life cost]]="",tblChanges[[#This Row],[Standard life (parts)]]=""),"",tblChanges[[#This Row],[Parts made]]*tblChanges[[#This Row],[Life cost]]/tblChanges[[#This Row],[Standard life (parts)]]))</f>
        <v>4.05</v>
      </c>
      <c r="K12" s="40">
        <f>IF(tblChanges[[#This Row],[Date]]="","",IF(OR(tblChanges[[#This Row],[Standard life (parts)]]="",tblChanges[[#This Row],[Parts made]]=""),"",tblChanges[[#This Row],[Parts made]]/tblChanges[[#This Row],[Standard life (parts)]]))</f>
        <v>1</v>
      </c>
      <c r="L12" s="36">
        <f>IF(tblChanges[[#This Row],[Date]]="","",IF(OR(tblChanges[[#This Row],[Life cost]]="",N(tblChanges[[#This Row],[Parts made]])=0),"",tblChanges[[#This Row],[Life cost]]/tblChanges[[#This Row],[Parts made]]))</f>
        <v>0.0253125</v>
      </c>
      <c r="M12" s="41" t="str">
        <f>IF(tblChanges[[#This Row],[Date]]="","",IFERROR(INDEX(tblReasons[Category],MATCH(tblChanges[[#This Row],[Reason]],tblReasons[Reason],0)),""))</f>
        <v>Planned</v>
      </c>
      <c r="N12" s="42" t="str">
        <f>IF(NOT(ISNUMBER(tblChanges[[#This Row],[Life achieved]])),"",IF(tblChanges[[#This Row],[Life achieved]]&gt;=TargetLife,"On target",IF(tblChanges[[#This Row],[Life achieved]]&gt;=TargetLife*(1-0.05),"Near target","Below target")))</f>
        <v>On target</v>
      </c>
      <c r="O12" s="43">
        <f>IF(tblChanges[[#This Row],[Date]]="","",IF(AND(tblChanges[[#This Row],[Date]]&gt;=FFrom,tblChanges[[#This Row],[Date]]&lt;=FTo,OR(DashMachine="",tblChanges[[#This Row],[Machine]]=DashMachine)),tblChanges[[#This Row],[Date]],""))</f>
        <v>46260</v>
      </c>
      <c r="P1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2" s="28" t="s">
        <v>158</v>
      </c>
    </row>
    <row r="13" spans="1:17" x14ac:dyDescent="0.25">
      <c r="B13" s="38">
        <v>46260</v>
      </c>
      <c r="C13" s="28" t="s">
        <v>90</v>
      </c>
      <c r="D13" s="28" t="s">
        <v>106</v>
      </c>
      <c r="E13" s="28" t="s">
        <v>160</v>
      </c>
      <c r="F13" s="34">
        <v>150</v>
      </c>
      <c r="G13" s="28" t="s">
        <v>125</v>
      </c>
      <c r="H13" s="39">
        <f>IF(tblChanges[[#This Row],[Date]]="","",IFERROR(INDEX(tblTools[Standard life (parts)],MATCH(tblChanges[[#This Row],[Tool ID]],tblTools[Tool ID],0)),""))</f>
        <v>150</v>
      </c>
      <c r="I13" s="35">
        <f>IF(tblChanges[[#This Row],[Date]]="","",IFERROR(INDEX(tblTools[Cost per life],MATCH(tblChanges[[#This Row],[Tool ID]],tblTools[Tool ID],0)),""))</f>
        <v>9.75</v>
      </c>
      <c r="J13" s="35">
        <f>IF(tblChanges[[#This Row],[Date]]="","",IF(OR(tblChanges[[#This Row],[Life cost]]="",tblChanges[[#This Row],[Standard life (parts)]]=""),"",tblChanges[[#This Row],[Parts made]]*tblChanges[[#This Row],[Life cost]]/tblChanges[[#This Row],[Standard life (parts)]]))</f>
        <v>9.75</v>
      </c>
      <c r="K13" s="40">
        <f>IF(tblChanges[[#This Row],[Date]]="","",IF(OR(tblChanges[[#This Row],[Standard life (parts)]]="",tblChanges[[#This Row],[Parts made]]=""),"",tblChanges[[#This Row],[Parts made]]/tblChanges[[#This Row],[Standard life (parts)]]))</f>
        <v>1</v>
      </c>
      <c r="L13" s="36">
        <f>IF(tblChanges[[#This Row],[Date]]="","",IF(OR(tblChanges[[#This Row],[Life cost]]="",N(tblChanges[[#This Row],[Parts made]])=0),"",tblChanges[[#This Row],[Life cost]]/tblChanges[[#This Row],[Parts made]]))</f>
        <v>0.065</v>
      </c>
      <c r="M13" s="41" t="str">
        <f>IF(tblChanges[[#This Row],[Date]]="","",IFERROR(INDEX(tblReasons[Category],MATCH(tblChanges[[#This Row],[Reason]],tblReasons[Reason],0)),""))</f>
        <v>Planned</v>
      </c>
      <c r="N13" s="42" t="str">
        <f>IF(NOT(ISNUMBER(tblChanges[[#This Row],[Life achieved]])),"",IF(tblChanges[[#This Row],[Life achieved]]&gt;=TargetLife,"On target",IF(tblChanges[[#This Row],[Life achieved]]&gt;=TargetLife*(1-0.05),"Near target","Below target")))</f>
        <v>On target</v>
      </c>
      <c r="O13" s="43">
        <f>IF(tblChanges[[#This Row],[Date]]="","",IF(AND(tblChanges[[#This Row],[Date]]&gt;=FFrom,tblChanges[[#This Row],[Date]]&lt;=FTo,OR(DashMachine="",tblChanges[[#This Row],[Machine]]=DashMachine)),tblChanges[[#This Row],[Date]],""))</f>
        <v>46260</v>
      </c>
      <c r="P1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3" s="28" t="s">
        <v>158</v>
      </c>
    </row>
    <row r="14" spans="1:17" x14ac:dyDescent="0.25">
      <c r="B14" s="38">
        <v>46260</v>
      </c>
      <c r="C14" s="28" t="s">
        <v>95</v>
      </c>
      <c r="D14" s="28" t="s">
        <v>112</v>
      </c>
      <c r="E14" s="28" t="s">
        <v>161</v>
      </c>
      <c r="F14" s="34">
        <v>112</v>
      </c>
      <c r="G14" s="28" t="s">
        <v>137</v>
      </c>
      <c r="H14" s="39">
        <f>IF(tblChanges[[#This Row],[Date]]="","",IFERROR(INDEX(tblTools[Standard life (parts)],MATCH(tblChanges[[#This Row],[Tool ID]],tblTools[Tool ID],0)),""))</f>
        <v>260</v>
      </c>
      <c r="I14" s="35">
        <f>IF(tblChanges[[#This Row],[Date]]="","",IFERROR(INDEX(tblTools[Cost per life],MATCH(tblChanges[[#This Row],[Tool ID]],tblTools[Tool ID],0)),""))</f>
        <v>38.6666666666667</v>
      </c>
      <c r="J14" s="35">
        <f>IF(tblChanges[[#This Row],[Date]]="","",IF(OR(tblChanges[[#This Row],[Life cost]]="",tblChanges[[#This Row],[Standard life (parts)]]=""),"",tblChanges[[#This Row],[Parts made]]*tblChanges[[#This Row],[Life cost]]/tblChanges[[#This Row],[Standard life (parts)]]))</f>
        <v>16.6564102564103</v>
      </c>
      <c r="K14" s="40">
        <f>IF(tblChanges[[#This Row],[Date]]="","",IF(OR(tblChanges[[#This Row],[Standard life (parts)]]="",tblChanges[[#This Row],[Parts made]]=""),"",tblChanges[[#This Row],[Parts made]]/tblChanges[[#This Row],[Standard life (parts)]]))</f>
        <v>0.430769230769231</v>
      </c>
      <c r="L14" s="36">
        <f>IF(tblChanges[[#This Row],[Date]]="","",IF(OR(tblChanges[[#This Row],[Life cost]]="",N(tblChanges[[#This Row],[Parts made]])=0),"",tblChanges[[#This Row],[Life cost]]/tblChanges[[#This Row],[Parts made]]))</f>
        <v>0.345238095238095</v>
      </c>
      <c r="M14" s="41" t="str">
        <f>IF(tblChanges[[#This Row],[Date]]="","",IFERROR(INDEX(tblReasons[Category],MATCH(tblChanges[[#This Row],[Reason]],tblReasons[Reason],0)),""))</f>
        <v>Premature failure</v>
      </c>
      <c r="N14" s="42" t="str">
        <f>IF(NOT(ISNUMBER(tblChanges[[#This Row],[Life achieved]])),"",IF(tblChanges[[#This Row],[Life achieved]]&gt;=TargetLife,"On target",IF(tblChanges[[#This Row],[Life achieved]]&gt;=TargetLife*(1-0.05),"Near target","Below target")))</f>
        <v>Below target</v>
      </c>
      <c r="O14" s="43">
        <f>IF(tblChanges[[#This Row],[Date]]="","",IF(AND(tblChanges[[#This Row],[Date]]&gt;=FFrom,tblChanges[[#This Row],[Date]]&lt;=FTo,OR(DashMachine="",tblChanges[[#This Row],[Machine]]=DashMachine)),tblChanges[[#This Row],[Date]],""))</f>
        <v>46260</v>
      </c>
      <c r="P1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4" s="28" t="s">
        <v>158</v>
      </c>
    </row>
    <row r="15" spans="1:17" x14ac:dyDescent="0.25">
      <c r="B15" s="38">
        <v>46260</v>
      </c>
      <c r="C15" s="28" t="s">
        <v>97</v>
      </c>
      <c r="D15" s="28" t="s">
        <v>109</v>
      </c>
      <c r="E15" s="28" t="s">
        <v>162</v>
      </c>
      <c r="F15" s="34">
        <v>90</v>
      </c>
      <c r="G15" s="28" t="s">
        <v>125</v>
      </c>
      <c r="H15" s="39">
        <f>IF(tblChanges[[#This Row],[Date]]="","",IFERROR(INDEX(tblTools[Standard life (parts)],MATCH(tblChanges[[#This Row],[Tool ID]],tblTools[Tool ID],0)),""))</f>
        <v>90</v>
      </c>
      <c r="I15" s="35">
        <f>IF(tblChanges[[#This Row],[Date]]="","",IFERROR(INDEX(tblTools[Cost per life],MATCH(tblChanges[[#This Row],[Tool ID]],tblTools[Tool ID],0)),""))</f>
        <v>26</v>
      </c>
      <c r="J15" s="35">
        <f>IF(tblChanges[[#This Row],[Date]]="","",IF(OR(tblChanges[[#This Row],[Life cost]]="",tblChanges[[#This Row],[Standard life (parts)]]=""),"",tblChanges[[#This Row],[Parts made]]*tblChanges[[#This Row],[Life cost]]/tblChanges[[#This Row],[Standard life (parts)]]))</f>
        <v>26</v>
      </c>
      <c r="K15" s="40">
        <f>IF(tblChanges[[#This Row],[Date]]="","",IF(OR(tblChanges[[#This Row],[Standard life (parts)]]="",tblChanges[[#This Row],[Parts made]]=""),"",tblChanges[[#This Row],[Parts made]]/tblChanges[[#This Row],[Standard life (parts)]]))</f>
        <v>1</v>
      </c>
      <c r="L15" s="36">
        <f>IF(tblChanges[[#This Row],[Date]]="","",IF(OR(tblChanges[[#This Row],[Life cost]]="",N(tblChanges[[#This Row],[Parts made]])=0),"",tblChanges[[#This Row],[Life cost]]/tblChanges[[#This Row],[Parts made]]))</f>
        <v>0.288888888888889</v>
      </c>
      <c r="M15" s="41" t="str">
        <f>IF(tblChanges[[#This Row],[Date]]="","",IFERROR(INDEX(tblReasons[Category],MATCH(tblChanges[[#This Row],[Reason]],tblReasons[Reason],0)),""))</f>
        <v>Planned</v>
      </c>
      <c r="N15" s="42" t="str">
        <f>IF(NOT(ISNUMBER(tblChanges[[#This Row],[Life achieved]])),"",IF(tblChanges[[#This Row],[Life achieved]]&gt;=TargetLife,"On target",IF(tblChanges[[#This Row],[Life achieved]]&gt;=TargetLife*(1-0.05),"Near target","Below target")))</f>
        <v>On target</v>
      </c>
      <c r="O15" s="43">
        <f>IF(tblChanges[[#This Row],[Date]]="","",IF(AND(tblChanges[[#This Row],[Date]]&gt;=FFrom,tblChanges[[#This Row],[Date]]&lt;=FTo,OR(DashMachine="",tblChanges[[#This Row],[Machine]]=DashMachine)),tblChanges[[#This Row],[Date]],""))</f>
        <v>46260</v>
      </c>
      <c r="P1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5" s="28" t="s">
        <v>158</v>
      </c>
    </row>
    <row r="16" spans="1:17" x14ac:dyDescent="0.25">
      <c r="B16" s="38">
        <v>46261</v>
      </c>
      <c r="C16" s="28" t="s">
        <v>87</v>
      </c>
      <c r="D16" s="28" t="s">
        <v>101</v>
      </c>
      <c r="E16" s="28" t="s">
        <v>159</v>
      </c>
      <c r="F16" s="34">
        <v>94</v>
      </c>
      <c r="G16" s="28" t="s">
        <v>133</v>
      </c>
      <c r="H16" s="39">
        <f>IF(tblChanges[[#This Row],[Date]]="","",IFERROR(INDEX(tblTools[Standard life (parts)],MATCH(tblChanges[[#This Row],[Tool ID]],tblTools[Tool ID],0)),""))</f>
        <v>120</v>
      </c>
      <c r="I16" s="35">
        <f>IF(tblChanges[[#This Row],[Date]]="","",IFERROR(INDEX(tblTools[Cost per life],MATCH(tblChanges[[#This Row],[Tool ID]],tblTools[Tool ID],0)),""))</f>
        <v>3.7</v>
      </c>
      <c r="J16" s="35">
        <f>IF(tblChanges[[#This Row],[Date]]="","",IF(OR(tblChanges[[#This Row],[Life cost]]="",tblChanges[[#This Row],[Standard life (parts)]]=""),"",tblChanges[[#This Row],[Parts made]]*tblChanges[[#This Row],[Life cost]]/tblChanges[[#This Row],[Standard life (parts)]]))</f>
        <v>2.89833333333333</v>
      </c>
      <c r="K16" s="40">
        <f>IF(tblChanges[[#This Row],[Date]]="","",IF(OR(tblChanges[[#This Row],[Standard life (parts)]]="",tblChanges[[#This Row],[Parts made]]=""),"",tblChanges[[#This Row],[Parts made]]/tblChanges[[#This Row],[Standard life (parts)]]))</f>
        <v>0.783333333333333</v>
      </c>
      <c r="L16" s="36">
        <f>IF(tblChanges[[#This Row],[Date]]="","",IF(OR(tblChanges[[#This Row],[Life cost]]="",N(tblChanges[[#This Row],[Parts made]])=0),"",tblChanges[[#This Row],[Life cost]]/tblChanges[[#This Row],[Parts made]]))</f>
        <v>0.0393617021276596</v>
      </c>
      <c r="M16" s="41" t="str">
        <f>IF(tblChanges[[#This Row],[Date]]="","",IFERROR(INDEX(tblReasons[Category],MATCH(tblChanges[[#This Row],[Reason]],tblReasons[Reason],0)),""))</f>
        <v>Wear</v>
      </c>
      <c r="N16" s="42" t="str">
        <f>IF(NOT(ISNUMBER(tblChanges[[#This Row],[Life achieved]])),"",IF(tblChanges[[#This Row],[Life achieved]]&gt;=TargetLife,"On target",IF(tblChanges[[#This Row],[Life achieved]]&gt;=TargetLife*(1-0.05),"Near target","Below target")))</f>
        <v>Below target</v>
      </c>
      <c r="O16" s="43">
        <f>IF(tblChanges[[#This Row],[Date]]="","",IF(AND(tblChanges[[#This Row],[Date]]&gt;=FFrom,tblChanges[[#This Row],[Date]]&lt;=FTo,OR(DashMachine="",tblChanges[[#This Row],[Machine]]=DashMachine)),tblChanges[[#This Row],[Date]],""))</f>
        <v>46261</v>
      </c>
      <c r="P1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6" s="28" t="s">
        <v>158</v>
      </c>
    </row>
    <row r="17" spans="2:17" x14ac:dyDescent="0.25">
      <c r="B17" s="38">
        <v>46261</v>
      </c>
      <c r="C17" s="28" t="s">
        <v>87</v>
      </c>
      <c r="D17" s="28" t="s">
        <v>106</v>
      </c>
      <c r="E17" s="28" t="s">
        <v>159</v>
      </c>
      <c r="F17" s="34">
        <v>93</v>
      </c>
      <c r="G17" s="28" t="s">
        <v>128</v>
      </c>
      <c r="H17" s="39">
        <f>IF(tblChanges[[#This Row],[Date]]="","",IFERROR(INDEX(tblTools[Standard life (parts)],MATCH(tblChanges[[#This Row],[Tool ID]],tblTools[Tool ID],0)),""))</f>
        <v>150</v>
      </c>
      <c r="I17" s="35">
        <f>IF(tblChanges[[#This Row],[Date]]="","",IFERROR(INDEX(tblTools[Cost per life],MATCH(tblChanges[[#This Row],[Tool ID]],tblTools[Tool ID],0)),""))</f>
        <v>9.75</v>
      </c>
      <c r="J17" s="35">
        <f>IF(tblChanges[[#This Row],[Date]]="","",IF(OR(tblChanges[[#This Row],[Life cost]]="",tblChanges[[#This Row],[Standard life (parts)]]=""),"",tblChanges[[#This Row],[Parts made]]*tblChanges[[#This Row],[Life cost]]/tblChanges[[#This Row],[Standard life (parts)]]))</f>
        <v>6.045</v>
      </c>
      <c r="K17" s="40">
        <f>IF(tblChanges[[#This Row],[Date]]="","",IF(OR(tblChanges[[#This Row],[Standard life (parts)]]="",tblChanges[[#This Row],[Parts made]]=""),"",tblChanges[[#This Row],[Parts made]]/tblChanges[[#This Row],[Standard life (parts)]]))</f>
        <v>0.62</v>
      </c>
      <c r="L17" s="36">
        <f>IF(tblChanges[[#This Row],[Date]]="","",IF(OR(tblChanges[[#This Row],[Life cost]]="",N(tblChanges[[#This Row],[Parts made]])=0),"",tblChanges[[#This Row],[Life cost]]/tblChanges[[#This Row],[Parts made]]))</f>
        <v>0.104838709677419</v>
      </c>
      <c r="M17" s="41" t="str">
        <f>IF(tblChanges[[#This Row],[Date]]="","",IFERROR(INDEX(tblReasons[Category],MATCH(tblChanges[[#This Row],[Reason]],tblReasons[Reason],0)),""))</f>
        <v>Wear</v>
      </c>
      <c r="N17" s="42" t="str">
        <f>IF(NOT(ISNUMBER(tblChanges[[#This Row],[Life achieved]])),"",IF(tblChanges[[#This Row],[Life achieved]]&gt;=TargetLife,"On target",IF(tblChanges[[#This Row],[Life achieved]]&gt;=TargetLife*(1-0.05),"Near target","Below target")))</f>
        <v>Below target</v>
      </c>
      <c r="O17" s="43">
        <f>IF(tblChanges[[#This Row],[Date]]="","",IF(AND(tblChanges[[#This Row],[Date]]&gt;=FFrom,tblChanges[[#This Row],[Date]]&lt;=FTo,OR(DashMachine="",tblChanges[[#This Row],[Machine]]=DashMachine)),tblChanges[[#This Row],[Date]],""))</f>
        <v>46261</v>
      </c>
      <c r="P1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7" s="28" t="s">
        <v>158</v>
      </c>
    </row>
    <row r="18" spans="2:17" x14ac:dyDescent="0.25">
      <c r="B18" s="38">
        <v>46261</v>
      </c>
      <c r="C18" s="28" t="s">
        <v>90</v>
      </c>
      <c r="D18" s="28" t="s">
        <v>101</v>
      </c>
      <c r="E18" s="28" t="s">
        <v>160</v>
      </c>
      <c r="F18" s="34">
        <v>120</v>
      </c>
      <c r="G18" s="28" t="s">
        <v>125</v>
      </c>
      <c r="H18" s="39">
        <f>IF(tblChanges[[#This Row],[Date]]="","",IFERROR(INDEX(tblTools[Standard life (parts)],MATCH(tblChanges[[#This Row],[Tool ID]],tblTools[Tool ID],0)),""))</f>
        <v>120</v>
      </c>
      <c r="I18" s="35">
        <f>IF(tblChanges[[#This Row],[Date]]="","",IFERROR(INDEX(tblTools[Cost per life],MATCH(tblChanges[[#This Row],[Tool ID]],tblTools[Tool ID],0)),""))</f>
        <v>3.7</v>
      </c>
      <c r="J18" s="35">
        <f>IF(tblChanges[[#This Row],[Date]]="","",IF(OR(tblChanges[[#This Row],[Life cost]]="",tblChanges[[#This Row],[Standard life (parts)]]=""),"",tblChanges[[#This Row],[Parts made]]*tblChanges[[#This Row],[Life cost]]/tblChanges[[#This Row],[Standard life (parts)]]))</f>
        <v>3.7</v>
      </c>
      <c r="K18" s="40">
        <f>IF(tblChanges[[#This Row],[Date]]="","",IF(OR(tblChanges[[#This Row],[Standard life (parts)]]="",tblChanges[[#This Row],[Parts made]]=""),"",tblChanges[[#This Row],[Parts made]]/tblChanges[[#This Row],[Standard life (parts)]]))</f>
        <v>1</v>
      </c>
      <c r="L18" s="36">
        <f>IF(tblChanges[[#This Row],[Date]]="","",IF(OR(tblChanges[[#This Row],[Life cost]]="",N(tblChanges[[#This Row],[Parts made]])=0),"",tblChanges[[#This Row],[Life cost]]/tblChanges[[#This Row],[Parts made]]))</f>
        <v>0.0308333333333333</v>
      </c>
      <c r="M18" s="41" t="str">
        <f>IF(tblChanges[[#This Row],[Date]]="","",IFERROR(INDEX(tblReasons[Category],MATCH(tblChanges[[#This Row],[Reason]],tblReasons[Reason],0)),""))</f>
        <v>Planned</v>
      </c>
      <c r="N18" s="42" t="str">
        <f>IF(NOT(ISNUMBER(tblChanges[[#This Row],[Life achieved]])),"",IF(tblChanges[[#This Row],[Life achieved]]&gt;=TargetLife,"On target",IF(tblChanges[[#This Row],[Life achieved]]&gt;=TargetLife*(1-0.05),"Near target","Below target")))</f>
        <v>On target</v>
      </c>
      <c r="O18" s="43">
        <f>IF(tblChanges[[#This Row],[Date]]="","",IF(AND(tblChanges[[#This Row],[Date]]&gt;=FFrom,tblChanges[[#This Row],[Date]]&lt;=FTo,OR(DashMachine="",tblChanges[[#This Row],[Machine]]=DashMachine)),tblChanges[[#This Row],[Date]],""))</f>
        <v>46261</v>
      </c>
      <c r="P1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8" s="28" t="s">
        <v>158</v>
      </c>
    </row>
    <row r="19" spans="2:17" x14ac:dyDescent="0.25">
      <c r="B19" s="38">
        <v>46261</v>
      </c>
      <c r="C19" s="28" t="s">
        <v>92</v>
      </c>
      <c r="D19" s="28" t="s">
        <v>109</v>
      </c>
      <c r="E19" s="28" t="s">
        <v>157</v>
      </c>
      <c r="F19" s="34">
        <v>90</v>
      </c>
      <c r="G19" s="28" t="s">
        <v>125</v>
      </c>
      <c r="H19" s="39">
        <f>IF(tblChanges[[#This Row],[Date]]="","",IFERROR(INDEX(tblTools[Standard life (parts)],MATCH(tblChanges[[#This Row],[Tool ID]],tblTools[Tool ID],0)),""))</f>
        <v>90</v>
      </c>
      <c r="I19" s="35">
        <f>IF(tblChanges[[#This Row],[Date]]="","",IFERROR(INDEX(tblTools[Cost per life],MATCH(tblChanges[[#This Row],[Tool ID]],tblTools[Tool ID],0)),""))</f>
        <v>26</v>
      </c>
      <c r="J19" s="35">
        <f>IF(tblChanges[[#This Row],[Date]]="","",IF(OR(tblChanges[[#This Row],[Life cost]]="",tblChanges[[#This Row],[Standard life (parts)]]=""),"",tblChanges[[#This Row],[Parts made]]*tblChanges[[#This Row],[Life cost]]/tblChanges[[#This Row],[Standard life (parts)]]))</f>
        <v>26</v>
      </c>
      <c r="K19" s="40">
        <f>IF(tblChanges[[#This Row],[Date]]="","",IF(OR(tblChanges[[#This Row],[Standard life (parts)]]="",tblChanges[[#This Row],[Parts made]]=""),"",tblChanges[[#This Row],[Parts made]]/tblChanges[[#This Row],[Standard life (parts)]]))</f>
        <v>1</v>
      </c>
      <c r="L19" s="36">
        <f>IF(tblChanges[[#This Row],[Date]]="","",IF(OR(tblChanges[[#This Row],[Life cost]]="",N(tblChanges[[#This Row],[Parts made]])=0),"",tblChanges[[#This Row],[Life cost]]/tblChanges[[#This Row],[Parts made]]))</f>
        <v>0.288888888888889</v>
      </c>
      <c r="M19" s="41" t="str">
        <f>IF(tblChanges[[#This Row],[Date]]="","",IFERROR(INDEX(tblReasons[Category],MATCH(tblChanges[[#This Row],[Reason]],tblReasons[Reason],0)),""))</f>
        <v>Planned</v>
      </c>
      <c r="N19" s="42" t="str">
        <f>IF(NOT(ISNUMBER(tblChanges[[#This Row],[Life achieved]])),"",IF(tblChanges[[#This Row],[Life achieved]]&gt;=TargetLife,"On target",IF(tblChanges[[#This Row],[Life achieved]]&gt;=TargetLife*(1-0.05),"Near target","Below target")))</f>
        <v>On target</v>
      </c>
      <c r="O19" s="43">
        <f>IF(tblChanges[[#This Row],[Date]]="","",IF(AND(tblChanges[[#This Row],[Date]]&gt;=FFrom,tblChanges[[#This Row],[Date]]&lt;=FTo,OR(DashMachine="",tblChanges[[#This Row],[Machine]]=DashMachine)),tblChanges[[#This Row],[Date]],""))</f>
        <v>46261</v>
      </c>
      <c r="P1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9" s="28" t="s">
        <v>158</v>
      </c>
    </row>
    <row r="20" spans="2:17" x14ac:dyDescent="0.25">
      <c r="B20" s="38">
        <v>46262</v>
      </c>
      <c r="C20" s="28" t="s">
        <v>87</v>
      </c>
      <c r="D20" s="28" t="s">
        <v>106</v>
      </c>
      <c r="E20" s="28" t="s">
        <v>159</v>
      </c>
      <c r="F20" s="34">
        <v>94</v>
      </c>
      <c r="G20" s="28" t="s">
        <v>131</v>
      </c>
      <c r="H20" s="39">
        <f>IF(tblChanges[[#This Row],[Date]]="","",IFERROR(INDEX(tblTools[Standard life (parts)],MATCH(tblChanges[[#This Row],[Tool ID]],tblTools[Tool ID],0)),""))</f>
        <v>150</v>
      </c>
      <c r="I20" s="35">
        <f>IF(tblChanges[[#This Row],[Date]]="","",IFERROR(INDEX(tblTools[Cost per life],MATCH(tblChanges[[#This Row],[Tool ID]],tblTools[Tool ID],0)),""))</f>
        <v>9.75</v>
      </c>
      <c r="J20" s="35">
        <f>IF(tblChanges[[#This Row],[Date]]="","",IF(OR(tblChanges[[#This Row],[Life cost]]="",tblChanges[[#This Row],[Standard life (parts)]]=""),"",tblChanges[[#This Row],[Parts made]]*tblChanges[[#This Row],[Life cost]]/tblChanges[[#This Row],[Standard life (parts)]]))</f>
        <v>6.11</v>
      </c>
      <c r="K20" s="40">
        <f>IF(tblChanges[[#This Row],[Date]]="","",IF(OR(tblChanges[[#This Row],[Standard life (parts)]]="",tblChanges[[#This Row],[Parts made]]=""),"",tblChanges[[#This Row],[Parts made]]/tblChanges[[#This Row],[Standard life (parts)]]))</f>
        <v>0.626666666666667</v>
      </c>
      <c r="L20" s="36">
        <f>IF(tblChanges[[#This Row],[Date]]="","",IF(OR(tblChanges[[#This Row],[Life cost]]="",N(tblChanges[[#This Row],[Parts made]])=0),"",tblChanges[[#This Row],[Life cost]]/tblChanges[[#This Row],[Parts made]]))</f>
        <v>0.103723404255319</v>
      </c>
      <c r="M20" s="41" t="str">
        <f>IF(tblChanges[[#This Row],[Date]]="","",IFERROR(INDEX(tblReasons[Category],MATCH(tblChanges[[#This Row],[Reason]],tblReasons[Reason],0)),""))</f>
        <v>Wear</v>
      </c>
      <c r="N20" s="42" t="str">
        <f>IF(NOT(ISNUMBER(tblChanges[[#This Row],[Life achieved]])),"",IF(tblChanges[[#This Row],[Life achieved]]&gt;=TargetLife,"On target",IF(tblChanges[[#This Row],[Life achieved]]&gt;=TargetLife*(1-0.05),"Near target","Below target")))</f>
        <v>Below target</v>
      </c>
      <c r="O20" s="43">
        <f>IF(tblChanges[[#This Row],[Date]]="","",IF(AND(tblChanges[[#This Row],[Date]]&gt;=FFrom,tblChanges[[#This Row],[Date]]&lt;=FTo,OR(DashMachine="",tblChanges[[#This Row],[Machine]]=DashMachine)),tblChanges[[#This Row],[Date]],""))</f>
        <v>46262</v>
      </c>
      <c r="P2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0" s="28" t="s">
        <v>158</v>
      </c>
    </row>
    <row r="21" spans="2:17" x14ac:dyDescent="0.25">
      <c r="B21" s="38">
        <v>46262</v>
      </c>
      <c r="C21" s="28" t="s">
        <v>90</v>
      </c>
      <c r="D21" s="28" t="s">
        <v>106</v>
      </c>
      <c r="E21" s="28" t="s">
        <v>160</v>
      </c>
      <c r="F21" s="34">
        <v>62</v>
      </c>
      <c r="G21" s="28" t="s">
        <v>137</v>
      </c>
      <c r="H21" s="39">
        <f>IF(tblChanges[[#This Row],[Date]]="","",IFERROR(INDEX(tblTools[Standard life (parts)],MATCH(tblChanges[[#This Row],[Tool ID]],tblTools[Tool ID],0)),""))</f>
        <v>150</v>
      </c>
      <c r="I21" s="35">
        <f>IF(tblChanges[[#This Row],[Date]]="","",IFERROR(INDEX(tblTools[Cost per life],MATCH(tblChanges[[#This Row],[Tool ID]],tblTools[Tool ID],0)),""))</f>
        <v>9.75</v>
      </c>
      <c r="J21" s="35">
        <f>IF(tblChanges[[#This Row],[Date]]="","",IF(OR(tblChanges[[#This Row],[Life cost]]="",tblChanges[[#This Row],[Standard life (parts)]]=""),"",tblChanges[[#This Row],[Parts made]]*tblChanges[[#This Row],[Life cost]]/tblChanges[[#This Row],[Standard life (parts)]]))</f>
        <v>4.03</v>
      </c>
      <c r="K21" s="40">
        <f>IF(tblChanges[[#This Row],[Date]]="","",IF(OR(tblChanges[[#This Row],[Standard life (parts)]]="",tblChanges[[#This Row],[Parts made]]=""),"",tblChanges[[#This Row],[Parts made]]/tblChanges[[#This Row],[Standard life (parts)]]))</f>
        <v>0.413333333333333</v>
      </c>
      <c r="L21" s="36">
        <f>IF(tblChanges[[#This Row],[Date]]="","",IF(OR(tblChanges[[#This Row],[Life cost]]="",N(tblChanges[[#This Row],[Parts made]])=0),"",tblChanges[[#This Row],[Life cost]]/tblChanges[[#This Row],[Parts made]]))</f>
        <v>0.157258064516129</v>
      </c>
      <c r="M21" s="41" t="str">
        <f>IF(tblChanges[[#This Row],[Date]]="","",IFERROR(INDEX(tblReasons[Category],MATCH(tblChanges[[#This Row],[Reason]],tblReasons[Reason],0)),""))</f>
        <v>Premature failure</v>
      </c>
      <c r="N21" s="42" t="str">
        <f>IF(NOT(ISNUMBER(tblChanges[[#This Row],[Life achieved]])),"",IF(tblChanges[[#This Row],[Life achieved]]&gt;=TargetLife,"On target",IF(tblChanges[[#This Row],[Life achieved]]&gt;=TargetLife*(1-0.05),"Near target","Below target")))</f>
        <v>Below target</v>
      </c>
      <c r="O21" s="43">
        <f>IF(tblChanges[[#This Row],[Date]]="","",IF(AND(tblChanges[[#This Row],[Date]]&gt;=FFrom,tblChanges[[#This Row],[Date]]&lt;=FTo,OR(DashMachine="",tblChanges[[#This Row],[Machine]]=DashMachine)),tblChanges[[#This Row],[Date]],""))</f>
        <v>46262</v>
      </c>
      <c r="P2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1" s="28" t="s">
        <v>158</v>
      </c>
    </row>
    <row r="22" spans="2:17" x14ac:dyDescent="0.25">
      <c r="B22" s="38">
        <v>46265</v>
      </c>
      <c r="C22" s="28" t="s">
        <v>87</v>
      </c>
      <c r="D22" s="28" t="s">
        <v>101</v>
      </c>
      <c r="E22" s="28" t="s">
        <v>159</v>
      </c>
      <c r="F22" s="34">
        <v>120</v>
      </c>
      <c r="G22" s="28" t="s">
        <v>125</v>
      </c>
      <c r="H22" s="39">
        <f>IF(tblChanges[[#This Row],[Date]]="","",IFERROR(INDEX(tblTools[Standard life (parts)],MATCH(tblChanges[[#This Row],[Tool ID]],tblTools[Tool ID],0)),""))</f>
        <v>120</v>
      </c>
      <c r="I22" s="35">
        <f>IF(tblChanges[[#This Row],[Date]]="","",IFERROR(INDEX(tblTools[Cost per life],MATCH(tblChanges[[#This Row],[Tool ID]],tblTools[Tool ID],0)),""))</f>
        <v>3.7</v>
      </c>
      <c r="J22" s="35">
        <f>IF(tblChanges[[#This Row],[Date]]="","",IF(OR(tblChanges[[#This Row],[Life cost]]="",tblChanges[[#This Row],[Standard life (parts)]]=""),"",tblChanges[[#This Row],[Parts made]]*tblChanges[[#This Row],[Life cost]]/tblChanges[[#This Row],[Standard life (parts)]]))</f>
        <v>3.7</v>
      </c>
      <c r="K22" s="40">
        <f>IF(tblChanges[[#This Row],[Date]]="","",IF(OR(tblChanges[[#This Row],[Standard life (parts)]]="",tblChanges[[#This Row],[Parts made]]=""),"",tblChanges[[#This Row],[Parts made]]/tblChanges[[#This Row],[Standard life (parts)]]))</f>
        <v>1</v>
      </c>
      <c r="L22" s="36">
        <f>IF(tblChanges[[#This Row],[Date]]="","",IF(OR(tblChanges[[#This Row],[Life cost]]="",N(tblChanges[[#This Row],[Parts made]])=0),"",tblChanges[[#This Row],[Life cost]]/tblChanges[[#This Row],[Parts made]]))</f>
        <v>0.0308333333333333</v>
      </c>
      <c r="M22" s="41" t="str">
        <f>IF(tblChanges[[#This Row],[Date]]="","",IFERROR(INDEX(tblReasons[Category],MATCH(tblChanges[[#This Row],[Reason]],tblReasons[Reason],0)),""))</f>
        <v>Planned</v>
      </c>
      <c r="N22" s="42" t="str">
        <f>IF(NOT(ISNUMBER(tblChanges[[#This Row],[Life achieved]])),"",IF(tblChanges[[#This Row],[Life achieved]]&gt;=TargetLife,"On target",IF(tblChanges[[#This Row],[Life achieved]]&gt;=TargetLife*(1-0.05),"Near target","Below target")))</f>
        <v>On target</v>
      </c>
      <c r="O22" s="43">
        <f>IF(tblChanges[[#This Row],[Date]]="","",IF(AND(tblChanges[[#This Row],[Date]]&gt;=FFrom,tblChanges[[#This Row],[Date]]&lt;=FTo,OR(DashMachine="",tblChanges[[#This Row],[Machine]]=DashMachine)),tblChanges[[#This Row],[Date]],""))</f>
        <v>46265</v>
      </c>
      <c r="P2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2" s="28" t="s">
        <v>158</v>
      </c>
    </row>
    <row r="23" spans="2:17" x14ac:dyDescent="0.25">
      <c r="B23" s="38">
        <v>46265</v>
      </c>
      <c r="C23" s="28" t="s">
        <v>87</v>
      </c>
      <c r="D23" s="28" t="s">
        <v>104</v>
      </c>
      <c r="E23" s="28" t="s">
        <v>159</v>
      </c>
      <c r="F23" s="34">
        <v>160</v>
      </c>
      <c r="G23" s="28" t="s">
        <v>125</v>
      </c>
      <c r="H23" s="39">
        <f>IF(tblChanges[[#This Row],[Date]]="","",IFERROR(INDEX(tblTools[Standard life (parts)],MATCH(tblChanges[[#This Row],[Tool ID]],tblTools[Tool ID],0)),""))</f>
        <v>160</v>
      </c>
      <c r="I23" s="35">
        <f>IF(tblChanges[[#This Row],[Date]]="","",IFERROR(INDEX(tblTools[Cost per life],MATCH(tblChanges[[#This Row],[Tool ID]],tblTools[Tool ID],0)),""))</f>
        <v>4.05</v>
      </c>
      <c r="J23" s="35">
        <f>IF(tblChanges[[#This Row],[Date]]="","",IF(OR(tblChanges[[#This Row],[Life cost]]="",tblChanges[[#This Row],[Standard life (parts)]]=""),"",tblChanges[[#This Row],[Parts made]]*tblChanges[[#This Row],[Life cost]]/tblChanges[[#This Row],[Standard life (parts)]]))</f>
        <v>4.05</v>
      </c>
      <c r="K23" s="40">
        <f>IF(tblChanges[[#This Row],[Date]]="","",IF(OR(tblChanges[[#This Row],[Standard life (parts)]]="",tblChanges[[#This Row],[Parts made]]=""),"",tblChanges[[#This Row],[Parts made]]/tblChanges[[#This Row],[Standard life (parts)]]))</f>
        <v>1</v>
      </c>
      <c r="L23" s="36">
        <f>IF(tblChanges[[#This Row],[Date]]="","",IF(OR(tblChanges[[#This Row],[Life cost]]="",N(tblChanges[[#This Row],[Parts made]])=0),"",tblChanges[[#This Row],[Life cost]]/tblChanges[[#This Row],[Parts made]]))</f>
        <v>0.0253125</v>
      </c>
      <c r="M23" s="41" t="str">
        <f>IF(tblChanges[[#This Row],[Date]]="","",IFERROR(INDEX(tblReasons[Category],MATCH(tblChanges[[#This Row],[Reason]],tblReasons[Reason],0)),""))</f>
        <v>Planned</v>
      </c>
      <c r="N23" s="42" t="str">
        <f>IF(NOT(ISNUMBER(tblChanges[[#This Row],[Life achieved]])),"",IF(tblChanges[[#This Row],[Life achieved]]&gt;=TargetLife,"On target",IF(tblChanges[[#This Row],[Life achieved]]&gt;=TargetLife*(1-0.05),"Near target","Below target")))</f>
        <v>On target</v>
      </c>
      <c r="O23" s="43">
        <f>IF(tblChanges[[#This Row],[Date]]="","",IF(AND(tblChanges[[#This Row],[Date]]&gt;=FFrom,tblChanges[[#This Row],[Date]]&lt;=FTo,OR(DashMachine="",tblChanges[[#This Row],[Machine]]=DashMachine)),tblChanges[[#This Row],[Date]],""))</f>
        <v>46265</v>
      </c>
      <c r="P2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3" s="28" t="s">
        <v>158</v>
      </c>
    </row>
    <row r="24" spans="2:17" x14ac:dyDescent="0.25">
      <c r="B24" s="38">
        <v>46265</v>
      </c>
      <c r="C24" s="28" t="s">
        <v>90</v>
      </c>
      <c r="D24" s="28" t="s">
        <v>101</v>
      </c>
      <c r="E24" s="28" t="s">
        <v>160</v>
      </c>
      <c r="F24" s="34">
        <v>120</v>
      </c>
      <c r="G24" s="28" t="s">
        <v>125</v>
      </c>
      <c r="H24" s="39">
        <f>IF(tblChanges[[#This Row],[Date]]="","",IFERROR(INDEX(tblTools[Standard life (parts)],MATCH(tblChanges[[#This Row],[Tool ID]],tblTools[Tool ID],0)),""))</f>
        <v>120</v>
      </c>
      <c r="I24" s="35">
        <f>IF(tblChanges[[#This Row],[Date]]="","",IFERROR(INDEX(tblTools[Cost per life],MATCH(tblChanges[[#This Row],[Tool ID]],tblTools[Tool ID],0)),""))</f>
        <v>3.7</v>
      </c>
      <c r="J24" s="35">
        <f>IF(tblChanges[[#This Row],[Date]]="","",IF(OR(tblChanges[[#This Row],[Life cost]]="",tblChanges[[#This Row],[Standard life (parts)]]=""),"",tblChanges[[#This Row],[Parts made]]*tblChanges[[#This Row],[Life cost]]/tblChanges[[#This Row],[Standard life (parts)]]))</f>
        <v>3.7</v>
      </c>
      <c r="K24" s="40">
        <f>IF(tblChanges[[#This Row],[Date]]="","",IF(OR(tblChanges[[#This Row],[Standard life (parts)]]="",tblChanges[[#This Row],[Parts made]]=""),"",tblChanges[[#This Row],[Parts made]]/tblChanges[[#This Row],[Standard life (parts)]]))</f>
        <v>1</v>
      </c>
      <c r="L24" s="36">
        <f>IF(tblChanges[[#This Row],[Date]]="","",IF(OR(tblChanges[[#This Row],[Life cost]]="",N(tblChanges[[#This Row],[Parts made]])=0),"",tblChanges[[#This Row],[Life cost]]/tblChanges[[#This Row],[Parts made]]))</f>
        <v>0.0308333333333333</v>
      </c>
      <c r="M24" s="41" t="str">
        <f>IF(tblChanges[[#This Row],[Date]]="","",IFERROR(INDEX(tblReasons[Category],MATCH(tblChanges[[#This Row],[Reason]],tblReasons[Reason],0)),""))</f>
        <v>Planned</v>
      </c>
      <c r="N24" s="42" t="str">
        <f>IF(NOT(ISNUMBER(tblChanges[[#This Row],[Life achieved]])),"",IF(tblChanges[[#This Row],[Life achieved]]&gt;=TargetLife,"On target",IF(tblChanges[[#This Row],[Life achieved]]&gt;=TargetLife*(1-0.05),"Near target","Below target")))</f>
        <v>On target</v>
      </c>
      <c r="O24" s="43">
        <f>IF(tblChanges[[#This Row],[Date]]="","",IF(AND(tblChanges[[#This Row],[Date]]&gt;=FFrom,tblChanges[[#This Row],[Date]]&lt;=FTo,OR(DashMachine="",tblChanges[[#This Row],[Machine]]=DashMachine)),tblChanges[[#This Row],[Date]],""))</f>
        <v>46265</v>
      </c>
      <c r="P2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4" s="28" t="s">
        <v>158</v>
      </c>
    </row>
    <row r="25" spans="2:17" x14ac:dyDescent="0.25">
      <c r="B25" s="38">
        <v>46265</v>
      </c>
      <c r="C25" s="28" t="s">
        <v>92</v>
      </c>
      <c r="D25" s="28" t="s">
        <v>109</v>
      </c>
      <c r="E25" s="28" t="s">
        <v>157</v>
      </c>
      <c r="F25" s="34">
        <v>90</v>
      </c>
      <c r="G25" s="28" t="s">
        <v>125</v>
      </c>
      <c r="H25" s="39">
        <f>IF(tblChanges[[#This Row],[Date]]="","",IFERROR(INDEX(tblTools[Standard life (parts)],MATCH(tblChanges[[#This Row],[Tool ID]],tblTools[Tool ID],0)),""))</f>
        <v>90</v>
      </c>
      <c r="I25" s="35">
        <f>IF(tblChanges[[#This Row],[Date]]="","",IFERROR(INDEX(tblTools[Cost per life],MATCH(tblChanges[[#This Row],[Tool ID]],tblTools[Tool ID],0)),""))</f>
        <v>26</v>
      </c>
      <c r="J25" s="35">
        <f>IF(tblChanges[[#This Row],[Date]]="","",IF(OR(tblChanges[[#This Row],[Life cost]]="",tblChanges[[#This Row],[Standard life (parts)]]=""),"",tblChanges[[#This Row],[Parts made]]*tblChanges[[#This Row],[Life cost]]/tblChanges[[#This Row],[Standard life (parts)]]))</f>
        <v>26</v>
      </c>
      <c r="K25" s="40">
        <f>IF(tblChanges[[#This Row],[Date]]="","",IF(OR(tblChanges[[#This Row],[Standard life (parts)]]="",tblChanges[[#This Row],[Parts made]]=""),"",tblChanges[[#This Row],[Parts made]]/tblChanges[[#This Row],[Standard life (parts)]]))</f>
        <v>1</v>
      </c>
      <c r="L25" s="36">
        <f>IF(tblChanges[[#This Row],[Date]]="","",IF(OR(tblChanges[[#This Row],[Life cost]]="",N(tblChanges[[#This Row],[Parts made]])=0),"",tblChanges[[#This Row],[Life cost]]/tblChanges[[#This Row],[Parts made]]))</f>
        <v>0.288888888888889</v>
      </c>
      <c r="M25" s="41" t="str">
        <f>IF(tblChanges[[#This Row],[Date]]="","",IFERROR(INDEX(tblReasons[Category],MATCH(tblChanges[[#This Row],[Reason]],tblReasons[Reason],0)),""))</f>
        <v>Planned</v>
      </c>
      <c r="N25" s="42" t="str">
        <f>IF(NOT(ISNUMBER(tblChanges[[#This Row],[Life achieved]])),"",IF(tblChanges[[#This Row],[Life achieved]]&gt;=TargetLife,"On target",IF(tblChanges[[#This Row],[Life achieved]]&gt;=TargetLife*(1-0.05),"Near target","Below target")))</f>
        <v>On target</v>
      </c>
      <c r="O25" s="43">
        <f>IF(tblChanges[[#This Row],[Date]]="","",IF(AND(tblChanges[[#This Row],[Date]]&gt;=FFrom,tblChanges[[#This Row],[Date]]&lt;=FTo,OR(DashMachine="",tblChanges[[#This Row],[Machine]]=DashMachine)),tblChanges[[#This Row],[Date]],""))</f>
        <v>46265</v>
      </c>
      <c r="P2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5" s="28" t="s">
        <v>158</v>
      </c>
    </row>
    <row r="26" spans="2:17" x14ac:dyDescent="0.25">
      <c r="B26" s="38">
        <v>46265</v>
      </c>
      <c r="C26" s="28" t="s">
        <v>92</v>
      </c>
      <c r="D26" s="28" t="s">
        <v>112</v>
      </c>
      <c r="E26" s="28" t="s">
        <v>157</v>
      </c>
      <c r="F26" s="34">
        <v>260</v>
      </c>
      <c r="G26" s="28" t="s">
        <v>125</v>
      </c>
      <c r="H26" s="39">
        <f>IF(tblChanges[[#This Row],[Date]]="","",IFERROR(INDEX(tblTools[Standard life (parts)],MATCH(tblChanges[[#This Row],[Tool ID]],tblTools[Tool ID],0)),""))</f>
        <v>260</v>
      </c>
      <c r="I26" s="35">
        <f>IF(tblChanges[[#This Row],[Date]]="","",IFERROR(INDEX(tblTools[Cost per life],MATCH(tblChanges[[#This Row],[Tool ID]],tblTools[Tool ID],0)),""))</f>
        <v>38.6666666666667</v>
      </c>
      <c r="J26" s="35">
        <f>IF(tblChanges[[#This Row],[Date]]="","",IF(OR(tblChanges[[#This Row],[Life cost]]="",tblChanges[[#This Row],[Standard life (parts)]]=""),"",tblChanges[[#This Row],[Parts made]]*tblChanges[[#This Row],[Life cost]]/tblChanges[[#This Row],[Standard life (parts)]]))</f>
        <v>38.6666666666667</v>
      </c>
      <c r="K26" s="40">
        <f>IF(tblChanges[[#This Row],[Date]]="","",IF(OR(tblChanges[[#This Row],[Standard life (parts)]]="",tblChanges[[#This Row],[Parts made]]=""),"",tblChanges[[#This Row],[Parts made]]/tblChanges[[#This Row],[Standard life (parts)]]))</f>
        <v>1</v>
      </c>
      <c r="L26" s="36">
        <f>IF(tblChanges[[#This Row],[Date]]="","",IF(OR(tblChanges[[#This Row],[Life cost]]="",N(tblChanges[[#This Row],[Parts made]])=0),"",tblChanges[[#This Row],[Life cost]]/tblChanges[[#This Row],[Parts made]]))</f>
        <v>0.148717948717949</v>
      </c>
      <c r="M26" s="41" t="str">
        <f>IF(tblChanges[[#This Row],[Date]]="","",IFERROR(INDEX(tblReasons[Category],MATCH(tblChanges[[#This Row],[Reason]],tblReasons[Reason],0)),""))</f>
        <v>Planned</v>
      </c>
      <c r="N26" s="42" t="str">
        <f>IF(NOT(ISNUMBER(tblChanges[[#This Row],[Life achieved]])),"",IF(tblChanges[[#This Row],[Life achieved]]&gt;=TargetLife,"On target",IF(tblChanges[[#This Row],[Life achieved]]&gt;=TargetLife*(1-0.05),"Near target","Below target")))</f>
        <v>On target</v>
      </c>
      <c r="O26" s="43">
        <f>IF(tblChanges[[#This Row],[Date]]="","",IF(AND(tblChanges[[#This Row],[Date]]&gt;=FFrom,tblChanges[[#This Row],[Date]]&lt;=FTo,OR(DashMachine="",tblChanges[[#This Row],[Machine]]=DashMachine)),tblChanges[[#This Row],[Date]],""))</f>
        <v>46265</v>
      </c>
      <c r="P2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6" s="28" t="s">
        <v>158</v>
      </c>
    </row>
    <row r="27" spans="2:17" x14ac:dyDescent="0.25">
      <c r="B27" s="38">
        <v>46265</v>
      </c>
      <c r="C27" s="28" t="s">
        <v>97</v>
      </c>
      <c r="D27" s="28" t="s">
        <v>109</v>
      </c>
      <c r="E27" s="28" t="s">
        <v>162</v>
      </c>
      <c r="F27" s="34">
        <v>90</v>
      </c>
      <c r="G27" s="28" t="s">
        <v>125</v>
      </c>
      <c r="H27" s="39">
        <f>IF(tblChanges[[#This Row],[Date]]="","",IFERROR(INDEX(tblTools[Standard life (parts)],MATCH(tblChanges[[#This Row],[Tool ID]],tblTools[Tool ID],0)),""))</f>
        <v>90</v>
      </c>
      <c r="I27" s="35">
        <f>IF(tblChanges[[#This Row],[Date]]="","",IFERROR(INDEX(tblTools[Cost per life],MATCH(tblChanges[[#This Row],[Tool ID]],tblTools[Tool ID],0)),""))</f>
        <v>26</v>
      </c>
      <c r="J27" s="35">
        <f>IF(tblChanges[[#This Row],[Date]]="","",IF(OR(tblChanges[[#This Row],[Life cost]]="",tblChanges[[#This Row],[Standard life (parts)]]=""),"",tblChanges[[#This Row],[Parts made]]*tblChanges[[#This Row],[Life cost]]/tblChanges[[#This Row],[Standard life (parts)]]))</f>
        <v>26</v>
      </c>
      <c r="K27" s="40">
        <f>IF(tblChanges[[#This Row],[Date]]="","",IF(OR(tblChanges[[#This Row],[Standard life (parts)]]="",tblChanges[[#This Row],[Parts made]]=""),"",tblChanges[[#This Row],[Parts made]]/tblChanges[[#This Row],[Standard life (parts)]]))</f>
        <v>1</v>
      </c>
      <c r="L27" s="36">
        <f>IF(tblChanges[[#This Row],[Date]]="","",IF(OR(tblChanges[[#This Row],[Life cost]]="",N(tblChanges[[#This Row],[Parts made]])=0),"",tblChanges[[#This Row],[Life cost]]/tblChanges[[#This Row],[Parts made]]))</f>
        <v>0.288888888888889</v>
      </c>
      <c r="M27" s="41" t="str">
        <f>IF(tblChanges[[#This Row],[Date]]="","",IFERROR(INDEX(tblReasons[Category],MATCH(tblChanges[[#This Row],[Reason]],tblReasons[Reason],0)),""))</f>
        <v>Planned</v>
      </c>
      <c r="N27" s="42" t="str">
        <f>IF(NOT(ISNUMBER(tblChanges[[#This Row],[Life achieved]])),"",IF(tblChanges[[#This Row],[Life achieved]]&gt;=TargetLife,"On target",IF(tblChanges[[#This Row],[Life achieved]]&gt;=TargetLife*(1-0.05),"Near target","Below target")))</f>
        <v>On target</v>
      </c>
      <c r="O27" s="43">
        <f>IF(tblChanges[[#This Row],[Date]]="","",IF(AND(tblChanges[[#This Row],[Date]]&gt;=FFrom,tblChanges[[#This Row],[Date]]&lt;=FTo,OR(DashMachine="",tblChanges[[#This Row],[Machine]]=DashMachine)),tblChanges[[#This Row],[Date]],""))</f>
        <v>46265</v>
      </c>
      <c r="P2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7" s="28" t="s">
        <v>158</v>
      </c>
    </row>
    <row r="28" spans="2:17" x14ac:dyDescent="0.25">
      <c r="B28" s="38">
        <v>46267</v>
      </c>
      <c r="C28" s="28" t="s">
        <v>87</v>
      </c>
      <c r="D28" s="28" t="s">
        <v>101</v>
      </c>
      <c r="E28" s="28" t="s">
        <v>159</v>
      </c>
      <c r="F28" s="34">
        <v>120</v>
      </c>
      <c r="G28" s="28" t="s">
        <v>125</v>
      </c>
      <c r="H28" s="39">
        <f>IF(tblChanges[[#This Row],[Date]]="","",IFERROR(INDEX(tblTools[Standard life (parts)],MATCH(tblChanges[[#This Row],[Tool ID]],tblTools[Tool ID],0)),""))</f>
        <v>120</v>
      </c>
      <c r="I28" s="35">
        <f>IF(tblChanges[[#This Row],[Date]]="","",IFERROR(INDEX(tblTools[Cost per life],MATCH(tblChanges[[#This Row],[Tool ID]],tblTools[Tool ID],0)),""))</f>
        <v>3.7</v>
      </c>
      <c r="J28" s="35">
        <f>IF(tblChanges[[#This Row],[Date]]="","",IF(OR(tblChanges[[#This Row],[Life cost]]="",tblChanges[[#This Row],[Standard life (parts)]]=""),"",tblChanges[[#This Row],[Parts made]]*tblChanges[[#This Row],[Life cost]]/tblChanges[[#This Row],[Standard life (parts)]]))</f>
        <v>3.7</v>
      </c>
      <c r="K28" s="40">
        <f>IF(tblChanges[[#This Row],[Date]]="","",IF(OR(tblChanges[[#This Row],[Standard life (parts)]]="",tblChanges[[#This Row],[Parts made]]=""),"",tblChanges[[#This Row],[Parts made]]/tblChanges[[#This Row],[Standard life (parts)]]))</f>
        <v>1</v>
      </c>
      <c r="L28" s="36">
        <f>IF(tblChanges[[#This Row],[Date]]="","",IF(OR(tblChanges[[#This Row],[Life cost]]="",N(tblChanges[[#This Row],[Parts made]])=0),"",tblChanges[[#This Row],[Life cost]]/tblChanges[[#This Row],[Parts made]]))</f>
        <v>0.0308333333333333</v>
      </c>
      <c r="M28" s="41" t="str">
        <f>IF(tblChanges[[#This Row],[Date]]="","",IFERROR(INDEX(tblReasons[Category],MATCH(tblChanges[[#This Row],[Reason]],tblReasons[Reason],0)),""))</f>
        <v>Planned</v>
      </c>
      <c r="N28" s="42" t="str">
        <f>IF(NOT(ISNUMBER(tblChanges[[#This Row],[Life achieved]])),"",IF(tblChanges[[#This Row],[Life achieved]]&gt;=TargetLife,"On target",IF(tblChanges[[#This Row],[Life achieved]]&gt;=TargetLife*(1-0.05),"Near target","Below target")))</f>
        <v>On target</v>
      </c>
      <c r="O28" s="43">
        <f>IF(tblChanges[[#This Row],[Date]]="","",IF(AND(tblChanges[[#This Row],[Date]]&gt;=FFrom,tblChanges[[#This Row],[Date]]&lt;=FTo,OR(DashMachine="",tblChanges[[#This Row],[Machine]]=DashMachine)),tblChanges[[#This Row],[Date]],""))</f>
        <v>46267</v>
      </c>
      <c r="P2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8" s="28" t="s">
        <v>158</v>
      </c>
    </row>
    <row r="29" spans="2:17" x14ac:dyDescent="0.25">
      <c r="B29" s="38">
        <v>46267</v>
      </c>
      <c r="C29" s="28" t="s">
        <v>87</v>
      </c>
      <c r="D29" s="28" t="s">
        <v>106</v>
      </c>
      <c r="E29" s="28" t="s">
        <v>159</v>
      </c>
      <c r="F29" s="34">
        <v>150</v>
      </c>
      <c r="G29" s="28" t="s">
        <v>125</v>
      </c>
      <c r="H29" s="39">
        <f>IF(tblChanges[[#This Row],[Date]]="","",IFERROR(INDEX(tblTools[Standard life (parts)],MATCH(tblChanges[[#This Row],[Tool ID]],tblTools[Tool ID],0)),""))</f>
        <v>150</v>
      </c>
      <c r="I29" s="35">
        <f>IF(tblChanges[[#This Row],[Date]]="","",IFERROR(INDEX(tblTools[Cost per life],MATCH(tblChanges[[#This Row],[Tool ID]],tblTools[Tool ID],0)),""))</f>
        <v>9.75</v>
      </c>
      <c r="J29" s="35">
        <f>IF(tblChanges[[#This Row],[Date]]="","",IF(OR(tblChanges[[#This Row],[Life cost]]="",tblChanges[[#This Row],[Standard life (parts)]]=""),"",tblChanges[[#This Row],[Parts made]]*tblChanges[[#This Row],[Life cost]]/tblChanges[[#This Row],[Standard life (parts)]]))</f>
        <v>9.75</v>
      </c>
      <c r="K29" s="40">
        <f>IF(tblChanges[[#This Row],[Date]]="","",IF(OR(tblChanges[[#This Row],[Standard life (parts)]]="",tblChanges[[#This Row],[Parts made]]=""),"",tblChanges[[#This Row],[Parts made]]/tblChanges[[#This Row],[Standard life (parts)]]))</f>
        <v>1</v>
      </c>
      <c r="L29" s="36">
        <f>IF(tblChanges[[#This Row],[Date]]="","",IF(OR(tblChanges[[#This Row],[Life cost]]="",N(tblChanges[[#This Row],[Parts made]])=0),"",tblChanges[[#This Row],[Life cost]]/tblChanges[[#This Row],[Parts made]]))</f>
        <v>0.065</v>
      </c>
      <c r="M29" s="41" t="str">
        <f>IF(tblChanges[[#This Row],[Date]]="","",IFERROR(INDEX(tblReasons[Category],MATCH(tblChanges[[#This Row],[Reason]],tblReasons[Reason],0)),""))</f>
        <v>Planned</v>
      </c>
      <c r="N29" s="42" t="str">
        <f>IF(NOT(ISNUMBER(tblChanges[[#This Row],[Life achieved]])),"",IF(tblChanges[[#This Row],[Life achieved]]&gt;=TargetLife,"On target",IF(tblChanges[[#This Row],[Life achieved]]&gt;=TargetLife*(1-0.05),"Near target","Below target")))</f>
        <v>On target</v>
      </c>
      <c r="O29" s="43">
        <f>IF(tblChanges[[#This Row],[Date]]="","",IF(AND(tblChanges[[#This Row],[Date]]&gt;=FFrom,tblChanges[[#This Row],[Date]]&lt;=FTo,OR(DashMachine="",tblChanges[[#This Row],[Machine]]=DashMachine)),tblChanges[[#This Row],[Date]],""))</f>
        <v>46267</v>
      </c>
      <c r="P2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29" s="28" t="s">
        <v>158</v>
      </c>
    </row>
    <row r="30" spans="2:17" x14ac:dyDescent="0.25">
      <c r="B30" s="38">
        <v>46267</v>
      </c>
      <c r="C30" s="28" t="s">
        <v>90</v>
      </c>
      <c r="D30" s="28" t="s">
        <v>106</v>
      </c>
      <c r="E30" s="28" t="s">
        <v>160</v>
      </c>
      <c r="F30" s="34">
        <v>150</v>
      </c>
      <c r="G30" s="28" t="s">
        <v>125</v>
      </c>
      <c r="H30" s="39">
        <f>IF(tblChanges[[#This Row],[Date]]="","",IFERROR(INDEX(tblTools[Standard life (parts)],MATCH(tblChanges[[#This Row],[Tool ID]],tblTools[Tool ID],0)),""))</f>
        <v>150</v>
      </c>
      <c r="I30" s="35">
        <f>IF(tblChanges[[#This Row],[Date]]="","",IFERROR(INDEX(tblTools[Cost per life],MATCH(tblChanges[[#This Row],[Tool ID]],tblTools[Tool ID],0)),""))</f>
        <v>9.75</v>
      </c>
      <c r="J30" s="35">
        <f>IF(tblChanges[[#This Row],[Date]]="","",IF(OR(tblChanges[[#This Row],[Life cost]]="",tblChanges[[#This Row],[Standard life (parts)]]=""),"",tblChanges[[#This Row],[Parts made]]*tblChanges[[#This Row],[Life cost]]/tblChanges[[#This Row],[Standard life (parts)]]))</f>
        <v>9.75</v>
      </c>
      <c r="K30" s="40">
        <f>IF(tblChanges[[#This Row],[Date]]="","",IF(OR(tblChanges[[#This Row],[Standard life (parts)]]="",tblChanges[[#This Row],[Parts made]]=""),"",tblChanges[[#This Row],[Parts made]]/tblChanges[[#This Row],[Standard life (parts)]]))</f>
        <v>1</v>
      </c>
      <c r="L30" s="36">
        <f>IF(tblChanges[[#This Row],[Date]]="","",IF(OR(tblChanges[[#This Row],[Life cost]]="",N(tblChanges[[#This Row],[Parts made]])=0),"",tblChanges[[#This Row],[Life cost]]/tblChanges[[#This Row],[Parts made]]))</f>
        <v>0.065</v>
      </c>
      <c r="M30" s="41" t="str">
        <f>IF(tblChanges[[#This Row],[Date]]="","",IFERROR(INDEX(tblReasons[Category],MATCH(tblChanges[[#This Row],[Reason]],tblReasons[Reason],0)),""))</f>
        <v>Planned</v>
      </c>
      <c r="N30" s="42" t="str">
        <f>IF(NOT(ISNUMBER(tblChanges[[#This Row],[Life achieved]])),"",IF(tblChanges[[#This Row],[Life achieved]]&gt;=TargetLife,"On target",IF(tblChanges[[#This Row],[Life achieved]]&gt;=TargetLife*(1-0.05),"Near target","Below target")))</f>
        <v>On target</v>
      </c>
      <c r="O30" s="43">
        <f>IF(tblChanges[[#This Row],[Date]]="","",IF(AND(tblChanges[[#This Row],[Date]]&gt;=FFrom,tblChanges[[#This Row],[Date]]&lt;=FTo,OR(DashMachine="",tblChanges[[#This Row],[Machine]]=DashMachine)),tblChanges[[#This Row],[Date]],""))</f>
        <v>46267</v>
      </c>
      <c r="P3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0" s="28" t="s">
        <v>158</v>
      </c>
    </row>
    <row r="31" spans="2:17" x14ac:dyDescent="0.25">
      <c r="B31" s="38">
        <v>46267</v>
      </c>
      <c r="C31" s="28" t="s">
        <v>92</v>
      </c>
      <c r="D31" s="28" t="s">
        <v>109</v>
      </c>
      <c r="E31" s="28" t="s">
        <v>157</v>
      </c>
      <c r="F31" s="34">
        <v>90</v>
      </c>
      <c r="G31" s="28" t="s">
        <v>125</v>
      </c>
      <c r="H31" s="39">
        <f>IF(tblChanges[[#This Row],[Date]]="","",IFERROR(INDEX(tblTools[Standard life (parts)],MATCH(tblChanges[[#This Row],[Tool ID]],tblTools[Tool ID],0)),""))</f>
        <v>90</v>
      </c>
      <c r="I31" s="35">
        <f>IF(tblChanges[[#This Row],[Date]]="","",IFERROR(INDEX(tblTools[Cost per life],MATCH(tblChanges[[#This Row],[Tool ID]],tblTools[Tool ID],0)),""))</f>
        <v>26</v>
      </c>
      <c r="J31" s="35">
        <f>IF(tblChanges[[#This Row],[Date]]="","",IF(OR(tblChanges[[#This Row],[Life cost]]="",tblChanges[[#This Row],[Standard life (parts)]]=""),"",tblChanges[[#This Row],[Parts made]]*tblChanges[[#This Row],[Life cost]]/tblChanges[[#This Row],[Standard life (parts)]]))</f>
        <v>26</v>
      </c>
      <c r="K31" s="40">
        <f>IF(tblChanges[[#This Row],[Date]]="","",IF(OR(tblChanges[[#This Row],[Standard life (parts)]]="",tblChanges[[#This Row],[Parts made]]=""),"",tblChanges[[#This Row],[Parts made]]/tblChanges[[#This Row],[Standard life (parts)]]))</f>
        <v>1</v>
      </c>
      <c r="L31" s="36">
        <f>IF(tblChanges[[#This Row],[Date]]="","",IF(OR(tblChanges[[#This Row],[Life cost]]="",N(tblChanges[[#This Row],[Parts made]])=0),"",tblChanges[[#This Row],[Life cost]]/tblChanges[[#This Row],[Parts made]]))</f>
        <v>0.288888888888889</v>
      </c>
      <c r="M31" s="41" t="str">
        <f>IF(tblChanges[[#This Row],[Date]]="","",IFERROR(INDEX(tblReasons[Category],MATCH(tblChanges[[#This Row],[Reason]],tblReasons[Reason],0)),""))</f>
        <v>Planned</v>
      </c>
      <c r="N31" s="42" t="str">
        <f>IF(NOT(ISNUMBER(tblChanges[[#This Row],[Life achieved]])),"",IF(tblChanges[[#This Row],[Life achieved]]&gt;=TargetLife,"On target",IF(tblChanges[[#This Row],[Life achieved]]&gt;=TargetLife*(1-0.05),"Near target","Below target")))</f>
        <v>On target</v>
      </c>
      <c r="O31" s="43">
        <f>IF(tblChanges[[#This Row],[Date]]="","",IF(AND(tblChanges[[#This Row],[Date]]&gt;=FFrom,tblChanges[[#This Row],[Date]]&lt;=FTo,OR(DashMachine="",tblChanges[[#This Row],[Machine]]=DashMachine)),tblChanges[[#This Row],[Date]],""))</f>
        <v>46267</v>
      </c>
      <c r="P3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1" s="28" t="s">
        <v>158</v>
      </c>
    </row>
    <row r="32" spans="2:17" x14ac:dyDescent="0.25">
      <c r="B32" s="38">
        <v>46267</v>
      </c>
      <c r="C32" s="28" t="s">
        <v>95</v>
      </c>
      <c r="D32" s="28" t="s">
        <v>115</v>
      </c>
      <c r="E32" s="28" t="s">
        <v>161</v>
      </c>
      <c r="F32" s="34">
        <v>600</v>
      </c>
      <c r="G32" s="28" t="s">
        <v>125</v>
      </c>
      <c r="H32" s="39">
        <f>IF(tblChanges[[#This Row],[Date]]="","",IFERROR(INDEX(tblTools[Standard life (parts)],MATCH(tblChanges[[#This Row],[Tool ID]],tblTools[Tool ID],0)),""))</f>
        <v>600</v>
      </c>
      <c r="I32" s="35">
        <f>IF(tblChanges[[#This Row],[Date]]="","",IFERROR(INDEX(tblTools[Cost per life],MATCH(tblChanges[[#This Row],[Tool ID]],tblTools[Tool ID],0)),""))</f>
        <v>34</v>
      </c>
      <c r="J32" s="35">
        <f>IF(tblChanges[[#This Row],[Date]]="","",IF(OR(tblChanges[[#This Row],[Life cost]]="",tblChanges[[#This Row],[Standard life (parts)]]=""),"",tblChanges[[#This Row],[Parts made]]*tblChanges[[#This Row],[Life cost]]/tblChanges[[#This Row],[Standard life (parts)]]))</f>
        <v>34</v>
      </c>
      <c r="K32" s="40">
        <f>IF(tblChanges[[#This Row],[Date]]="","",IF(OR(tblChanges[[#This Row],[Standard life (parts)]]="",tblChanges[[#This Row],[Parts made]]=""),"",tblChanges[[#This Row],[Parts made]]/tblChanges[[#This Row],[Standard life (parts)]]))</f>
        <v>1</v>
      </c>
      <c r="L32" s="36">
        <f>IF(tblChanges[[#This Row],[Date]]="","",IF(OR(tblChanges[[#This Row],[Life cost]]="",N(tblChanges[[#This Row],[Parts made]])=0),"",tblChanges[[#This Row],[Life cost]]/tblChanges[[#This Row],[Parts made]]))</f>
        <v>0.0566666666666667</v>
      </c>
      <c r="M32" s="41" t="str">
        <f>IF(tblChanges[[#This Row],[Date]]="","",IFERROR(INDEX(tblReasons[Category],MATCH(tblChanges[[#This Row],[Reason]],tblReasons[Reason],0)),""))</f>
        <v>Planned</v>
      </c>
      <c r="N32" s="42" t="str">
        <f>IF(NOT(ISNUMBER(tblChanges[[#This Row],[Life achieved]])),"",IF(tblChanges[[#This Row],[Life achieved]]&gt;=TargetLife,"On target",IF(tblChanges[[#This Row],[Life achieved]]&gt;=TargetLife*(1-0.05),"Near target","Below target")))</f>
        <v>On target</v>
      </c>
      <c r="O32" s="43">
        <f>IF(tblChanges[[#This Row],[Date]]="","",IF(AND(tblChanges[[#This Row],[Date]]&gt;=FFrom,tblChanges[[#This Row],[Date]]&lt;=FTo,OR(DashMachine="",tblChanges[[#This Row],[Machine]]=DashMachine)),tblChanges[[#This Row],[Date]],""))</f>
        <v>46267</v>
      </c>
      <c r="P3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2" s="28" t="s">
        <v>158</v>
      </c>
    </row>
    <row r="33" spans="2:17" x14ac:dyDescent="0.25">
      <c r="B33" s="38">
        <v>46267</v>
      </c>
      <c r="C33" s="28" t="s">
        <v>97</v>
      </c>
      <c r="D33" s="28" t="s">
        <v>109</v>
      </c>
      <c r="E33" s="28" t="s">
        <v>162</v>
      </c>
      <c r="F33" s="34">
        <v>90</v>
      </c>
      <c r="G33" s="28" t="s">
        <v>125</v>
      </c>
      <c r="H33" s="39">
        <f>IF(tblChanges[[#This Row],[Date]]="","",IFERROR(INDEX(tblTools[Standard life (parts)],MATCH(tblChanges[[#This Row],[Tool ID]],tblTools[Tool ID],0)),""))</f>
        <v>90</v>
      </c>
      <c r="I33" s="35">
        <f>IF(tblChanges[[#This Row],[Date]]="","",IFERROR(INDEX(tblTools[Cost per life],MATCH(tblChanges[[#This Row],[Tool ID]],tblTools[Tool ID],0)),""))</f>
        <v>26</v>
      </c>
      <c r="J33" s="35">
        <f>IF(tblChanges[[#This Row],[Date]]="","",IF(OR(tblChanges[[#This Row],[Life cost]]="",tblChanges[[#This Row],[Standard life (parts)]]=""),"",tblChanges[[#This Row],[Parts made]]*tblChanges[[#This Row],[Life cost]]/tblChanges[[#This Row],[Standard life (parts)]]))</f>
        <v>26</v>
      </c>
      <c r="K33" s="40">
        <f>IF(tblChanges[[#This Row],[Date]]="","",IF(OR(tblChanges[[#This Row],[Standard life (parts)]]="",tblChanges[[#This Row],[Parts made]]=""),"",tblChanges[[#This Row],[Parts made]]/tblChanges[[#This Row],[Standard life (parts)]]))</f>
        <v>1</v>
      </c>
      <c r="L33" s="36">
        <f>IF(tblChanges[[#This Row],[Date]]="","",IF(OR(tblChanges[[#This Row],[Life cost]]="",N(tblChanges[[#This Row],[Parts made]])=0),"",tblChanges[[#This Row],[Life cost]]/tblChanges[[#This Row],[Parts made]]))</f>
        <v>0.288888888888889</v>
      </c>
      <c r="M33" s="41" t="str">
        <f>IF(tblChanges[[#This Row],[Date]]="","",IFERROR(INDEX(tblReasons[Category],MATCH(tblChanges[[#This Row],[Reason]],tblReasons[Reason],0)),""))</f>
        <v>Planned</v>
      </c>
      <c r="N33" s="42" t="str">
        <f>IF(NOT(ISNUMBER(tblChanges[[#This Row],[Life achieved]])),"",IF(tblChanges[[#This Row],[Life achieved]]&gt;=TargetLife,"On target",IF(tblChanges[[#This Row],[Life achieved]]&gt;=TargetLife*(1-0.05),"Near target","Below target")))</f>
        <v>On target</v>
      </c>
      <c r="O33" s="43">
        <f>IF(tblChanges[[#This Row],[Date]]="","",IF(AND(tblChanges[[#This Row],[Date]]&gt;=FFrom,tblChanges[[#This Row],[Date]]&lt;=FTo,OR(DashMachine="",tblChanges[[#This Row],[Machine]]=DashMachine)),tblChanges[[#This Row],[Date]],""))</f>
        <v>46267</v>
      </c>
      <c r="P3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3" s="28" t="s">
        <v>158</v>
      </c>
    </row>
    <row r="34" spans="2:17" x14ac:dyDescent="0.25">
      <c r="B34" s="38">
        <v>46268</v>
      </c>
      <c r="C34" s="28" t="s">
        <v>87</v>
      </c>
      <c r="D34" s="28" t="s">
        <v>104</v>
      </c>
      <c r="E34" s="28" t="s">
        <v>159</v>
      </c>
      <c r="F34" s="34">
        <v>160</v>
      </c>
      <c r="G34" s="28" t="s">
        <v>125</v>
      </c>
      <c r="H34" s="39">
        <f>IF(tblChanges[[#This Row],[Date]]="","",IFERROR(INDEX(tblTools[Standard life (parts)],MATCH(tblChanges[[#This Row],[Tool ID]],tblTools[Tool ID],0)),""))</f>
        <v>160</v>
      </c>
      <c r="I34" s="35">
        <f>IF(tblChanges[[#This Row],[Date]]="","",IFERROR(INDEX(tblTools[Cost per life],MATCH(tblChanges[[#This Row],[Tool ID]],tblTools[Tool ID],0)),""))</f>
        <v>4.05</v>
      </c>
      <c r="J34" s="35">
        <f>IF(tblChanges[[#This Row],[Date]]="","",IF(OR(tblChanges[[#This Row],[Life cost]]="",tblChanges[[#This Row],[Standard life (parts)]]=""),"",tblChanges[[#This Row],[Parts made]]*tblChanges[[#This Row],[Life cost]]/tblChanges[[#This Row],[Standard life (parts)]]))</f>
        <v>4.05</v>
      </c>
      <c r="K34" s="40">
        <f>IF(tblChanges[[#This Row],[Date]]="","",IF(OR(tblChanges[[#This Row],[Standard life (parts)]]="",tblChanges[[#This Row],[Parts made]]=""),"",tblChanges[[#This Row],[Parts made]]/tblChanges[[#This Row],[Standard life (parts)]]))</f>
        <v>1</v>
      </c>
      <c r="L34" s="36">
        <f>IF(tblChanges[[#This Row],[Date]]="","",IF(OR(tblChanges[[#This Row],[Life cost]]="",N(tblChanges[[#This Row],[Parts made]])=0),"",tblChanges[[#This Row],[Life cost]]/tblChanges[[#This Row],[Parts made]]))</f>
        <v>0.0253125</v>
      </c>
      <c r="M34" s="41" t="str">
        <f>IF(tblChanges[[#This Row],[Date]]="","",IFERROR(INDEX(tblReasons[Category],MATCH(tblChanges[[#This Row],[Reason]],tblReasons[Reason],0)),""))</f>
        <v>Planned</v>
      </c>
      <c r="N34" s="42" t="str">
        <f>IF(NOT(ISNUMBER(tblChanges[[#This Row],[Life achieved]])),"",IF(tblChanges[[#This Row],[Life achieved]]&gt;=TargetLife,"On target",IF(tblChanges[[#This Row],[Life achieved]]&gt;=TargetLife*(1-0.05),"Near target","Below target")))</f>
        <v>On target</v>
      </c>
      <c r="O34" s="43">
        <f>IF(tblChanges[[#This Row],[Date]]="","",IF(AND(tblChanges[[#This Row],[Date]]&gt;=FFrom,tblChanges[[#This Row],[Date]]&lt;=FTo,OR(DashMachine="",tblChanges[[#This Row],[Machine]]=DashMachine)),tblChanges[[#This Row],[Date]],""))</f>
        <v>46268</v>
      </c>
      <c r="P3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4" s="28" t="s">
        <v>158</v>
      </c>
    </row>
    <row r="35" spans="2:17" x14ac:dyDescent="0.25">
      <c r="B35" s="38">
        <v>46268</v>
      </c>
      <c r="C35" s="28" t="s">
        <v>90</v>
      </c>
      <c r="D35" s="28" t="s">
        <v>101</v>
      </c>
      <c r="E35" s="28" t="s">
        <v>160</v>
      </c>
      <c r="F35" s="34">
        <v>120</v>
      </c>
      <c r="G35" s="28" t="s">
        <v>125</v>
      </c>
      <c r="H35" s="39">
        <f>IF(tblChanges[[#This Row],[Date]]="","",IFERROR(INDEX(tblTools[Standard life (parts)],MATCH(tblChanges[[#This Row],[Tool ID]],tblTools[Tool ID],0)),""))</f>
        <v>120</v>
      </c>
      <c r="I35" s="35">
        <f>IF(tblChanges[[#This Row],[Date]]="","",IFERROR(INDEX(tblTools[Cost per life],MATCH(tblChanges[[#This Row],[Tool ID]],tblTools[Tool ID],0)),""))</f>
        <v>3.7</v>
      </c>
      <c r="J35" s="35">
        <f>IF(tblChanges[[#This Row],[Date]]="","",IF(OR(tblChanges[[#This Row],[Life cost]]="",tblChanges[[#This Row],[Standard life (parts)]]=""),"",tblChanges[[#This Row],[Parts made]]*tblChanges[[#This Row],[Life cost]]/tblChanges[[#This Row],[Standard life (parts)]]))</f>
        <v>3.7</v>
      </c>
      <c r="K35" s="40">
        <f>IF(tblChanges[[#This Row],[Date]]="","",IF(OR(tblChanges[[#This Row],[Standard life (parts)]]="",tblChanges[[#This Row],[Parts made]]=""),"",tblChanges[[#This Row],[Parts made]]/tblChanges[[#This Row],[Standard life (parts)]]))</f>
        <v>1</v>
      </c>
      <c r="L35" s="36">
        <f>IF(tblChanges[[#This Row],[Date]]="","",IF(OR(tblChanges[[#This Row],[Life cost]]="",N(tblChanges[[#This Row],[Parts made]])=0),"",tblChanges[[#This Row],[Life cost]]/tblChanges[[#This Row],[Parts made]]))</f>
        <v>0.0308333333333333</v>
      </c>
      <c r="M35" s="41" t="str">
        <f>IF(tblChanges[[#This Row],[Date]]="","",IFERROR(INDEX(tblReasons[Category],MATCH(tblChanges[[#This Row],[Reason]],tblReasons[Reason],0)),""))</f>
        <v>Planned</v>
      </c>
      <c r="N35" s="42" t="str">
        <f>IF(NOT(ISNUMBER(tblChanges[[#This Row],[Life achieved]])),"",IF(tblChanges[[#This Row],[Life achieved]]&gt;=TargetLife,"On target",IF(tblChanges[[#This Row],[Life achieved]]&gt;=TargetLife*(1-0.05),"Near target","Below target")))</f>
        <v>On target</v>
      </c>
      <c r="O35" s="43">
        <f>IF(tblChanges[[#This Row],[Date]]="","",IF(AND(tblChanges[[#This Row],[Date]]&gt;=FFrom,tblChanges[[#This Row],[Date]]&lt;=FTo,OR(DashMachine="",tblChanges[[#This Row],[Machine]]=DashMachine)),tblChanges[[#This Row],[Date]],""))</f>
        <v>46268</v>
      </c>
      <c r="P3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5" s="28" t="s">
        <v>158</v>
      </c>
    </row>
    <row r="36" spans="2:17" x14ac:dyDescent="0.25">
      <c r="B36" s="38">
        <v>46268</v>
      </c>
      <c r="C36" s="28" t="s">
        <v>92</v>
      </c>
      <c r="D36" s="28" t="s">
        <v>109</v>
      </c>
      <c r="E36" s="28" t="s">
        <v>157</v>
      </c>
      <c r="F36" s="34">
        <v>60</v>
      </c>
      <c r="G36" s="28" t="s">
        <v>131</v>
      </c>
      <c r="H36" s="39">
        <f>IF(tblChanges[[#This Row],[Date]]="","",IFERROR(INDEX(tblTools[Standard life (parts)],MATCH(tblChanges[[#This Row],[Tool ID]],tblTools[Tool ID],0)),""))</f>
        <v>90</v>
      </c>
      <c r="I36" s="35">
        <f>IF(tblChanges[[#This Row],[Date]]="","",IFERROR(INDEX(tblTools[Cost per life],MATCH(tblChanges[[#This Row],[Tool ID]],tblTools[Tool ID],0)),""))</f>
        <v>26</v>
      </c>
      <c r="J36" s="35">
        <f>IF(tblChanges[[#This Row],[Date]]="","",IF(OR(tblChanges[[#This Row],[Life cost]]="",tblChanges[[#This Row],[Standard life (parts)]]=""),"",tblChanges[[#This Row],[Parts made]]*tblChanges[[#This Row],[Life cost]]/tblChanges[[#This Row],[Standard life (parts)]]))</f>
        <v>17.3333333333333</v>
      </c>
      <c r="K36" s="40">
        <f>IF(tblChanges[[#This Row],[Date]]="","",IF(OR(tblChanges[[#This Row],[Standard life (parts)]]="",tblChanges[[#This Row],[Parts made]]=""),"",tblChanges[[#This Row],[Parts made]]/tblChanges[[#This Row],[Standard life (parts)]]))</f>
        <v>0.666666666666667</v>
      </c>
      <c r="L36" s="36">
        <f>IF(tblChanges[[#This Row],[Date]]="","",IF(OR(tblChanges[[#This Row],[Life cost]]="",N(tblChanges[[#This Row],[Parts made]])=0),"",tblChanges[[#This Row],[Life cost]]/tblChanges[[#This Row],[Parts made]]))</f>
        <v>0.433333333333333</v>
      </c>
      <c r="M36" s="41" t="str">
        <f>IF(tblChanges[[#This Row],[Date]]="","",IFERROR(INDEX(tblReasons[Category],MATCH(tblChanges[[#This Row],[Reason]],tblReasons[Reason],0)),""))</f>
        <v>Wear</v>
      </c>
      <c r="N36" s="42" t="str">
        <f>IF(NOT(ISNUMBER(tblChanges[[#This Row],[Life achieved]])),"",IF(tblChanges[[#This Row],[Life achieved]]&gt;=TargetLife,"On target",IF(tblChanges[[#This Row],[Life achieved]]&gt;=TargetLife*(1-0.05),"Near target","Below target")))</f>
        <v>Below target</v>
      </c>
      <c r="O36" s="43">
        <f>IF(tblChanges[[#This Row],[Date]]="","",IF(AND(tblChanges[[#This Row],[Date]]&gt;=FFrom,tblChanges[[#This Row],[Date]]&lt;=FTo,OR(DashMachine="",tblChanges[[#This Row],[Machine]]=DashMachine)),tblChanges[[#This Row],[Date]],""))</f>
        <v>46268</v>
      </c>
      <c r="P3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6" s="28" t="s">
        <v>158</v>
      </c>
    </row>
    <row r="37" spans="2:17" x14ac:dyDescent="0.25">
      <c r="B37" s="38">
        <v>46269</v>
      </c>
      <c r="C37" s="28" t="s">
        <v>87</v>
      </c>
      <c r="D37" s="28" t="s">
        <v>101</v>
      </c>
      <c r="E37" s="28" t="s">
        <v>159</v>
      </c>
      <c r="F37" s="34">
        <v>84</v>
      </c>
      <c r="G37" s="28" t="s">
        <v>128</v>
      </c>
      <c r="H37" s="39">
        <f>IF(tblChanges[[#This Row],[Date]]="","",IFERROR(INDEX(tblTools[Standard life (parts)],MATCH(tblChanges[[#This Row],[Tool ID]],tblTools[Tool ID],0)),""))</f>
        <v>120</v>
      </c>
      <c r="I37" s="35">
        <f>IF(tblChanges[[#This Row],[Date]]="","",IFERROR(INDEX(tblTools[Cost per life],MATCH(tblChanges[[#This Row],[Tool ID]],tblTools[Tool ID],0)),""))</f>
        <v>3.7</v>
      </c>
      <c r="J37" s="35">
        <f>IF(tblChanges[[#This Row],[Date]]="","",IF(OR(tblChanges[[#This Row],[Life cost]]="",tblChanges[[#This Row],[Standard life (parts)]]=""),"",tblChanges[[#This Row],[Parts made]]*tblChanges[[#This Row],[Life cost]]/tblChanges[[#This Row],[Standard life (parts)]]))</f>
        <v>2.59</v>
      </c>
      <c r="K37" s="40">
        <f>IF(tblChanges[[#This Row],[Date]]="","",IF(OR(tblChanges[[#This Row],[Standard life (parts)]]="",tblChanges[[#This Row],[Parts made]]=""),"",tblChanges[[#This Row],[Parts made]]/tblChanges[[#This Row],[Standard life (parts)]]))</f>
        <v>0.7</v>
      </c>
      <c r="L37" s="36">
        <f>IF(tblChanges[[#This Row],[Date]]="","",IF(OR(tblChanges[[#This Row],[Life cost]]="",N(tblChanges[[#This Row],[Parts made]])=0),"",tblChanges[[#This Row],[Life cost]]/tblChanges[[#This Row],[Parts made]]))</f>
        <v>0.0440476190476191</v>
      </c>
      <c r="M37" s="41" t="str">
        <f>IF(tblChanges[[#This Row],[Date]]="","",IFERROR(INDEX(tblReasons[Category],MATCH(tblChanges[[#This Row],[Reason]],tblReasons[Reason],0)),""))</f>
        <v>Wear</v>
      </c>
      <c r="N37" s="42" t="str">
        <f>IF(NOT(ISNUMBER(tblChanges[[#This Row],[Life achieved]])),"",IF(tblChanges[[#This Row],[Life achieved]]&gt;=TargetLife,"On target",IF(tblChanges[[#This Row],[Life achieved]]&gt;=TargetLife*(1-0.05),"Near target","Below target")))</f>
        <v>Below target</v>
      </c>
      <c r="O37" s="43">
        <f>IF(tblChanges[[#This Row],[Date]]="","",IF(AND(tblChanges[[#This Row],[Date]]&gt;=FFrom,tblChanges[[#This Row],[Date]]&lt;=FTo,OR(DashMachine="",tblChanges[[#This Row],[Machine]]=DashMachine)),tblChanges[[#This Row],[Date]],""))</f>
        <v>46269</v>
      </c>
      <c r="P3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7" s="28" t="s">
        <v>158</v>
      </c>
    </row>
    <row r="38" spans="2:17" x14ac:dyDescent="0.25">
      <c r="B38" s="38">
        <v>46269</v>
      </c>
      <c r="C38" s="28" t="s">
        <v>90</v>
      </c>
      <c r="D38" s="28" t="s">
        <v>106</v>
      </c>
      <c r="E38" s="28" t="s">
        <v>160</v>
      </c>
      <c r="F38" s="34">
        <v>97</v>
      </c>
      <c r="G38" s="28" t="s">
        <v>128</v>
      </c>
      <c r="H38" s="39">
        <f>IF(tblChanges[[#This Row],[Date]]="","",IFERROR(INDEX(tblTools[Standard life (parts)],MATCH(tblChanges[[#This Row],[Tool ID]],tblTools[Tool ID],0)),""))</f>
        <v>150</v>
      </c>
      <c r="I38" s="35">
        <f>IF(tblChanges[[#This Row],[Date]]="","",IFERROR(INDEX(tblTools[Cost per life],MATCH(tblChanges[[#This Row],[Tool ID]],tblTools[Tool ID],0)),""))</f>
        <v>9.75</v>
      </c>
      <c r="J38" s="35">
        <f>IF(tblChanges[[#This Row],[Date]]="","",IF(OR(tblChanges[[#This Row],[Life cost]]="",tblChanges[[#This Row],[Standard life (parts)]]=""),"",tblChanges[[#This Row],[Parts made]]*tblChanges[[#This Row],[Life cost]]/tblChanges[[#This Row],[Standard life (parts)]]))</f>
        <v>6.305</v>
      </c>
      <c r="K38" s="40">
        <f>IF(tblChanges[[#This Row],[Date]]="","",IF(OR(tblChanges[[#This Row],[Standard life (parts)]]="",tblChanges[[#This Row],[Parts made]]=""),"",tblChanges[[#This Row],[Parts made]]/tblChanges[[#This Row],[Standard life (parts)]]))</f>
        <v>0.646666666666667</v>
      </c>
      <c r="L38" s="36">
        <f>IF(tblChanges[[#This Row],[Date]]="","",IF(OR(tblChanges[[#This Row],[Life cost]]="",N(tblChanges[[#This Row],[Parts made]])=0),"",tblChanges[[#This Row],[Life cost]]/tblChanges[[#This Row],[Parts made]]))</f>
        <v>0.100515463917526</v>
      </c>
      <c r="M38" s="41" t="str">
        <f>IF(tblChanges[[#This Row],[Date]]="","",IFERROR(INDEX(tblReasons[Category],MATCH(tblChanges[[#This Row],[Reason]],tblReasons[Reason],0)),""))</f>
        <v>Wear</v>
      </c>
      <c r="N38" s="42" t="str">
        <f>IF(NOT(ISNUMBER(tblChanges[[#This Row],[Life achieved]])),"",IF(tblChanges[[#This Row],[Life achieved]]&gt;=TargetLife,"On target",IF(tblChanges[[#This Row],[Life achieved]]&gt;=TargetLife*(1-0.05),"Near target","Below target")))</f>
        <v>Below target</v>
      </c>
      <c r="O38" s="43">
        <f>IF(tblChanges[[#This Row],[Date]]="","",IF(AND(tblChanges[[#This Row],[Date]]&gt;=FFrom,tblChanges[[#This Row],[Date]]&lt;=FTo,OR(DashMachine="",tblChanges[[#This Row],[Machine]]=DashMachine)),tblChanges[[#This Row],[Date]],""))</f>
        <v>46269</v>
      </c>
      <c r="P3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8" s="28" t="s">
        <v>158</v>
      </c>
    </row>
    <row r="39" spans="2:17" x14ac:dyDescent="0.25">
      <c r="B39" s="38">
        <v>46269</v>
      </c>
      <c r="C39" s="28" t="s">
        <v>95</v>
      </c>
      <c r="D39" s="28" t="s">
        <v>112</v>
      </c>
      <c r="E39" s="28" t="s">
        <v>161</v>
      </c>
      <c r="F39" s="34">
        <v>260</v>
      </c>
      <c r="G39" s="28" t="s">
        <v>125</v>
      </c>
      <c r="H39" s="39">
        <f>IF(tblChanges[[#This Row],[Date]]="","",IFERROR(INDEX(tblTools[Standard life (parts)],MATCH(tblChanges[[#This Row],[Tool ID]],tblTools[Tool ID],0)),""))</f>
        <v>260</v>
      </c>
      <c r="I39" s="35">
        <f>IF(tblChanges[[#This Row],[Date]]="","",IFERROR(INDEX(tblTools[Cost per life],MATCH(tblChanges[[#This Row],[Tool ID]],tblTools[Tool ID],0)),""))</f>
        <v>38.6666666666667</v>
      </c>
      <c r="J39" s="35">
        <f>IF(tblChanges[[#This Row],[Date]]="","",IF(OR(tblChanges[[#This Row],[Life cost]]="",tblChanges[[#This Row],[Standard life (parts)]]=""),"",tblChanges[[#This Row],[Parts made]]*tblChanges[[#This Row],[Life cost]]/tblChanges[[#This Row],[Standard life (parts)]]))</f>
        <v>38.6666666666667</v>
      </c>
      <c r="K39" s="40">
        <f>IF(tblChanges[[#This Row],[Date]]="","",IF(OR(tblChanges[[#This Row],[Standard life (parts)]]="",tblChanges[[#This Row],[Parts made]]=""),"",tblChanges[[#This Row],[Parts made]]/tblChanges[[#This Row],[Standard life (parts)]]))</f>
        <v>1</v>
      </c>
      <c r="L39" s="36">
        <f>IF(tblChanges[[#This Row],[Date]]="","",IF(OR(tblChanges[[#This Row],[Life cost]]="",N(tblChanges[[#This Row],[Parts made]])=0),"",tblChanges[[#This Row],[Life cost]]/tblChanges[[#This Row],[Parts made]]))</f>
        <v>0.148717948717949</v>
      </c>
      <c r="M39" s="41" t="str">
        <f>IF(tblChanges[[#This Row],[Date]]="","",IFERROR(INDEX(tblReasons[Category],MATCH(tblChanges[[#This Row],[Reason]],tblReasons[Reason],0)),""))</f>
        <v>Planned</v>
      </c>
      <c r="N39" s="42" t="str">
        <f>IF(NOT(ISNUMBER(tblChanges[[#This Row],[Life achieved]])),"",IF(tblChanges[[#This Row],[Life achieved]]&gt;=TargetLife,"On target",IF(tblChanges[[#This Row],[Life achieved]]&gt;=TargetLife*(1-0.05),"Near target","Below target")))</f>
        <v>On target</v>
      </c>
      <c r="O39" s="43">
        <f>IF(tblChanges[[#This Row],[Date]]="","",IF(AND(tblChanges[[#This Row],[Date]]&gt;=FFrom,tblChanges[[#This Row],[Date]]&lt;=FTo,OR(DashMachine="",tblChanges[[#This Row],[Machine]]=DashMachine)),tblChanges[[#This Row],[Date]],""))</f>
        <v>46269</v>
      </c>
      <c r="P3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39" s="28" t="s">
        <v>158</v>
      </c>
    </row>
    <row r="40" spans="2:17" x14ac:dyDescent="0.25">
      <c r="B40" s="38">
        <v>46272</v>
      </c>
      <c r="C40" s="28" t="s">
        <v>87</v>
      </c>
      <c r="D40" s="28" t="s">
        <v>106</v>
      </c>
      <c r="E40" s="28" t="s">
        <v>159</v>
      </c>
      <c r="F40" s="34">
        <v>150</v>
      </c>
      <c r="G40" s="28" t="s">
        <v>125</v>
      </c>
      <c r="H40" s="39">
        <f>IF(tblChanges[[#This Row],[Date]]="","",IFERROR(INDEX(tblTools[Standard life (parts)],MATCH(tblChanges[[#This Row],[Tool ID]],tblTools[Tool ID],0)),""))</f>
        <v>150</v>
      </c>
      <c r="I40" s="35">
        <f>IF(tblChanges[[#This Row],[Date]]="","",IFERROR(INDEX(tblTools[Cost per life],MATCH(tblChanges[[#This Row],[Tool ID]],tblTools[Tool ID],0)),""))</f>
        <v>9.75</v>
      </c>
      <c r="J40" s="35">
        <f>IF(tblChanges[[#This Row],[Date]]="","",IF(OR(tblChanges[[#This Row],[Life cost]]="",tblChanges[[#This Row],[Standard life (parts)]]=""),"",tblChanges[[#This Row],[Parts made]]*tblChanges[[#This Row],[Life cost]]/tblChanges[[#This Row],[Standard life (parts)]]))</f>
        <v>9.75</v>
      </c>
      <c r="K40" s="40">
        <f>IF(tblChanges[[#This Row],[Date]]="","",IF(OR(tblChanges[[#This Row],[Standard life (parts)]]="",tblChanges[[#This Row],[Parts made]]=""),"",tblChanges[[#This Row],[Parts made]]/tblChanges[[#This Row],[Standard life (parts)]]))</f>
        <v>1</v>
      </c>
      <c r="L40" s="36">
        <f>IF(tblChanges[[#This Row],[Date]]="","",IF(OR(tblChanges[[#This Row],[Life cost]]="",N(tblChanges[[#This Row],[Parts made]])=0),"",tblChanges[[#This Row],[Life cost]]/tblChanges[[#This Row],[Parts made]]))</f>
        <v>0.065</v>
      </c>
      <c r="M40" s="41" t="str">
        <f>IF(tblChanges[[#This Row],[Date]]="","",IFERROR(INDEX(tblReasons[Category],MATCH(tblChanges[[#This Row],[Reason]],tblReasons[Reason],0)),""))</f>
        <v>Planned</v>
      </c>
      <c r="N40" s="42" t="str">
        <f>IF(NOT(ISNUMBER(tblChanges[[#This Row],[Life achieved]])),"",IF(tblChanges[[#This Row],[Life achieved]]&gt;=TargetLife,"On target",IF(tblChanges[[#This Row],[Life achieved]]&gt;=TargetLife*(1-0.05),"Near target","Below target")))</f>
        <v>On target</v>
      </c>
      <c r="O40" s="43">
        <f>IF(tblChanges[[#This Row],[Date]]="","",IF(AND(tblChanges[[#This Row],[Date]]&gt;=FFrom,tblChanges[[#This Row],[Date]]&lt;=FTo,OR(DashMachine="",tblChanges[[#This Row],[Machine]]=DashMachine)),tblChanges[[#This Row],[Date]],""))</f>
        <v>46272</v>
      </c>
      <c r="P4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0" s="28" t="s">
        <v>158</v>
      </c>
    </row>
    <row r="41" spans="2:17" x14ac:dyDescent="0.25">
      <c r="B41" s="38">
        <v>46272</v>
      </c>
      <c r="C41" s="28" t="s">
        <v>90</v>
      </c>
      <c r="D41" s="28" t="s">
        <v>101</v>
      </c>
      <c r="E41" s="28" t="s">
        <v>163</v>
      </c>
      <c r="F41" s="34">
        <v>120</v>
      </c>
      <c r="G41" s="28" t="s">
        <v>125</v>
      </c>
      <c r="H41" s="39">
        <f>IF(tblChanges[[#This Row],[Date]]="","",IFERROR(INDEX(tblTools[Standard life (parts)],MATCH(tblChanges[[#This Row],[Tool ID]],tblTools[Tool ID],0)),""))</f>
        <v>120</v>
      </c>
      <c r="I41" s="35">
        <f>IF(tblChanges[[#This Row],[Date]]="","",IFERROR(INDEX(tblTools[Cost per life],MATCH(tblChanges[[#This Row],[Tool ID]],tblTools[Tool ID],0)),""))</f>
        <v>3.7</v>
      </c>
      <c r="J41" s="35">
        <f>IF(tblChanges[[#This Row],[Date]]="","",IF(OR(tblChanges[[#This Row],[Life cost]]="",tblChanges[[#This Row],[Standard life (parts)]]=""),"",tblChanges[[#This Row],[Parts made]]*tblChanges[[#This Row],[Life cost]]/tblChanges[[#This Row],[Standard life (parts)]]))</f>
        <v>3.7</v>
      </c>
      <c r="K41" s="40">
        <f>IF(tblChanges[[#This Row],[Date]]="","",IF(OR(tblChanges[[#This Row],[Standard life (parts)]]="",tblChanges[[#This Row],[Parts made]]=""),"",tblChanges[[#This Row],[Parts made]]/tblChanges[[#This Row],[Standard life (parts)]]))</f>
        <v>1</v>
      </c>
      <c r="L41" s="36">
        <f>IF(tblChanges[[#This Row],[Date]]="","",IF(OR(tblChanges[[#This Row],[Life cost]]="",N(tblChanges[[#This Row],[Parts made]])=0),"",tblChanges[[#This Row],[Life cost]]/tblChanges[[#This Row],[Parts made]]))</f>
        <v>0.0308333333333333</v>
      </c>
      <c r="M41" s="41" t="str">
        <f>IF(tblChanges[[#This Row],[Date]]="","",IFERROR(INDEX(tblReasons[Category],MATCH(tblChanges[[#This Row],[Reason]],tblReasons[Reason],0)),""))</f>
        <v>Planned</v>
      </c>
      <c r="N41" s="42" t="str">
        <f>IF(NOT(ISNUMBER(tblChanges[[#This Row],[Life achieved]])),"",IF(tblChanges[[#This Row],[Life achieved]]&gt;=TargetLife,"On target",IF(tblChanges[[#This Row],[Life achieved]]&gt;=TargetLife*(1-0.05),"Near target","Below target")))</f>
        <v>On target</v>
      </c>
      <c r="O41" s="43">
        <f>IF(tblChanges[[#This Row],[Date]]="","",IF(AND(tblChanges[[#This Row],[Date]]&gt;=FFrom,tblChanges[[#This Row],[Date]]&lt;=FTo,OR(DashMachine="",tblChanges[[#This Row],[Machine]]=DashMachine)),tblChanges[[#This Row],[Date]],""))</f>
        <v>46272</v>
      </c>
      <c r="P4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1" s="28" t="s">
        <v>158</v>
      </c>
    </row>
    <row r="42" spans="2:17" x14ac:dyDescent="0.25">
      <c r="B42" s="38">
        <v>46272</v>
      </c>
      <c r="C42" s="28" t="s">
        <v>90</v>
      </c>
      <c r="D42" s="28" t="s">
        <v>106</v>
      </c>
      <c r="E42" s="28" t="s">
        <v>163</v>
      </c>
      <c r="F42" s="34">
        <v>65</v>
      </c>
      <c r="G42" s="28" t="s">
        <v>137</v>
      </c>
      <c r="H42" s="39">
        <f>IF(tblChanges[[#This Row],[Date]]="","",IFERROR(INDEX(tblTools[Standard life (parts)],MATCH(tblChanges[[#This Row],[Tool ID]],tblTools[Tool ID],0)),""))</f>
        <v>150</v>
      </c>
      <c r="I42" s="35">
        <f>IF(tblChanges[[#This Row],[Date]]="","",IFERROR(INDEX(tblTools[Cost per life],MATCH(tblChanges[[#This Row],[Tool ID]],tblTools[Tool ID],0)),""))</f>
        <v>9.75</v>
      </c>
      <c r="J42" s="35">
        <f>IF(tblChanges[[#This Row],[Date]]="","",IF(OR(tblChanges[[#This Row],[Life cost]]="",tblChanges[[#This Row],[Standard life (parts)]]=""),"",tblChanges[[#This Row],[Parts made]]*tblChanges[[#This Row],[Life cost]]/tblChanges[[#This Row],[Standard life (parts)]]))</f>
        <v>4.225</v>
      </c>
      <c r="K42" s="40">
        <f>IF(tblChanges[[#This Row],[Date]]="","",IF(OR(tblChanges[[#This Row],[Standard life (parts)]]="",tblChanges[[#This Row],[Parts made]]=""),"",tblChanges[[#This Row],[Parts made]]/tblChanges[[#This Row],[Standard life (parts)]]))</f>
        <v>0.433333333333333</v>
      </c>
      <c r="L42" s="36">
        <f>IF(tblChanges[[#This Row],[Date]]="","",IF(OR(tblChanges[[#This Row],[Life cost]]="",N(tblChanges[[#This Row],[Parts made]])=0),"",tblChanges[[#This Row],[Life cost]]/tblChanges[[#This Row],[Parts made]]))</f>
        <v>0.15</v>
      </c>
      <c r="M42" s="41" t="str">
        <f>IF(tblChanges[[#This Row],[Date]]="","",IFERROR(INDEX(tblReasons[Category],MATCH(tblChanges[[#This Row],[Reason]],tblReasons[Reason],0)),""))</f>
        <v>Premature failure</v>
      </c>
      <c r="N42" s="42" t="str">
        <f>IF(NOT(ISNUMBER(tblChanges[[#This Row],[Life achieved]])),"",IF(tblChanges[[#This Row],[Life achieved]]&gt;=TargetLife,"On target",IF(tblChanges[[#This Row],[Life achieved]]&gt;=TargetLife*(1-0.05),"Near target","Below target")))</f>
        <v>Below target</v>
      </c>
      <c r="O42" s="43">
        <f>IF(tblChanges[[#This Row],[Date]]="","",IF(AND(tblChanges[[#This Row],[Date]]&gt;=FFrom,tblChanges[[#This Row],[Date]]&lt;=FTo,OR(DashMachine="",tblChanges[[#This Row],[Machine]]=DashMachine)),tblChanges[[#This Row],[Date]],""))</f>
        <v>46272</v>
      </c>
      <c r="P4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2" s="28" t="s">
        <v>158</v>
      </c>
    </row>
    <row r="43" spans="2:17" x14ac:dyDescent="0.25">
      <c r="B43" s="38">
        <v>46272</v>
      </c>
      <c r="C43" s="28" t="s">
        <v>92</v>
      </c>
      <c r="D43" s="28" t="s">
        <v>109</v>
      </c>
      <c r="E43" s="28" t="s">
        <v>157</v>
      </c>
      <c r="F43" s="34">
        <v>90</v>
      </c>
      <c r="G43" s="28" t="s">
        <v>125</v>
      </c>
      <c r="H43" s="39">
        <f>IF(tblChanges[[#This Row],[Date]]="","",IFERROR(INDEX(tblTools[Standard life (parts)],MATCH(tblChanges[[#This Row],[Tool ID]],tblTools[Tool ID],0)),""))</f>
        <v>90</v>
      </c>
      <c r="I43" s="35">
        <f>IF(tblChanges[[#This Row],[Date]]="","",IFERROR(INDEX(tblTools[Cost per life],MATCH(tblChanges[[#This Row],[Tool ID]],tblTools[Tool ID],0)),""))</f>
        <v>26</v>
      </c>
      <c r="J43" s="35">
        <f>IF(tblChanges[[#This Row],[Date]]="","",IF(OR(tblChanges[[#This Row],[Life cost]]="",tblChanges[[#This Row],[Standard life (parts)]]=""),"",tblChanges[[#This Row],[Parts made]]*tblChanges[[#This Row],[Life cost]]/tblChanges[[#This Row],[Standard life (parts)]]))</f>
        <v>26</v>
      </c>
      <c r="K43" s="40">
        <f>IF(tblChanges[[#This Row],[Date]]="","",IF(OR(tblChanges[[#This Row],[Standard life (parts)]]="",tblChanges[[#This Row],[Parts made]]=""),"",tblChanges[[#This Row],[Parts made]]/tblChanges[[#This Row],[Standard life (parts)]]))</f>
        <v>1</v>
      </c>
      <c r="L43" s="36">
        <f>IF(tblChanges[[#This Row],[Date]]="","",IF(OR(tblChanges[[#This Row],[Life cost]]="",N(tblChanges[[#This Row],[Parts made]])=0),"",tblChanges[[#This Row],[Life cost]]/tblChanges[[#This Row],[Parts made]]))</f>
        <v>0.288888888888889</v>
      </c>
      <c r="M43" s="41" t="str">
        <f>IF(tblChanges[[#This Row],[Date]]="","",IFERROR(INDEX(tblReasons[Category],MATCH(tblChanges[[#This Row],[Reason]],tblReasons[Reason],0)),""))</f>
        <v>Planned</v>
      </c>
      <c r="N43" s="42" t="str">
        <f>IF(NOT(ISNUMBER(tblChanges[[#This Row],[Life achieved]])),"",IF(tblChanges[[#This Row],[Life achieved]]&gt;=TargetLife,"On target",IF(tblChanges[[#This Row],[Life achieved]]&gt;=TargetLife*(1-0.05),"Near target","Below target")))</f>
        <v>On target</v>
      </c>
      <c r="O43" s="43">
        <f>IF(tblChanges[[#This Row],[Date]]="","",IF(AND(tblChanges[[#This Row],[Date]]&gt;=FFrom,tblChanges[[#This Row],[Date]]&lt;=FTo,OR(DashMachine="",tblChanges[[#This Row],[Machine]]=DashMachine)),tblChanges[[#This Row],[Date]],""))</f>
        <v>46272</v>
      </c>
      <c r="P4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3" s="28" t="s">
        <v>158</v>
      </c>
    </row>
    <row r="44" spans="2:17" x14ac:dyDescent="0.25">
      <c r="B44" s="38">
        <v>46272</v>
      </c>
      <c r="C44" s="28" t="s">
        <v>92</v>
      </c>
      <c r="D44" s="28" t="s">
        <v>115</v>
      </c>
      <c r="E44" s="28" t="s">
        <v>157</v>
      </c>
      <c r="F44" s="34">
        <v>600</v>
      </c>
      <c r="G44" s="28" t="s">
        <v>125</v>
      </c>
      <c r="H44" s="39">
        <f>IF(tblChanges[[#This Row],[Date]]="","",IFERROR(INDEX(tblTools[Standard life (parts)],MATCH(tblChanges[[#This Row],[Tool ID]],tblTools[Tool ID],0)),""))</f>
        <v>600</v>
      </c>
      <c r="I44" s="35">
        <f>IF(tblChanges[[#This Row],[Date]]="","",IFERROR(INDEX(tblTools[Cost per life],MATCH(tblChanges[[#This Row],[Tool ID]],tblTools[Tool ID],0)),""))</f>
        <v>34</v>
      </c>
      <c r="J44" s="35">
        <f>IF(tblChanges[[#This Row],[Date]]="","",IF(OR(tblChanges[[#This Row],[Life cost]]="",tblChanges[[#This Row],[Standard life (parts)]]=""),"",tblChanges[[#This Row],[Parts made]]*tblChanges[[#This Row],[Life cost]]/tblChanges[[#This Row],[Standard life (parts)]]))</f>
        <v>34</v>
      </c>
      <c r="K44" s="40">
        <f>IF(tblChanges[[#This Row],[Date]]="","",IF(OR(tblChanges[[#This Row],[Standard life (parts)]]="",tblChanges[[#This Row],[Parts made]]=""),"",tblChanges[[#This Row],[Parts made]]/tblChanges[[#This Row],[Standard life (parts)]]))</f>
        <v>1</v>
      </c>
      <c r="L44" s="36">
        <f>IF(tblChanges[[#This Row],[Date]]="","",IF(OR(tblChanges[[#This Row],[Life cost]]="",N(tblChanges[[#This Row],[Parts made]])=0),"",tblChanges[[#This Row],[Life cost]]/tblChanges[[#This Row],[Parts made]]))</f>
        <v>0.0566666666666667</v>
      </c>
      <c r="M44" s="41" t="str">
        <f>IF(tblChanges[[#This Row],[Date]]="","",IFERROR(INDEX(tblReasons[Category],MATCH(tblChanges[[#This Row],[Reason]],tblReasons[Reason],0)),""))</f>
        <v>Planned</v>
      </c>
      <c r="N44" s="42" t="str">
        <f>IF(NOT(ISNUMBER(tblChanges[[#This Row],[Life achieved]])),"",IF(tblChanges[[#This Row],[Life achieved]]&gt;=TargetLife,"On target",IF(tblChanges[[#This Row],[Life achieved]]&gt;=TargetLife*(1-0.05),"Near target","Below target")))</f>
        <v>On target</v>
      </c>
      <c r="O44" s="43">
        <f>IF(tblChanges[[#This Row],[Date]]="","",IF(AND(tblChanges[[#This Row],[Date]]&gt;=FFrom,tblChanges[[#This Row],[Date]]&lt;=FTo,OR(DashMachine="",tblChanges[[#This Row],[Machine]]=DashMachine)),tblChanges[[#This Row],[Date]],""))</f>
        <v>46272</v>
      </c>
      <c r="P4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4" s="28" t="s">
        <v>158</v>
      </c>
    </row>
    <row r="45" spans="2:17" x14ac:dyDescent="0.25">
      <c r="B45" s="38">
        <v>46272</v>
      </c>
      <c r="C45" s="28" t="s">
        <v>97</v>
      </c>
      <c r="D45" s="28" t="s">
        <v>109</v>
      </c>
      <c r="E45" s="28" t="s">
        <v>162</v>
      </c>
      <c r="F45" s="34">
        <v>90</v>
      </c>
      <c r="G45" s="28" t="s">
        <v>125</v>
      </c>
      <c r="H45" s="39">
        <f>IF(tblChanges[[#This Row],[Date]]="","",IFERROR(INDEX(tblTools[Standard life (parts)],MATCH(tblChanges[[#This Row],[Tool ID]],tblTools[Tool ID],0)),""))</f>
        <v>90</v>
      </c>
      <c r="I45" s="35">
        <f>IF(tblChanges[[#This Row],[Date]]="","",IFERROR(INDEX(tblTools[Cost per life],MATCH(tblChanges[[#This Row],[Tool ID]],tblTools[Tool ID],0)),""))</f>
        <v>26</v>
      </c>
      <c r="J45" s="35">
        <f>IF(tblChanges[[#This Row],[Date]]="","",IF(OR(tblChanges[[#This Row],[Life cost]]="",tblChanges[[#This Row],[Standard life (parts)]]=""),"",tblChanges[[#This Row],[Parts made]]*tblChanges[[#This Row],[Life cost]]/tblChanges[[#This Row],[Standard life (parts)]]))</f>
        <v>26</v>
      </c>
      <c r="K45" s="40">
        <f>IF(tblChanges[[#This Row],[Date]]="","",IF(OR(tblChanges[[#This Row],[Standard life (parts)]]="",tblChanges[[#This Row],[Parts made]]=""),"",tblChanges[[#This Row],[Parts made]]/tblChanges[[#This Row],[Standard life (parts)]]))</f>
        <v>1</v>
      </c>
      <c r="L45" s="36">
        <f>IF(tblChanges[[#This Row],[Date]]="","",IF(OR(tblChanges[[#This Row],[Life cost]]="",N(tblChanges[[#This Row],[Parts made]])=0),"",tblChanges[[#This Row],[Life cost]]/tblChanges[[#This Row],[Parts made]]))</f>
        <v>0.288888888888889</v>
      </c>
      <c r="M45" s="41" t="str">
        <f>IF(tblChanges[[#This Row],[Date]]="","",IFERROR(INDEX(tblReasons[Category],MATCH(tblChanges[[#This Row],[Reason]],tblReasons[Reason],0)),""))</f>
        <v>Planned</v>
      </c>
      <c r="N45" s="42" t="str">
        <f>IF(NOT(ISNUMBER(tblChanges[[#This Row],[Life achieved]])),"",IF(tblChanges[[#This Row],[Life achieved]]&gt;=TargetLife,"On target",IF(tblChanges[[#This Row],[Life achieved]]&gt;=TargetLife*(1-0.05),"Near target","Below target")))</f>
        <v>On target</v>
      </c>
      <c r="O45" s="43">
        <f>IF(tblChanges[[#This Row],[Date]]="","",IF(AND(tblChanges[[#This Row],[Date]]&gt;=FFrom,tblChanges[[#This Row],[Date]]&lt;=FTo,OR(DashMachine="",tblChanges[[#This Row],[Machine]]=DashMachine)),tblChanges[[#This Row],[Date]],""))</f>
        <v>46272</v>
      </c>
      <c r="P4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5" s="28" t="s">
        <v>158</v>
      </c>
    </row>
    <row r="46" spans="2:17" x14ac:dyDescent="0.25">
      <c r="B46" s="38">
        <v>46272</v>
      </c>
      <c r="C46" s="28" t="s">
        <v>97</v>
      </c>
      <c r="D46" s="28" t="s">
        <v>121</v>
      </c>
      <c r="E46" s="28" t="s">
        <v>162</v>
      </c>
      <c r="F46" s="34">
        <v>450</v>
      </c>
      <c r="G46" s="28" t="s">
        <v>125</v>
      </c>
      <c r="H46" s="39">
        <f>IF(tblChanges[[#This Row],[Date]]="","",IFERROR(INDEX(tblTools[Standard life (parts)],MATCH(tblChanges[[#This Row],[Tool ID]],tblTools[Tool ID],0)),""))</f>
        <v>450</v>
      </c>
      <c r="I46" s="35">
        <f>IF(tblChanges[[#This Row],[Date]]="","",IFERROR(INDEX(tblTools[Cost per life],MATCH(tblChanges[[#This Row],[Tool ID]],tblTools[Tool ID],0)),""))</f>
        <v>61.5</v>
      </c>
      <c r="J46" s="35">
        <f>IF(tblChanges[[#This Row],[Date]]="","",IF(OR(tblChanges[[#This Row],[Life cost]]="",tblChanges[[#This Row],[Standard life (parts)]]=""),"",tblChanges[[#This Row],[Parts made]]*tblChanges[[#This Row],[Life cost]]/tblChanges[[#This Row],[Standard life (parts)]]))</f>
        <v>61.5</v>
      </c>
      <c r="K46" s="40">
        <f>IF(tblChanges[[#This Row],[Date]]="","",IF(OR(tblChanges[[#This Row],[Standard life (parts)]]="",tblChanges[[#This Row],[Parts made]]=""),"",tblChanges[[#This Row],[Parts made]]/tblChanges[[#This Row],[Standard life (parts)]]))</f>
        <v>1</v>
      </c>
      <c r="L46" s="36">
        <f>IF(tblChanges[[#This Row],[Date]]="","",IF(OR(tblChanges[[#This Row],[Life cost]]="",N(tblChanges[[#This Row],[Parts made]])=0),"",tblChanges[[#This Row],[Life cost]]/tblChanges[[#This Row],[Parts made]]))</f>
        <v>0.136666666666667</v>
      </c>
      <c r="M46" s="41" t="str">
        <f>IF(tblChanges[[#This Row],[Date]]="","",IFERROR(INDEX(tblReasons[Category],MATCH(tblChanges[[#This Row],[Reason]],tblReasons[Reason],0)),""))</f>
        <v>Planned</v>
      </c>
      <c r="N46" s="42" t="str">
        <f>IF(NOT(ISNUMBER(tblChanges[[#This Row],[Life achieved]])),"",IF(tblChanges[[#This Row],[Life achieved]]&gt;=TargetLife,"On target",IF(tblChanges[[#This Row],[Life achieved]]&gt;=TargetLife*(1-0.05),"Near target","Below target")))</f>
        <v>On target</v>
      </c>
      <c r="O46" s="43">
        <f>IF(tblChanges[[#This Row],[Date]]="","",IF(AND(tblChanges[[#This Row],[Date]]&gt;=FFrom,tblChanges[[#This Row],[Date]]&lt;=FTo,OR(DashMachine="",tblChanges[[#This Row],[Machine]]=DashMachine)),tblChanges[[#This Row],[Date]],""))</f>
        <v>46272</v>
      </c>
      <c r="P4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6" s="28" t="s">
        <v>158</v>
      </c>
    </row>
    <row r="47" spans="2:17" x14ac:dyDescent="0.25">
      <c r="B47" s="38">
        <v>46273</v>
      </c>
      <c r="C47" s="28" t="s">
        <v>87</v>
      </c>
      <c r="D47" s="28" t="s">
        <v>101</v>
      </c>
      <c r="E47" s="28" t="s">
        <v>159</v>
      </c>
      <c r="F47" s="34">
        <v>120</v>
      </c>
      <c r="G47" s="28" t="s">
        <v>125</v>
      </c>
      <c r="H47" s="39">
        <f>IF(tblChanges[[#This Row],[Date]]="","",IFERROR(INDEX(tblTools[Standard life (parts)],MATCH(tblChanges[[#This Row],[Tool ID]],tblTools[Tool ID],0)),""))</f>
        <v>120</v>
      </c>
      <c r="I47" s="35">
        <f>IF(tblChanges[[#This Row],[Date]]="","",IFERROR(INDEX(tblTools[Cost per life],MATCH(tblChanges[[#This Row],[Tool ID]],tblTools[Tool ID],0)),""))</f>
        <v>3.7</v>
      </c>
      <c r="J47" s="35">
        <f>IF(tblChanges[[#This Row],[Date]]="","",IF(OR(tblChanges[[#This Row],[Life cost]]="",tblChanges[[#This Row],[Standard life (parts)]]=""),"",tblChanges[[#This Row],[Parts made]]*tblChanges[[#This Row],[Life cost]]/tblChanges[[#This Row],[Standard life (parts)]]))</f>
        <v>3.7</v>
      </c>
      <c r="K47" s="40">
        <f>IF(tblChanges[[#This Row],[Date]]="","",IF(OR(tblChanges[[#This Row],[Standard life (parts)]]="",tblChanges[[#This Row],[Parts made]]=""),"",tblChanges[[#This Row],[Parts made]]/tblChanges[[#This Row],[Standard life (parts)]]))</f>
        <v>1</v>
      </c>
      <c r="L47" s="36">
        <f>IF(tblChanges[[#This Row],[Date]]="","",IF(OR(tblChanges[[#This Row],[Life cost]]="",N(tblChanges[[#This Row],[Parts made]])=0),"",tblChanges[[#This Row],[Life cost]]/tblChanges[[#This Row],[Parts made]]))</f>
        <v>0.0308333333333333</v>
      </c>
      <c r="M47" s="41" t="str">
        <f>IF(tblChanges[[#This Row],[Date]]="","",IFERROR(INDEX(tblReasons[Category],MATCH(tblChanges[[#This Row],[Reason]],tblReasons[Reason],0)),""))</f>
        <v>Planned</v>
      </c>
      <c r="N47" s="42" t="str">
        <f>IF(NOT(ISNUMBER(tblChanges[[#This Row],[Life achieved]])),"",IF(tblChanges[[#This Row],[Life achieved]]&gt;=TargetLife,"On target",IF(tblChanges[[#This Row],[Life achieved]]&gt;=TargetLife*(1-0.05),"Near target","Below target")))</f>
        <v>On target</v>
      </c>
      <c r="O47" s="43">
        <f>IF(tblChanges[[#This Row],[Date]]="","",IF(AND(tblChanges[[#This Row],[Date]]&gt;=FFrom,tblChanges[[#This Row],[Date]]&lt;=FTo,OR(DashMachine="",tblChanges[[#This Row],[Machine]]=DashMachine)),tblChanges[[#This Row],[Date]],""))</f>
        <v>46273</v>
      </c>
      <c r="P4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7" s="28" t="s">
        <v>158</v>
      </c>
    </row>
    <row r="48" spans="2:17" x14ac:dyDescent="0.25">
      <c r="B48" s="38">
        <v>46273</v>
      </c>
      <c r="C48" s="28" t="s">
        <v>87</v>
      </c>
      <c r="D48" s="28" t="s">
        <v>104</v>
      </c>
      <c r="E48" s="28" t="s">
        <v>159</v>
      </c>
      <c r="F48" s="34">
        <v>160</v>
      </c>
      <c r="G48" s="28" t="s">
        <v>125</v>
      </c>
      <c r="H48" s="39">
        <f>IF(tblChanges[[#This Row],[Date]]="","",IFERROR(INDEX(tblTools[Standard life (parts)],MATCH(tblChanges[[#This Row],[Tool ID]],tblTools[Tool ID],0)),""))</f>
        <v>160</v>
      </c>
      <c r="I48" s="35">
        <f>IF(tblChanges[[#This Row],[Date]]="","",IFERROR(INDEX(tblTools[Cost per life],MATCH(tblChanges[[#This Row],[Tool ID]],tblTools[Tool ID],0)),""))</f>
        <v>4.05</v>
      </c>
      <c r="J48" s="35">
        <f>IF(tblChanges[[#This Row],[Date]]="","",IF(OR(tblChanges[[#This Row],[Life cost]]="",tblChanges[[#This Row],[Standard life (parts)]]=""),"",tblChanges[[#This Row],[Parts made]]*tblChanges[[#This Row],[Life cost]]/tblChanges[[#This Row],[Standard life (parts)]]))</f>
        <v>4.05</v>
      </c>
      <c r="K48" s="40">
        <f>IF(tblChanges[[#This Row],[Date]]="","",IF(OR(tblChanges[[#This Row],[Standard life (parts)]]="",tblChanges[[#This Row],[Parts made]]=""),"",tblChanges[[#This Row],[Parts made]]/tblChanges[[#This Row],[Standard life (parts)]]))</f>
        <v>1</v>
      </c>
      <c r="L48" s="36">
        <f>IF(tblChanges[[#This Row],[Date]]="","",IF(OR(tblChanges[[#This Row],[Life cost]]="",N(tblChanges[[#This Row],[Parts made]])=0),"",tblChanges[[#This Row],[Life cost]]/tblChanges[[#This Row],[Parts made]]))</f>
        <v>0.0253125</v>
      </c>
      <c r="M48" s="41" t="str">
        <f>IF(tblChanges[[#This Row],[Date]]="","",IFERROR(INDEX(tblReasons[Category],MATCH(tblChanges[[#This Row],[Reason]],tblReasons[Reason],0)),""))</f>
        <v>Planned</v>
      </c>
      <c r="N48" s="42" t="str">
        <f>IF(NOT(ISNUMBER(tblChanges[[#This Row],[Life achieved]])),"",IF(tblChanges[[#This Row],[Life achieved]]&gt;=TargetLife,"On target",IF(tblChanges[[#This Row],[Life achieved]]&gt;=TargetLife*(1-0.05),"Near target","Below target")))</f>
        <v>On target</v>
      </c>
      <c r="O48" s="43">
        <f>IF(tblChanges[[#This Row],[Date]]="","",IF(AND(tblChanges[[#This Row],[Date]]&gt;=FFrom,tblChanges[[#This Row],[Date]]&lt;=FTo,OR(DashMachine="",tblChanges[[#This Row],[Machine]]=DashMachine)),tblChanges[[#This Row],[Date]],""))</f>
        <v>46273</v>
      </c>
      <c r="P4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8" s="28" t="s">
        <v>158</v>
      </c>
    </row>
    <row r="49" spans="2:17" x14ac:dyDescent="0.25">
      <c r="B49" s="38">
        <v>46273</v>
      </c>
      <c r="C49" s="28" t="s">
        <v>92</v>
      </c>
      <c r="D49" s="28" t="s">
        <v>112</v>
      </c>
      <c r="E49" s="28" t="s">
        <v>157</v>
      </c>
      <c r="F49" s="34">
        <v>260</v>
      </c>
      <c r="G49" s="28" t="s">
        <v>125</v>
      </c>
      <c r="H49" s="39">
        <f>IF(tblChanges[[#This Row],[Date]]="","",IFERROR(INDEX(tblTools[Standard life (parts)],MATCH(tblChanges[[#This Row],[Tool ID]],tblTools[Tool ID],0)),""))</f>
        <v>260</v>
      </c>
      <c r="I49" s="35">
        <f>IF(tblChanges[[#This Row],[Date]]="","",IFERROR(INDEX(tblTools[Cost per life],MATCH(tblChanges[[#This Row],[Tool ID]],tblTools[Tool ID],0)),""))</f>
        <v>38.6666666666667</v>
      </c>
      <c r="J49" s="35">
        <f>IF(tblChanges[[#This Row],[Date]]="","",IF(OR(tblChanges[[#This Row],[Life cost]]="",tblChanges[[#This Row],[Standard life (parts)]]=""),"",tblChanges[[#This Row],[Parts made]]*tblChanges[[#This Row],[Life cost]]/tblChanges[[#This Row],[Standard life (parts)]]))</f>
        <v>38.6666666666667</v>
      </c>
      <c r="K49" s="40">
        <f>IF(tblChanges[[#This Row],[Date]]="","",IF(OR(tblChanges[[#This Row],[Standard life (parts)]]="",tblChanges[[#This Row],[Parts made]]=""),"",tblChanges[[#This Row],[Parts made]]/tblChanges[[#This Row],[Standard life (parts)]]))</f>
        <v>1</v>
      </c>
      <c r="L49" s="36">
        <f>IF(tblChanges[[#This Row],[Date]]="","",IF(OR(tblChanges[[#This Row],[Life cost]]="",N(tblChanges[[#This Row],[Parts made]])=0),"",tblChanges[[#This Row],[Life cost]]/tblChanges[[#This Row],[Parts made]]))</f>
        <v>0.148717948717949</v>
      </c>
      <c r="M49" s="41" t="str">
        <f>IF(tblChanges[[#This Row],[Date]]="","",IFERROR(INDEX(tblReasons[Category],MATCH(tblChanges[[#This Row],[Reason]],tblReasons[Reason],0)),""))</f>
        <v>Planned</v>
      </c>
      <c r="N49" s="42" t="str">
        <f>IF(NOT(ISNUMBER(tblChanges[[#This Row],[Life achieved]])),"",IF(tblChanges[[#This Row],[Life achieved]]&gt;=TargetLife,"On target",IF(tblChanges[[#This Row],[Life achieved]]&gt;=TargetLife*(1-0.05),"Near target","Below target")))</f>
        <v>On target</v>
      </c>
      <c r="O49" s="43">
        <f>IF(tblChanges[[#This Row],[Date]]="","",IF(AND(tblChanges[[#This Row],[Date]]&gt;=FFrom,tblChanges[[#This Row],[Date]]&lt;=FTo,OR(DashMachine="",tblChanges[[#This Row],[Machine]]=DashMachine)),tblChanges[[#This Row],[Date]],""))</f>
        <v>46273</v>
      </c>
      <c r="P4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49" s="28" t="s">
        <v>158</v>
      </c>
    </row>
    <row r="50" spans="2:17" x14ac:dyDescent="0.25">
      <c r="B50" s="38">
        <v>46274</v>
      </c>
      <c r="C50" s="28" t="s">
        <v>87</v>
      </c>
      <c r="D50" s="28" t="s">
        <v>101</v>
      </c>
      <c r="E50" s="28" t="s">
        <v>159</v>
      </c>
      <c r="F50" s="34">
        <v>87</v>
      </c>
      <c r="G50" s="28" t="s">
        <v>135</v>
      </c>
      <c r="H50" s="39">
        <f>IF(tblChanges[[#This Row],[Date]]="","",IFERROR(INDEX(tblTools[Standard life (parts)],MATCH(tblChanges[[#This Row],[Tool ID]],tblTools[Tool ID],0)),""))</f>
        <v>120</v>
      </c>
      <c r="I50" s="35">
        <f>IF(tblChanges[[#This Row],[Date]]="","",IFERROR(INDEX(tblTools[Cost per life],MATCH(tblChanges[[#This Row],[Tool ID]],tblTools[Tool ID],0)),""))</f>
        <v>3.7</v>
      </c>
      <c r="J50" s="35">
        <f>IF(tblChanges[[#This Row],[Date]]="","",IF(OR(tblChanges[[#This Row],[Life cost]]="",tblChanges[[#This Row],[Standard life (parts)]]=""),"",tblChanges[[#This Row],[Parts made]]*tblChanges[[#This Row],[Life cost]]/tblChanges[[#This Row],[Standard life (parts)]]))</f>
        <v>2.6825</v>
      </c>
      <c r="K50" s="40">
        <f>IF(tblChanges[[#This Row],[Date]]="","",IF(OR(tblChanges[[#This Row],[Standard life (parts)]]="",tblChanges[[#This Row],[Parts made]]=""),"",tblChanges[[#This Row],[Parts made]]/tblChanges[[#This Row],[Standard life (parts)]]))</f>
        <v>0.725</v>
      </c>
      <c r="L50" s="36">
        <f>IF(tblChanges[[#This Row],[Date]]="","",IF(OR(tblChanges[[#This Row],[Life cost]]="",N(tblChanges[[#This Row],[Parts made]])=0),"",tblChanges[[#This Row],[Life cost]]/tblChanges[[#This Row],[Parts made]]))</f>
        <v>0.0425287356321839</v>
      </c>
      <c r="M50" s="41" t="str">
        <f>IF(tblChanges[[#This Row],[Date]]="","",IFERROR(INDEX(tblReasons[Category],MATCH(tblChanges[[#This Row],[Reason]],tblReasons[Reason],0)),""))</f>
        <v>Wear</v>
      </c>
      <c r="N50" s="42" t="str">
        <f>IF(NOT(ISNUMBER(tblChanges[[#This Row],[Life achieved]])),"",IF(tblChanges[[#This Row],[Life achieved]]&gt;=TargetLife,"On target",IF(tblChanges[[#This Row],[Life achieved]]&gt;=TargetLife*(1-0.05),"Near target","Below target")))</f>
        <v>Below target</v>
      </c>
      <c r="O50" s="43">
        <f>IF(tblChanges[[#This Row],[Date]]="","",IF(AND(tblChanges[[#This Row],[Date]]&gt;=FFrom,tblChanges[[#This Row],[Date]]&lt;=FTo,OR(DashMachine="",tblChanges[[#This Row],[Machine]]=DashMachine)),tblChanges[[#This Row],[Date]],""))</f>
        <v>46274</v>
      </c>
      <c r="P5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0" s="28" t="s">
        <v>158</v>
      </c>
    </row>
    <row r="51" spans="2:17" x14ac:dyDescent="0.25">
      <c r="B51" s="38">
        <v>46274</v>
      </c>
      <c r="C51" s="28" t="s">
        <v>87</v>
      </c>
      <c r="D51" s="28" t="s">
        <v>106</v>
      </c>
      <c r="E51" s="28" t="s">
        <v>159</v>
      </c>
      <c r="F51" s="34">
        <v>79</v>
      </c>
      <c r="G51" s="28" t="s">
        <v>137</v>
      </c>
      <c r="H51" s="39">
        <f>IF(tblChanges[[#This Row],[Date]]="","",IFERROR(INDEX(tblTools[Standard life (parts)],MATCH(tblChanges[[#This Row],[Tool ID]],tblTools[Tool ID],0)),""))</f>
        <v>150</v>
      </c>
      <c r="I51" s="35">
        <f>IF(tblChanges[[#This Row],[Date]]="","",IFERROR(INDEX(tblTools[Cost per life],MATCH(tblChanges[[#This Row],[Tool ID]],tblTools[Tool ID],0)),""))</f>
        <v>9.75</v>
      </c>
      <c r="J51" s="35">
        <f>IF(tblChanges[[#This Row],[Date]]="","",IF(OR(tblChanges[[#This Row],[Life cost]]="",tblChanges[[#This Row],[Standard life (parts)]]=""),"",tblChanges[[#This Row],[Parts made]]*tblChanges[[#This Row],[Life cost]]/tblChanges[[#This Row],[Standard life (parts)]]))</f>
        <v>5.135</v>
      </c>
      <c r="K51" s="40">
        <f>IF(tblChanges[[#This Row],[Date]]="","",IF(OR(tblChanges[[#This Row],[Standard life (parts)]]="",tblChanges[[#This Row],[Parts made]]=""),"",tblChanges[[#This Row],[Parts made]]/tblChanges[[#This Row],[Standard life (parts)]]))</f>
        <v>0.526666666666667</v>
      </c>
      <c r="L51" s="36">
        <f>IF(tblChanges[[#This Row],[Date]]="","",IF(OR(tblChanges[[#This Row],[Life cost]]="",N(tblChanges[[#This Row],[Parts made]])=0),"",tblChanges[[#This Row],[Life cost]]/tblChanges[[#This Row],[Parts made]]))</f>
        <v>0.123417721518987</v>
      </c>
      <c r="M51" s="41" t="str">
        <f>IF(tblChanges[[#This Row],[Date]]="","",IFERROR(INDEX(tblReasons[Category],MATCH(tblChanges[[#This Row],[Reason]],tblReasons[Reason],0)),""))</f>
        <v>Premature failure</v>
      </c>
      <c r="N51" s="42" t="str">
        <f>IF(NOT(ISNUMBER(tblChanges[[#This Row],[Life achieved]])),"",IF(tblChanges[[#This Row],[Life achieved]]&gt;=TargetLife,"On target",IF(tblChanges[[#This Row],[Life achieved]]&gt;=TargetLife*(1-0.05),"Near target","Below target")))</f>
        <v>Below target</v>
      </c>
      <c r="O51" s="43">
        <f>IF(tblChanges[[#This Row],[Date]]="","",IF(AND(tblChanges[[#This Row],[Date]]&gt;=FFrom,tblChanges[[#This Row],[Date]]&lt;=FTo,OR(DashMachine="",tblChanges[[#This Row],[Machine]]=DashMachine)),tblChanges[[#This Row],[Date]],""))</f>
        <v>46274</v>
      </c>
      <c r="P5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1" s="28" t="s">
        <v>158</v>
      </c>
    </row>
    <row r="52" spans="2:17" x14ac:dyDescent="0.25">
      <c r="B52" s="38">
        <v>46274</v>
      </c>
      <c r="C52" s="28" t="s">
        <v>90</v>
      </c>
      <c r="D52" s="28" t="s">
        <v>101</v>
      </c>
      <c r="E52" s="28" t="s">
        <v>163</v>
      </c>
      <c r="F52" s="34">
        <v>61</v>
      </c>
      <c r="G52" s="28" t="s">
        <v>137</v>
      </c>
      <c r="H52" s="39">
        <f>IF(tblChanges[[#This Row],[Date]]="","",IFERROR(INDEX(tblTools[Standard life (parts)],MATCH(tblChanges[[#This Row],[Tool ID]],tblTools[Tool ID],0)),""))</f>
        <v>120</v>
      </c>
      <c r="I52" s="35">
        <f>IF(tblChanges[[#This Row],[Date]]="","",IFERROR(INDEX(tblTools[Cost per life],MATCH(tblChanges[[#This Row],[Tool ID]],tblTools[Tool ID],0)),""))</f>
        <v>3.7</v>
      </c>
      <c r="J52" s="35">
        <f>IF(tblChanges[[#This Row],[Date]]="","",IF(OR(tblChanges[[#This Row],[Life cost]]="",tblChanges[[#This Row],[Standard life (parts)]]=""),"",tblChanges[[#This Row],[Parts made]]*tblChanges[[#This Row],[Life cost]]/tblChanges[[#This Row],[Standard life (parts)]]))</f>
        <v>1.88083333333333</v>
      </c>
      <c r="K52" s="40">
        <f>IF(tblChanges[[#This Row],[Date]]="","",IF(OR(tblChanges[[#This Row],[Standard life (parts)]]="",tblChanges[[#This Row],[Parts made]]=""),"",tblChanges[[#This Row],[Parts made]]/tblChanges[[#This Row],[Standard life (parts)]]))</f>
        <v>0.508333333333333</v>
      </c>
      <c r="L52" s="36">
        <f>IF(tblChanges[[#This Row],[Date]]="","",IF(OR(tblChanges[[#This Row],[Life cost]]="",N(tblChanges[[#This Row],[Parts made]])=0),"",tblChanges[[#This Row],[Life cost]]/tblChanges[[#This Row],[Parts made]]))</f>
        <v>0.060655737704918</v>
      </c>
      <c r="M52" s="41" t="str">
        <f>IF(tblChanges[[#This Row],[Date]]="","",IFERROR(INDEX(tblReasons[Category],MATCH(tblChanges[[#This Row],[Reason]],tblReasons[Reason],0)),""))</f>
        <v>Premature failure</v>
      </c>
      <c r="N52" s="42" t="str">
        <f>IF(NOT(ISNUMBER(tblChanges[[#This Row],[Life achieved]])),"",IF(tblChanges[[#This Row],[Life achieved]]&gt;=TargetLife,"On target",IF(tblChanges[[#This Row],[Life achieved]]&gt;=TargetLife*(1-0.05),"Near target","Below target")))</f>
        <v>Below target</v>
      </c>
      <c r="O52" s="43">
        <f>IF(tblChanges[[#This Row],[Date]]="","",IF(AND(tblChanges[[#This Row],[Date]]&gt;=FFrom,tblChanges[[#This Row],[Date]]&lt;=FTo,OR(DashMachine="",tblChanges[[#This Row],[Machine]]=DashMachine)),tblChanges[[#This Row],[Date]],""))</f>
        <v>46274</v>
      </c>
      <c r="P5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2" s="28" t="s">
        <v>158</v>
      </c>
    </row>
    <row r="53" spans="2:17" x14ac:dyDescent="0.25">
      <c r="B53" s="38">
        <v>46274</v>
      </c>
      <c r="C53" s="28" t="s">
        <v>92</v>
      </c>
      <c r="D53" s="28" t="s">
        <v>109</v>
      </c>
      <c r="E53" s="28" t="s">
        <v>157</v>
      </c>
      <c r="F53" s="34">
        <v>90</v>
      </c>
      <c r="G53" s="28" t="s">
        <v>125</v>
      </c>
      <c r="H53" s="39">
        <f>IF(tblChanges[[#This Row],[Date]]="","",IFERROR(INDEX(tblTools[Standard life (parts)],MATCH(tblChanges[[#This Row],[Tool ID]],tblTools[Tool ID],0)),""))</f>
        <v>90</v>
      </c>
      <c r="I53" s="35">
        <f>IF(tblChanges[[#This Row],[Date]]="","",IFERROR(INDEX(tblTools[Cost per life],MATCH(tblChanges[[#This Row],[Tool ID]],tblTools[Tool ID],0)),""))</f>
        <v>26</v>
      </c>
      <c r="J53" s="35">
        <f>IF(tblChanges[[#This Row],[Date]]="","",IF(OR(tblChanges[[#This Row],[Life cost]]="",tblChanges[[#This Row],[Standard life (parts)]]=""),"",tblChanges[[#This Row],[Parts made]]*tblChanges[[#This Row],[Life cost]]/tblChanges[[#This Row],[Standard life (parts)]]))</f>
        <v>26</v>
      </c>
      <c r="K53" s="40">
        <f>IF(tblChanges[[#This Row],[Date]]="","",IF(OR(tblChanges[[#This Row],[Standard life (parts)]]="",tblChanges[[#This Row],[Parts made]]=""),"",tblChanges[[#This Row],[Parts made]]/tblChanges[[#This Row],[Standard life (parts)]]))</f>
        <v>1</v>
      </c>
      <c r="L53" s="36">
        <f>IF(tblChanges[[#This Row],[Date]]="","",IF(OR(tblChanges[[#This Row],[Life cost]]="",N(tblChanges[[#This Row],[Parts made]])=0),"",tblChanges[[#This Row],[Life cost]]/tblChanges[[#This Row],[Parts made]]))</f>
        <v>0.288888888888889</v>
      </c>
      <c r="M53" s="41" t="str">
        <f>IF(tblChanges[[#This Row],[Date]]="","",IFERROR(INDEX(tblReasons[Category],MATCH(tblChanges[[#This Row],[Reason]],tblReasons[Reason],0)),""))</f>
        <v>Planned</v>
      </c>
      <c r="N53" s="42" t="str">
        <f>IF(NOT(ISNUMBER(tblChanges[[#This Row],[Life achieved]])),"",IF(tblChanges[[#This Row],[Life achieved]]&gt;=TargetLife,"On target",IF(tblChanges[[#This Row],[Life achieved]]&gt;=TargetLife*(1-0.05),"Near target","Below target")))</f>
        <v>On target</v>
      </c>
      <c r="O53" s="43">
        <f>IF(tblChanges[[#This Row],[Date]]="","",IF(AND(tblChanges[[#This Row],[Date]]&gt;=FFrom,tblChanges[[#This Row],[Date]]&lt;=FTo,OR(DashMachine="",tblChanges[[#This Row],[Machine]]=DashMachine)),tblChanges[[#This Row],[Date]],""))</f>
        <v>46274</v>
      </c>
      <c r="P5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3" s="28" t="s">
        <v>158</v>
      </c>
    </row>
    <row r="54" spans="2:17" x14ac:dyDescent="0.25">
      <c r="B54" s="38">
        <v>46274</v>
      </c>
      <c r="C54" s="28" t="s">
        <v>97</v>
      </c>
      <c r="D54" s="28" t="s">
        <v>109</v>
      </c>
      <c r="E54" s="28" t="s">
        <v>162</v>
      </c>
      <c r="F54" s="34">
        <v>90</v>
      </c>
      <c r="G54" s="28" t="s">
        <v>125</v>
      </c>
      <c r="H54" s="39">
        <f>IF(tblChanges[[#This Row],[Date]]="","",IFERROR(INDEX(tblTools[Standard life (parts)],MATCH(tblChanges[[#This Row],[Tool ID]],tblTools[Tool ID],0)),""))</f>
        <v>90</v>
      </c>
      <c r="I54" s="35">
        <f>IF(tblChanges[[#This Row],[Date]]="","",IFERROR(INDEX(tblTools[Cost per life],MATCH(tblChanges[[#This Row],[Tool ID]],tblTools[Tool ID],0)),""))</f>
        <v>26</v>
      </c>
      <c r="J54" s="35">
        <f>IF(tblChanges[[#This Row],[Date]]="","",IF(OR(tblChanges[[#This Row],[Life cost]]="",tblChanges[[#This Row],[Standard life (parts)]]=""),"",tblChanges[[#This Row],[Parts made]]*tblChanges[[#This Row],[Life cost]]/tblChanges[[#This Row],[Standard life (parts)]]))</f>
        <v>26</v>
      </c>
      <c r="K54" s="40">
        <f>IF(tblChanges[[#This Row],[Date]]="","",IF(OR(tblChanges[[#This Row],[Standard life (parts)]]="",tblChanges[[#This Row],[Parts made]]=""),"",tblChanges[[#This Row],[Parts made]]/tblChanges[[#This Row],[Standard life (parts)]]))</f>
        <v>1</v>
      </c>
      <c r="L54" s="36">
        <f>IF(tblChanges[[#This Row],[Date]]="","",IF(OR(tblChanges[[#This Row],[Life cost]]="",N(tblChanges[[#This Row],[Parts made]])=0),"",tblChanges[[#This Row],[Life cost]]/tblChanges[[#This Row],[Parts made]]))</f>
        <v>0.288888888888889</v>
      </c>
      <c r="M54" s="41" t="str">
        <f>IF(tblChanges[[#This Row],[Date]]="","",IFERROR(INDEX(tblReasons[Category],MATCH(tblChanges[[#This Row],[Reason]],tblReasons[Reason],0)),""))</f>
        <v>Planned</v>
      </c>
      <c r="N54" s="42" t="str">
        <f>IF(NOT(ISNUMBER(tblChanges[[#This Row],[Life achieved]])),"",IF(tblChanges[[#This Row],[Life achieved]]&gt;=TargetLife,"On target",IF(tblChanges[[#This Row],[Life achieved]]&gt;=TargetLife*(1-0.05),"Near target","Below target")))</f>
        <v>On target</v>
      </c>
      <c r="O54" s="43">
        <f>IF(tblChanges[[#This Row],[Date]]="","",IF(AND(tblChanges[[#This Row],[Date]]&gt;=FFrom,tblChanges[[#This Row],[Date]]&lt;=FTo,OR(DashMachine="",tblChanges[[#This Row],[Machine]]=DashMachine)),tblChanges[[#This Row],[Date]],""))</f>
        <v>46274</v>
      </c>
      <c r="P5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4" s="28" t="s">
        <v>158</v>
      </c>
    </row>
    <row r="55" spans="2:17" x14ac:dyDescent="0.25">
      <c r="B55" s="38">
        <v>46275</v>
      </c>
      <c r="C55" s="28" t="s">
        <v>87</v>
      </c>
      <c r="D55" s="28" t="s">
        <v>106</v>
      </c>
      <c r="E55" s="28" t="s">
        <v>159</v>
      </c>
      <c r="F55" s="34">
        <v>106</v>
      </c>
      <c r="G55" s="28" t="s">
        <v>133</v>
      </c>
      <c r="H55" s="39">
        <f>IF(tblChanges[[#This Row],[Date]]="","",IFERROR(INDEX(tblTools[Standard life (parts)],MATCH(tblChanges[[#This Row],[Tool ID]],tblTools[Tool ID],0)),""))</f>
        <v>150</v>
      </c>
      <c r="I55" s="35">
        <f>IF(tblChanges[[#This Row],[Date]]="","",IFERROR(INDEX(tblTools[Cost per life],MATCH(tblChanges[[#This Row],[Tool ID]],tblTools[Tool ID],0)),""))</f>
        <v>9.75</v>
      </c>
      <c r="J55" s="35">
        <f>IF(tblChanges[[#This Row],[Date]]="","",IF(OR(tblChanges[[#This Row],[Life cost]]="",tblChanges[[#This Row],[Standard life (parts)]]=""),"",tblChanges[[#This Row],[Parts made]]*tblChanges[[#This Row],[Life cost]]/tblChanges[[#This Row],[Standard life (parts)]]))</f>
        <v>6.89</v>
      </c>
      <c r="K55" s="40">
        <f>IF(tblChanges[[#This Row],[Date]]="","",IF(OR(tblChanges[[#This Row],[Standard life (parts)]]="",tblChanges[[#This Row],[Parts made]]=""),"",tblChanges[[#This Row],[Parts made]]/tblChanges[[#This Row],[Standard life (parts)]]))</f>
        <v>0.706666666666667</v>
      </c>
      <c r="L55" s="36">
        <f>IF(tblChanges[[#This Row],[Date]]="","",IF(OR(tblChanges[[#This Row],[Life cost]]="",N(tblChanges[[#This Row],[Parts made]])=0),"",tblChanges[[#This Row],[Life cost]]/tblChanges[[#This Row],[Parts made]]))</f>
        <v>0.0919811320754717</v>
      </c>
      <c r="M55" s="41" t="str">
        <f>IF(tblChanges[[#This Row],[Date]]="","",IFERROR(INDEX(tblReasons[Category],MATCH(tblChanges[[#This Row],[Reason]],tblReasons[Reason],0)),""))</f>
        <v>Wear</v>
      </c>
      <c r="N55" s="42" t="str">
        <f>IF(NOT(ISNUMBER(tblChanges[[#This Row],[Life achieved]])),"",IF(tblChanges[[#This Row],[Life achieved]]&gt;=TargetLife,"On target",IF(tblChanges[[#This Row],[Life achieved]]&gt;=TargetLife*(1-0.05),"Near target","Below target")))</f>
        <v>Below target</v>
      </c>
      <c r="O55" s="43">
        <f>IF(tblChanges[[#This Row],[Date]]="","",IF(AND(tblChanges[[#This Row],[Date]]&gt;=FFrom,tblChanges[[#This Row],[Date]]&lt;=FTo,OR(DashMachine="",tblChanges[[#This Row],[Machine]]=DashMachine)),tblChanges[[#This Row],[Date]],""))</f>
        <v>46275</v>
      </c>
      <c r="P5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5" s="28" t="s">
        <v>158</v>
      </c>
    </row>
    <row r="56" spans="2:17" x14ac:dyDescent="0.25">
      <c r="B56" s="38">
        <v>46275</v>
      </c>
      <c r="C56" s="28" t="s">
        <v>90</v>
      </c>
      <c r="D56" s="28" t="s">
        <v>106</v>
      </c>
      <c r="E56" s="28" t="s">
        <v>163</v>
      </c>
      <c r="F56" s="34">
        <v>150</v>
      </c>
      <c r="G56" s="28" t="s">
        <v>125</v>
      </c>
      <c r="H56" s="39">
        <f>IF(tblChanges[[#This Row],[Date]]="","",IFERROR(INDEX(tblTools[Standard life (parts)],MATCH(tblChanges[[#This Row],[Tool ID]],tblTools[Tool ID],0)),""))</f>
        <v>150</v>
      </c>
      <c r="I56" s="35">
        <f>IF(tblChanges[[#This Row],[Date]]="","",IFERROR(INDEX(tblTools[Cost per life],MATCH(tblChanges[[#This Row],[Tool ID]],tblTools[Tool ID],0)),""))</f>
        <v>9.75</v>
      </c>
      <c r="J56" s="35">
        <f>IF(tblChanges[[#This Row],[Date]]="","",IF(OR(tblChanges[[#This Row],[Life cost]]="",tblChanges[[#This Row],[Standard life (parts)]]=""),"",tblChanges[[#This Row],[Parts made]]*tblChanges[[#This Row],[Life cost]]/tblChanges[[#This Row],[Standard life (parts)]]))</f>
        <v>9.75</v>
      </c>
      <c r="K56" s="40">
        <f>IF(tblChanges[[#This Row],[Date]]="","",IF(OR(tblChanges[[#This Row],[Standard life (parts)]]="",tblChanges[[#This Row],[Parts made]]=""),"",tblChanges[[#This Row],[Parts made]]/tblChanges[[#This Row],[Standard life (parts)]]))</f>
        <v>1</v>
      </c>
      <c r="L56" s="36">
        <f>IF(tblChanges[[#This Row],[Date]]="","",IF(OR(tblChanges[[#This Row],[Life cost]]="",N(tblChanges[[#This Row],[Parts made]])=0),"",tblChanges[[#This Row],[Life cost]]/tblChanges[[#This Row],[Parts made]]))</f>
        <v>0.065</v>
      </c>
      <c r="M56" s="41" t="str">
        <f>IF(tblChanges[[#This Row],[Date]]="","",IFERROR(INDEX(tblReasons[Category],MATCH(tblChanges[[#This Row],[Reason]],tblReasons[Reason],0)),""))</f>
        <v>Planned</v>
      </c>
      <c r="N56" s="42" t="str">
        <f>IF(NOT(ISNUMBER(tblChanges[[#This Row],[Life achieved]])),"",IF(tblChanges[[#This Row],[Life achieved]]&gt;=TargetLife,"On target",IF(tblChanges[[#This Row],[Life achieved]]&gt;=TargetLife*(1-0.05),"Near target","Below target")))</f>
        <v>On target</v>
      </c>
      <c r="O56" s="43">
        <f>IF(tblChanges[[#This Row],[Date]]="","",IF(AND(tblChanges[[#This Row],[Date]]&gt;=FFrom,tblChanges[[#This Row],[Date]]&lt;=FTo,OR(DashMachine="",tblChanges[[#This Row],[Machine]]=DashMachine)),tblChanges[[#This Row],[Date]],""))</f>
        <v>46275</v>
      </c>
      <c r="P5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6" s="28" t="s">
        <v>158</v>
      </c>
    </row>
    <row r="57" spans="2:17" x14ac:dyDescent="0.25">
      <c r="B57" s="38">
        <v>46276</v>
      </c>
      <c r="C57" s="28" t="s">
        <v>87</v>
      </c>
      <c r="D57" s="28" t="s">
        <v>101</v>
      </c>
      <c r="E57" s="28" t="s">
        <v>159</v>
      </c>
      <c r="F57" s="34">
        <v>120</v>
      </c>
      <c r="G57" s="28" t="s">
        <v>125</v>
      </c>
      <c r="H57" s="39">
        <f>IF(tblChanges[[#This Row],[Date]]="","",IFERROR(INDEX(tblTools[Standard life (parts)],MATCH(tblChanges[[#This Row],[Tool ID]],tblTools[Tool ID],0)),""))</f>
        <v>120</v>
      </c>
      <c r="I57" s="35">
        <f>IF(tblChanges[[#This Row],[Date]]="","",IFERROR(INDEX(tblTools[Cost per life],MATCH(tblChanges[[#This Row],[Tool ID]],tblTools[Tool ID],0)),""))</f>
        <v>3.7</v>
      </c>
      <c r="J57" s="35">
        <f>IF(tblChanges[[#This Row],[Date]]="","",IF(OR(tblChanges[[#This Row],[Life cost]]="",tblChanges[[#This Row],[Standard life (parts)]]=""),"",tblChanges[[#This Row],[Parts made]]*tblChanges[[#This Row],[Life cost]]/tblChanges[[#This Row],[Standard life (parts)]]))</f>
        <v>3.7</v>
      </c>
      <c r="K57" s="40">
        <f>IF(tblChanges[[#This Row],[Date]]="","",IF(OR(tblChanges[[#This Row],[Standard life (parts)]]="",tblChanges[[#This Row],[Parts made]]=""),"",tblChanges[[#This Row],[Parts made]]/tblChanges[[#This Row],[Standard life (parts)]]))</f>
        <v>1</v>
      </c>
      <c r="L57" s="36">
        <f>IF(tblChanges[[#This Row],[Date]]="","",IF(OR(tblChanges[[#This Row],[Life cost]]="",N(tblChanges[[#This Row],[Parts made]])=0),"",tblChanges[[#This Row],[Life cost]]/tblChanges[[#This Row],[Parts made]]))</f>
        <v>0.0308333333333333</v>
      </c>
      <c r="M57" s="41" t="str">
        <f>IF(tblChanges[[#This Row],[Date]]="","",IFERROR(INDEX(tblReasons[Category],MATCH(tblChanges[[#This Row],[Reason]],tblReasons[Reason],0)),""))</f>
        <v>Planned</v>
      </c>
      <c r="N57" s="42" t="str">
        <f>IF(NOT(ISNUMBER(tblChanges[[#This Row],[Life achieved]])),"",IF(tblChanges[[#This Row],[Life achieved]]&gt;=TargetLife,"On target",IF(tblChanges[[#This Row],[Life achieved]]&gt;=TargetLife*(1-0.05),"Near target","Below target")))</f>
        <v>On target</v>
      </c>
      <c r="O57" s="43">
        <f>IF(tblChanges[[#This Row],[Date]]="","",IF(AND(tblChanges[[#This Row],[Date]]&gt;=FFrom,tblChanges[[#This Row],[Date]]&lt;=FTo,OR(DashMachine="",tblChanges[[#This Row],[Machine]]=DashMachine)),tblChanges[[#This Row],[Date]],""))</f>
        <v>46276</v>
      </c>
      <c r="P5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7" s="28" t="s">
        <v>158</v>
      </c>
    </row>
    <row r="58" spans="2:17" x14ac:dyDescent="0.25">
      <c r="B58" s="38">
        <v>46276</v>
      </c>
      <c r="C58" s="28" t="s">
        <v>87</v>
      </c>
      <c r="D58" s="28" t="s">
        <v>104</v>
      </c>
      <c r="E58" s="28" t="s">
        <v>159</v>
      </c>
      <c r="F58" s="34">
        <v>160</v>
      </c>
      <c r="G58" s="28" t="s">
        <v>125</v>
      </c>
      <c r="H58" s="39">
        <f>IF(tblChanges[[#This Row],[Date]]="","",IFERROR(INDEX(tblTools[Standard life (parts)],MATCH(tblChanges[[#This Row],[Tool ID]],tblTools[Tool ID],0)),""))</f>
        <v>160</v>
      </c>
      <c r="I58" s="35">
        <f>IF(tblChanges[[#This Row],[Date]]="","",IFERROR(INDEX(tblTools[Cost per life],MATCH(tblChanges[[#This Row],[Tool ID]],tblTools[Tool ID],0)),""))</f>
        <v>4.05</v>
      </c>
      <c r="J58" s="35">
        <f>IF(tblChanges[[#This Row],[Date]]="","",IF(OR(tblChanges[[#This Row],[Life cost]]="",tblChanges[[#This Row],[Standard life (parts)]]=""),"",tblChanges[[#This Row],[Parts made]]*tblChanges[[#This Row],[Life cost]]/tblChanges[[#This Row],[Standard life (parts)]]))</f>
        <v>4.05</v>
      </c>
      <c r="K58" s="40">
        <f>IF(tblChanges[[#This Row],[Date]]="","",IF(OR(tblChanges[[#This Row],[Standard life (parts)]]="",tblChanges[[#This Row],[Parts made]]=""),"",tblChanges[[#This Row],[Parts made]]/tblChanges[[#This Row],[Standard life (parts)]]))</f>
        <v>1</v>
      </c>
      <c r="L58" s="36">
        <f>IF(tblChanges[[#This Row],[Date]]="","",IF(OR(tblChanges[[#This Row],[Life cost]]="",N(tblChanges[[#This Row],[Parts made]])=0),"",tblChanges[[#This Row],[Life cost]]/tblChanges[[#This Row],[Parts made]]))</f>
        <v>0.0253125</v>
      </c>
      <c r="M58" s="41" t="str">
        <f>IF(tblChanges[[#This Row],[Date]]="","",IFERROR(INDEX(tblReasons[Category],MATCH(tblChanges[[#This Row],[Reason]],tblReasons[Reason],0)),""))</f>
        <v>Planned</v>
      </c>
      <c r="N58" s="42" t="str">
        <f>IF(NOT(ISNUMBER(tblChanges[[#This Row],[Life achieved]])),"",IF(tblChanges[[#This Row],[Life achieved]]&gt;=TargetLife,"On target",IF(tblChanges[[#This Row],[Life achieved]]&gt;=TargetLife*(1-0.05),"Near target","Below target")))</f>
        <v>On target</v>
      </c>
      <c r="O58" s="43">
        <f>IF(tblChanges[[#This Row],[Date]]="","",IF(AND(tblChanges[[#This Row],[Date]]&gt;=FFrom,tblChanges[[#This Row],[Date]]&lt;=FTo,OR(DashMachine="",tblChanges[[#This Row],[Machine]]=DashMachine)),tblChanges[[#This Row],[Date]],""))</f>
        <v>46276</v>
      </c>
      <c r="P5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8" s="28" t="s">
        <v>158</v>
      </c>
    </row>
    <row r="59" spans="2:17" x14ac:dyDescent="0.25">
      <c r="B59" s="38">
        <v>46276</v>
      </c>
      <c r="C59" s="28" t="s">
        <v>90</v>
      </c>
      <c r="D59" s="28" t="s">
        <v>101</v>
      </c>
      <c r="E59" s="28" t="s">
        <v>163</v>
      </c>
      <c r="F59" s="34">
        <v>101</v>
      </c>
      <c r="G59" s="28" t="s">
        <v>128</v>
      </c>
      <c r="H59" s="39">
        <f>IF(tblChanges[[#This Row],[Date]]="","",IFERROR(INDEX(tblTools[Standard life (parts)],MATCH(tblChanges[[#This Row],[Tool ID]],tblTools[Tool ID],0)),""))</f>
        <v>120</v>
      </c>
      <c r="I59" s="35">
        <f>IF(tblChanges[[#This Row],[Date]]="","",IFERROR(INDEX(tblTools[Cost per life],MATCH(tblChanges[[#This Row],[Tool ID]],tblTools[Tool ID],0)),""))</f>
        <v>3.7</v>
      </c>
      <c r="J59" s="35">
        <f>IF(tblChanges[[#This Row],[Date]]="","",IF(OR(tblChanges[[#This Row],[Life cost]]="",tblChanges[[#This Row],[Standard life (parts)]]=""),"",tblChanges[[#This Row],[Parts made]]*tblChanges[[#This Row],[Life cost]]/tblChanges[[#This Row],[Standard life (parts)]]))</f>
        <v>3.11416666666667</v>
      </c>
      <c r="K59" s="40">
        <f>IF(tblChanges[[#This Row],[Date]]="","",IF(OR(tblChanges[[#This Row],[Standard life (parts)]]="",tblChanges[[#This Row],[Parts made]]=""),"",tblChanges[[#This Row],[Parts made]]/tblChanges[[#This Row],[Standard life (parts)]]))</f>
        <v>0.841666666666667</v>
      </c>
      <c r="L59" s="36">
        <f>IF(tblChanges[[#This Row],[Date]]="","",IF(OR(tblChanges[[#This Row],[Life cost]]="",N(tblChanges[[#This Row],[Parts made]])=0),"",tblChanges[[#This Row],[Life cost]]/tblChanges[[#This Row],[Parts made]]))</f>
        <v>0.0366336633663366</v>
      </c>
      <c r="M59" s="41" t="str">
        <f>IF(tblChanges[[#This Row],[Date]]="","",IFERROR(INDEX(tblReasons[Category],MATCH(tblChanges[[#This Row],[Reason]],tblReasons[Reason],0)),""))</f>
        <v>Wear</v>
      </c>
      <c r="N59" s="42" t="str">
        <f>IF(NOT(ISNUMBER(tblChanges[[#This Row],[Life achieved]])),"",IF(tblChanges[[#This Row],[Life achieved]]&gt;=TargetLife,"On target",IF(tblChanges[[#This Row],[Life achieved]]&gt;=TargetLife*(1-0.05),"Near target","Below target")))</f>
        <v>Below target</v>
      </c>
      <c r="O59" s="43">
        <f>IF(tblChanges[[#This Row],[Date]]="","",IF(AND(tblChanges[[#This Row],[Date]]&gt;=FFrom,tblChanges[[#This Row],[Date]]&lt;=FTo,OR(DashMachine="",tblChanges[[#This Row],[Machine]]=DashMachine)),tblChanges[[#This Row],[Date]],""))</f>
        <v>46276</v>
      </c>
      <c r="P5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59" s="28" t="s">
        <v>158</v>
      </c>
    </row>
    <row r="60" spans="2:17" x14ac:dyDescent="0.25">
      <c r="B60" s="38">
        <v>46276</v>
      </c>
      <c r="C60" s="28" t="s">
        <v>92</v>
      </c>
      <c r="D60" s="28" t="s">
        <v>109</v>
      </c>
      <c r="E60" s="28" t="s">
        <v>157</v>
      </c>
      <c r="F60" s="34">
        <v>90</v>
      </c>
      <c r="G60" s="28" t="s">
        <v>125</v>
      </c>
      <c r="H60" s="39">
        <f>IF(tblChanges[[#This Row],[Date]]="","",IFERROR(INDEX(tblTools[Standard life (parts)],MATCH(tblChanges[[#This Row],[Tool ID]],tblTools[Tool ID],0)),""))</f>
        <v>90</v>
      </c>
      <c r="I60" s="35">
        <f>IF(tblChanges[[#This Row],[Date]]="","",IFERROR(INDEX(tblTools[Cost per life],MATCH(tblChanges[[#This Row],[Tool ID]],tblTools[Tool ID],0)),""))</f>
        <v>26</v>
      </c>
      <c r="J60" s="35">
        <f>IF(tblChanges[[#This Row],[Date]]="","",IF(OR(tblChanges[[#This Row],[Life cost]]="",tblChanges[[#This Row],[Standard life (parts)]]=""),"",tblChanges[[#This Row],[Parts made]]*tblChanges[[#This Row],[Life cost]]/tblChanges[[#This Row],[Standard life (parts)]]))</f>
        <v>26</v>
      </c>
      <c r="K60" s="40">
        <f>IF(tblChanges[[#This Row],[Date]]="","",IF(OR(tblChanges[[#This Row],[Standard life (parts)]]="",tblChanges[[#This Row],[Parts made]]=""),"",tblChanges[[#This Row],[Parts made]]/tblChanges[[#This Row],[Standard life (parts)]]))</f>
        <v>1</v>
      </c>
      <c r="L60" s="36">
        <f>IF(tblChanges[[#This Row],[Date]]="","",IF(OR(tblChanges[[#This Row],[Life cost]]="",N(tblChanges[[#This Row],[Parts made]])=0),"",tblChanges[[#This Row],[Life cost]]/tblChanges[[#This Row],[Parts made]]))</f>
        <v>0.288888888888889</v>
      </c>
      <c r="M60" s="41" t="str">
        <f>IF(tblChanges[[#This Row],[Date]]="","",IFERROR(INDEX(tblReasons[Category],MATCH(tblChanges[[#This Row],[Reason]],tblReasons[Reason],0)),""))</f>
        <v>Planned</v>
      </c>
      <c r="N60" s="42" t="str">
        <f>IF(NOT(ISNUMBER(tblChanges[[#This Row],[Life achieved]])),"",IF(tblChanges[[#This Row],[Life achieved]]&gt;=TargetLife,"On target",IF(tblChanges[[#This Row],[Life achieved]]&gt;=TargetLife*(1-0.05),"Near target","Below target")))</f>
        <v>On target</v>
      </c>
      <c r="O60" s="43">
        <f>IF(tblChanges[[#This Row],[Date]]="","",IF(AND(tblChanges[[#This Row],[Date]]&gt;=FFrom,tblChanges[[#This Row],[Date]]&lt;=FTo,OR(DashMachine="",tblChanges[[#This Row],[Machine]]=DashMachine)),tblChanges[[#This Row],[Date]],""))</f>
        <v>46276</v>
      </c>
      <c r="P6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0" s="28" t="s">
        <v>158</v>
      </c>
    </row>
    <row r="61" spans="2:17" x14ac:dyDescent="0.25">
      <c r="B61" s="38">
        <v>46279</v>
      </c>
      <c r="C61" s="28" t="s">
        <v>90</v>
      </c>
      <c r="D61" s="28" t="s">
        <v>101</v>
      </c>
      <c r="E61" s="28" t="s">
        <v>163</v>
      </c>
      <c r="F61" s="34">
        <v>71</v>
      </c>
      <c r="G61" s="28" t="s">
        <v>137</v>
      </c>
      <c r="H61" s="39">
        <f>IF(tblChanges[[#This Row],[Date]]="","",IFERROR(INDEX(tblTools[Standard life (parts)],MATCH(tblChanges[[#This Row],[Tool ID]],tblTools[Tool ID],0)),""))</f>
        <v>120</v>
      </c>
      <c r="I61" s="35">
        <f>IF(tblChanges[[#This Row],[Date]]="","",IFERROR(INDEX(tblTools[Cost per life],MATCH(tblChanges[[#This Row],[Tool ID]],tblTools[Tool ID],0)),""))</f>
        <v>3.7</v>
      </c>
      <c r="J61" s="35">
        <f>IF(tblChanges[[#This Row],[Date]]="","",IF(OR(tblChanges[[#This Row],[Life cost]]="",tblChanges[[#This Row],[Standard life (parts)]]=""),"",tblChanges[[#This Row],[Parts made]]*tblChanges[[#This Row],[Life cost]]/tblChanges[[#This Row],[Standard life (parts)]]))</f>
        <v>2.18916666666667</v>
      </c>
      <c r="K61" s="40">
        <f>IF(tblChanges[[#This Row],[Date]]="","",IF(OR(tblChanges[[#This Row],[Standard life (parts)]]="",tblChanges[[#This Row],[Parts made]]=""),"",tblChanges[[#This Row],[Parts made]]/tblChanges[[#This Row],[Standard life (parts)]]))</f>
        <v>0.591666666666667</v>
      </c>
      <c r="L61" s="36">
        <f>IF(tblChanges[[#This Row],[Date]]="","",IF(OR(tblChanges[[#This Row],[Life cost]]="",N(tblChanges[[#This Row],[Parts made]])=0),"",tblChanges[[#This Row],[Life cost]]/tblChanges[[#This Row],[Parts made]]))</f>
        <v>0.052112676056338</v>
      </c>
      <c r="M61" s="41" t="str">
        <f>IF(tblChanges[[#This Row],[Date]]="","",IFERROR(INDEX(tblReasons[Category],MATCH(tblChanges[[#This Row],[Reason]],tblReasons[Reason],0)),""))</f>
        <v>Premature failure</v>
      </c>
      <c r="N61" s="42" t="str">
        <f>IF(NOT(ISNUMBER(tblChanges[[#This Row],[Life achieved]])),"",IF(tblChanges[[#This Row],[Life achieved]]&gt;=TargetLife,"On target",IF(tblChanges[[#This Row],[Life achieved]]&gt;=TargetLife*(1-0.05),"Near target","Below target")))</f>
        <v>Below target</v>
      </c>
      <c r="O61" s="43">
        <f>IF(tblChanges[[#This Row],[Date]]="","",IF(AND(tblChanges[[#This Row],[Date]]&gt;=FFrom,tblChanges[[#This Row],[Date]]&lt;=FTo,OR(DashMachine="",tblChanges[[#This Row],[Machine]]=DashMachine)),tblChanges[[#This Row],[Date]],""))</f>
        <v>46279</v>
      </c>
      <c r="P6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1" s="28" t="s">
        <v>158</v>
      </c>
    </row>
    <row r="62" spans="2:17" x14ac:dyDescent="0.25">
      <c r="B62" s="38">
        <v>46279</v>
      </c>
      <c r="C62" s="28" t="s">
        <v>95</v>
      </c>
      <c r="D62" s="28" t="s">
        <v>112</v>
      </c>
      <c r="E62" s="28" t="s">
        <v>161</v>
      </c>
      <c r="F62" s="34">
        <v>260</v>
      </c>
      <c r="G62" s="28" t="s">
        <v>125</v>
      </c>
      <c r="H62" s="39">
        <f>IF(tblChanges[[#This Row],[Date]]="","",IFERROR(INDEX(tblTools[Standard life (parts)],MATCH(tblChanges[[#This Row],[Tool ID]],tblTools[Tool ID],0)),""))</f>
        <v>260</v>
      </c>
      <c r="I62" s="35">
        <f>IF(tblChanges[[#This Row],[Date]]="","",IFERROR(INDEX(tblTools[Cost per life],MATCH(tblChanges[[#This Row],[Tool ID]],tblTools[Tool ID],0)),""))</f>
        <v>38.6666666666667</v>
      </c>
      <c r="J62" s="35">
        <f>IF(tblChanges[[#This Row],[Date]]="","",IF(OR(tblChanges[[#This Row],[Life cost]]="",tblChanges[[#This Row],[Standard life (parts)]]=""),"",tblChanges[[#This Row],[Parts made]]*tblChanges[[#This Row],[Life cost]]/tblChanges[[#This Row],[Standard life (parts)]]))</f>
        <v>38.6666666666667</v>
      </c>
      <c r="K62" s="40">
        <f>IF(tblChanges[[#This Row],[Date]]="","",IF(OR(tblChanges[[#This Row],[Standard life (parts)]]="",tblChanges[[#This Row],[Parts made]]=""),"",tblChanges[[#This Row],[Parts made]]/tblChanges[[#This Row],[Standard life (parts)]]))</f>
        <v>1</v>
      </c>
      <c r="L62" s="36">
        <f>IF(tblChanges[[#This Row],[Date]]="","",IF(OR(tblChanges[[#This Row],[Life cost]]="",N(tblChanges[[#This Row],[Parts made]])=0),"",tblChanges[[#This Row],[Life cost]]/tblChanges[[#This Row],[Parts made]]))</f>
        <v>0.148717948717949</v>
      </c>
      <c r="M62" s="41" t="str">
        <f>IF(tblChanges[[#This Row],[Date]]="","",IFERROR(INDEX(tblReasons[Category],MATCH(tblChanges[[#This Row],[Reason]],tblReasons[Reason],0)),""))</f>
        <v>Planned</v>
      </c>
      <c r="N62" s="42" t="str">
        <f>IF(NOT(ISNUMBER(tblChanges[[#This Row],[Life achieved]])),"",IF(tblChanges[[#This Row],[Life achieved]]&gt;=TargetLife,"On target",IF(tblChanges[[#This Row],[Life achieved]]&gt;=TargetLife*(1-0.05),"Near target","Below target")))</f>
        <v>On target</v>
      </c>
      <c r="O62" s="43">
        <f>IF(tblChanges[[#This Row],[Date]]="","",IF(AND(tblChanges[[#This Row],[Date]]&gt;=FFrom,tblChanges[[#This Row],[Date]]&lt;=FTo,OR(DashMachine="",tblChanges[[#This Row],[Machine]]=DashMachine)),tblChanges[[#This Row],[Date]],""))</f>
        <v>46279</v>
      </c>
      <c r="P6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2" s="28" t="s">
        <v>158</v>
      </c>
    </row>
    <row r="63" spans="2:17" x14ac:dyDescent="0.25">
      <c r="B63" s="38">
        <v>46279</v>
      </c>
      <c r="C63" s="28" t="s">
        <v>95</v>
      </c>
      <c r="D63" s="28" t="s">
        <v>118</v>
      </c>
      <c r="E63" s="28" t="s">
        <v>161</v>
      </c>
      <c r="F63" s="34">
        <v>900</v>
      </c>
      <c r="G63" s="28" t="s">
        <v>125</v>
      </c>
      <c r="H63" s="39">
        <f>IF(tblChanges[[#This Row],[Date]]="","",IFERROR(INDEX(tblTools[Standard life (parts)],MATCH(tblChanges[[#This Row],[Tool ID]],tblTools[Tool ID],0)),""))</f>
        <v>900</v>
      </c>
      <c r="I63" s="35">
        <f>IF(tblChanges[[#This Row],[Date]]="","",IFERROR(INDEX(tblTools[Cost per life],MATCH(tblChanges[[#This Row],[Tool ID]],tblTools[Tool ID],0)),""))</f>
        <v>26.5</v>
      </c>
      <c r="J63" s="35">
        <f>IF(tblChanges[[#This Row],[Date]]="","",IF(OR(tblChanges[[#This Row],[Life cost]]="",tblChanges[[#This Row],[Standard life (parts)]]=""),"",tblChanges[[#This Row],[Parts made]]*tblChanges[[#This Row],[Life cost]]/tblChanges[[#This Row],[Standard life (parts)]]))</f>
        <v>26.5</v>
      </c>
      <c r="K63" s="40">
        <f>IF(tblChanges[[#This Row],[Date]]="","",IF(OR(tblChanges[[#This Row],[Standard life (parts)]]="",tblChanges[[#This Row],[Parts made]]=""),"",tblChanges[[#This Row],[Parts made]]/tblChanges[[#This Row],[Standard life (parts)]]))</f>
        <v>1</v>
      </c>
      <c r="L63" s="36">
        <f>IF(tblChanges[[#This Row],[Date]]="","",IF(OR(tblChanges[[#This Row],[Life cost]]="",N(tblChanges[[#This Row],[Parts made]])=0),"",tblChanges[[#This Row],[Life cost]]/tblChanges[[#This Row],[Parts made]]))</f>
        <v>0.0294444444444444</v>
      </c>
      <c r="M63" s="41" t="str">
        <f>IF(tblChanges[[#This Row],[Date]]="","",IFERROR(INDEX(tblReasons[Category],MATCH(tblChanges[[#This Row],[Reason]],tblReasons[Reason],0)),""))</f>
        <v>Planned</v>
      </c>
      <c r="N63" s="42" t="str">
        <f>IF(NOT(ISNUMBER(tblChanges[[#This Row],[Life achieved]])),"",IF(tblChanges[[#This Row],[Life achieved]]&gt;=TargetLife,"On target",IF(tblChanges[[#This Row],[Life achieved]]&gt;=TargetLife*(1-0.05),"Near target","Below target")))</f>
        <v>On target</v>
      </c>
      <c r="O63" s="43">
        <f>IF(tblChanges[[#This Row],[Date]]="","",IF(AND(tblChanges[[#This Row],[Date]]&gt;=FFrom,tblChanges[[#This Row],[Date]]&lt;=FTo,OR(DashMachine="",tblChanges[[#This Row],[Machine]]=DashMachine)),tblChanges[[#This Row],[Date]],""))</f>
        <v>46279</v>
      </c>
      <c r="P6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3" s="28" t="s">
        <v>158</v>
      </c>
    </row>
    <row r="64" spans="2:17" x14ac:dyDescent="0.25">
      <c r="B64" s="38">
        <v>46279</v>
      </c>
      <c r="C64" s="28" t="s">
        <v>97</v>
      </c>
      <c r="D64" s="28" t="s">
        <v>109</v>
      </c>
      <c r="E64" s="28" t="s">
        <v>162</v>
      </c>
      <c r="F64" s="34">
        <v>78</v>
      </c>
      <c r="G64" s="28" t="s">
        <v>135</v>
      </c>
      <c r="H64" s="39">
        <f>IF(tblChanges[[#This Row],[Date]]="","",IFERROR(INDEX(tblTools[Standard life (parts)],MATCH(tblChanges[[#This Row],[Tool ID]],tblTools[Tool ID],0)),""))</f>
        <v>90</v>
      </c>
      <c r="I64" s="35">
        <f>IF(tblChanges[[#This Row],[Date]]="","",IFERROR(INDEX(tblTools[Cost per life],MATCH(tblChanges[[#This Row],[Tool ID]],tblTools[Tool ID],0)),""))</f>
        <v>26</v>
      </c>
      <c r="J64" s="35">
        <f>IF(tblChanges[[#This Row],[Date]]="","",IF(OR(tblChanges[[#This Row],[Life cost]]="",tblChanges[[#This Row],[Standard life (parts)]]=""),"",tblChanges[[#This Row],[Parts made]]*tblChanges[[#This Row],[Life cost]]/tblChanges[[#This Row],[Standard life (parts)]]))</f>
        <v>22.5333333333333</v>
      </c>
      <c r="K64" s="40">
        <f>IF(tblChanges[[#This Row],[Date]]="","",IF(OR(tblChanges[[#This Row],[Standard life (parts)]]="",tblChanges[[#This Row],[Parts made]]=""),"",tblChanges[[#This Row],[Parts made]]/tblChanges[[#This Row],[Standard life (parts)]]))</f>
        <v>0.866666666666667</v>
      </c>
      <c r="L64" s="36">
        <f>IF(tblChanges[[#This Row],[Date]]="","",IF(OR(tblChanges[[#This Row],[Life cost]]="",N(tblChanges[[#This Row],[Parts made]])=0),"",tblChanges[[#This Row],[Life cost]]/tblChanges[[#This Row],[Parts made]]))</f>
        <v>0.333333333333333</v>
      </c>
      <c r="M64" s="41" t="str">
        <f>IF(tblChanges[[#This Row],[Date]]="","",IFERROR(INDEX(tblReasons[Category],MATCH(tblChanges[[#This Row],[Reason]],tblReasons[Reason],0)),""))</f>
        <v>Wear</v>
      </c>
      <c r="N64" s="42" t="str">
        <f>IF(NOT(ISNUMBER(tblChanges[[#This Row],[Life achieved]])),"",IF(tblChanges[[#This Row],[Life achieved]]&gt;=TargetLife,"On target",IF(tblChanges[[#This Row],[Life achieved]]&gt;=TargetLife*(1-0.05),"Near target","Below target")))</f>
        <v>Near target</v>
      </c>
      <c r="O64" s="43">
        <f>IF(tblChanges[[#This Row],[Date]]="","",IF(AND(tblChanges[[#This Row],[Date]]&gt;=FFrom,tblChanges[[#This Row],[Date]]&lt;=FTo,OR(DashMachine="",tblChanges[[#This Row],[Machine]]=DashMachine)),tblChanges[[#This Row],[Date]],""))</f>
        <v>46279</v>
      </c>
      <c r="P6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4" s="28" t="s">
        <v>158</v>
      </c>
    </row>
    <row r="65" spans="2:17" x14ac:dyDescent="0.25">
      <c r="B65" s="38">
        <v>46280</v>
      </c>
      <c r="C65" s="28" t="s">
        <v>87</v>
      </c>
      <c r="D65" s="28" t="s">
        <v>106</v>
      </c>
      <c r="E65" s="28" t="s">
        <v>159</v>
      </c>
      <c r="F65" s="34">
        <v>150</v>
      </c>
      <c r="G65" s="28" t="s">
        <v>125</v>
      </c>
      <c r="H65" s="39">
        <f>IF(tblChanges[[#This Row],[Date]]="","",IFERROR(INDEX(tblTools[Standard life (parts)],MATCH(tblChanges[[#This Row],[Tool ID]],tblTools[Tool ID],0)),""))</f>
        <v>150</v>
      </c>
      <c r="I65" s="35">
        <f>IF(tblChanges[[#This Row],[Date]]="","",IFERROR(INDEX(tblTools[Cost per life],MATCH(tblChanges[[#This Row],[Tool ID]],tblTools[Tool ID],0)),""))</f>
        <v>9.75</v>
      </c>
      <c r="J65" s="35">
        <f>IF(tblChanges[[#This Row],[Date]]="","",IF(OR(tblChanges[[#This Row],[Life cost]]="",tblChanges[[#This Row],[Standard life (parts)]]=""),"",tblChanges[[#This Row],[Parts made]]*tblChanges[[#This Row],[Life cost]]/tblChanges[[#This Row],[Standard life (parts)]]))</f>
        <v>9.75</v>
      </c>
      <c r="K65" s="40">
        <f>IF(tblChanges[[#This Row],[Date]]="","",IF(OR(tblChanges[[#This Row],[Standard life (parts)]]="",tblChanges[[#This Row],[Parts made]]=""),"",tblChanges[[#This Row],[Parts made]]/tblChanges[[#This Row],[Standard life (parts)]]))</f>
        <v>1</v>
      </c>
      <c r="L65" s="36">
        <f>IF(tblChanges[[#This Row],[Date]]="","",IF(OR(tblChanges[[#This Row],[Life cost]]="",N(tblChanges[[#This Row],[Parts made]])=0),"",tblChanges[[#This Row],[Life cost]]/tblChanges[[#This Row],[Parts made]]))</f>
        <v>0.065</v>
      </c>
      <c r="M65" s="41" t="str">
        <f>IF(tblChanges[[#This Row],[Date]]="","",IFERROR(INDEX(tblReasons[Category],MATCH(tblChanges[[#This Row],[Reason]],tblReasons[Reason],0)),""))</f>
        <v>Planned</v>
      </c>
      <c r="N65" s="42" t="str">
        <f>IF(NOT(ISNUMBER(tblChanges[[#This Row],[Life achieved]])),"",IF(tblChanges[[#This Row],[Life achieved]]&gt;=TargetLife,"On target",IF(tblChanges[[#This Row],[Life achieved]]&gt;=TargetLife*(1-0.05),"Near target","Below target")))</f>
        <v>On target</v>
      </c>
      <c r="O65" s="43">
        <f>IF(tblChanges[[#This Row],[Date]]="","",IF(AND(tblChanges[[#This Row],[Date]]&gt;=FFrom,tblChanges[[#This Row],[Date]]&lt;=FTo,OR(DashMachine="",tblChanges[[#This Row],[Machine]]=DashMachine)),tblChanges[[#This Row],[Date]],""))</f>
        <v>46280</v>
      </c>
      <c r="P6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5" s="28" t="s">
        <v>158</v>
      </c>
    </row>
    <row r="66" spans="2:17" x14ac:dyDescent="0.25">
      <c r="B66" s="38">
        <v>46280</v>
      </c>
      <c r="C66" s="28" t="s">
        <v>90</v>
      </c>
      <c r="D66" s="28" t="s">
        <v>106</v>
      </c>
      <c r="E66" s="28" t="s">
        <v>163</v>
      </c>
      <c r="F66" s="34">
        <v>150</v>
      </c>
      <c r="G66" s="28" t="s">
        <v>125</v>
      </c>
      <c r="H66" s="39">
        <f>IF(tblChanges[[#This Row],[Date]]="","",IFERROR(INDEX(tblTools[Standard life (parts)],MATCH(tblChanges[[#This Row],[Tool ID]],tblTools[Tool ID],0)),""))</f>
        <v>150</v>
      </c>
      <c r="I66" s="35">
        <f>IF(tblChanges[[#This Row],[Date]]="","",IFERROR(INDEX(tblTools[Cost per life],MATCH(tblChanges[[#This Row],[Tool ID]],tblTools[Tool ID],0)),""))</f>
        <v>9.75</v>
      </c>
      <c r="J66" s="35">
        <f>IF(tblChanges[[#This Row],[Date]]="","",IF(OR(tblChanges[[#This Row],[Life cost]]="",tblChanges[[#This Row],[Standard life (parts)]]=""),"",tblChanges[[#This Row],[Parts made]]*tblChanges[[#This Row],[Life cost]]/tblChanges[[#This Row],[Standard life (parts)]]))</f>
        <v>9.75</v>
      </c>
      <c r="K66" s="40">
        <f>IF(tblChanges[[#This Row],[Date]]="","",IF(OR(tblChanges[[#This Row],[Standard life (parts)]]="",tblChanges[[#This Row],[Parts made]]=""),"",tblChanges[[#This Row],[Parts made]]/tblChanges[[#This Row],[Standard life (parts)]]))</f>
        <v>1</v>
      </c>
      <c r="L66" s="36">
        <f>IF(tblChanges[[#This Row],[Date]]="","",IF(OR(tblChanges[[#This Row],[Life cost]]="",N(tblChanges[[#This Row],[Parts made]])=0),"",tblChanges[[#This Row],[Life cost]]/tblChanges[[#This Row],[Parts made]]))</f>
        <v>0.065</v>
      </c>
      <c r="M66" s="41" t="str">
        <f>IF(tblChanges[[#This Row],[Date]]="","",IFERROR(INDEX(tblReasons[Category],MATCH(tblChanges[[#This Row],[Reason]],tblReasons[Reason],0)),""))</f>
        <v>Planned</v>
      </c>
      <c r="N66" s="42" t="str">
        <f>IF(NOT(ISNUMBER(tblChanges[[#This Row],[Life achieved]])),"",IF(tblChanges[[#This Row],[Life achieved]]&gt;=TargetLife,"On target",IF(tblChanges[[#This Row],[Life achieved]]&gt;=TargetLife*(1-0.05),"Near target","Below target")))</f>
        <v>On target</v>
      </c>
      <c r="O66" s="43">
        <f>IF(tblChanges[[#This Row],[Date]]="","",IF(AND(tblChanges[[#This Row],[Date]]&gt;=FFrom,tblChanges[[#This Row],[Date]]&lt;=FTo,OR(DashMachine="",tblChanges[[#This Row],[Machine]]=DashMachine)),tblChanges[[#This Row],[Date]],""))</f>
        <v>46280</v>
      </c>
      <c r="P6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6" s="28" t="s">
        <v>158</v>
      </c>
    </row>
    <row r="67" spans="2:17" x14ac:dyDescent="0.25">
      <c r="B67" s="38">
        <v>46280</v>
      </c>
      <c r="C67" s="28" t="s">
        <v>92</v>
      </c>
      <c r="D67" s="28" t="s">
        <v>109</v>
      </c>
      <c r="E67" s="28" t="s">
        <v>157</v>
      </c>
      <c r="F67" s="34">
        <v>90</v>
      </c>
      <c r="G67" s="28" t="s">
        <v>125</v>
      </c>
      <c r="H67" s="39">
        <f>IF(tblChanges[[#This Row],[Date]]="","",IFERROR(INDEX(tblTools[Standard life (parts)],MATCH(tblChanges[[#This Row],[Tool ID]],tblTools[Tool ID],0)),""))</f>
        <v>90</v>
      </c>
      <c r="I67" s="35">
        <f>IF(tblChanges[[#This Row],[Date]]="","",IFERROR(INDEX(tblTools[Cost per life],MATCH(tblChanges[[#This Row],[Tool ID]],tblTools[Tool ID],0)),""))</f>
        <v>26</v>
      </c>
      <c r="J67" s="35">
        <f>IF(tblChanges[[#This Row],[Date]]="","",IF(OR(tblChanges[[#This Row],[Life cost]]="",tblChanges[[#This Row],[Standard life (parts)]]=""),"",tblChanges[[#This Row],[Parts made]]*tblChanges[[#This Row],[Life cost]]/tblChanges[[#This Row],[Standard life (parts)]]))</f>
        <v>26</v>
      </c>
      <c r="K67" s="40">
        <f>IF(tblChanges[[#This Row],[Date]]="","",IF(OR(tblChanges[[#This Row],[Standard life (parts)]]="",tblChanges[[#This Row],[Parts made]]=""),"",tblChanges[[#This Row],[Parts made]]/tblChanges[[#This Row],[Standard life (parts)]]))</f>
        <v>1</v>
      </c>
      <c r="L67" s="36">
        <f>IF(tblChanges[[#This Row],[Date]]="","",IF(OR(tblChanges[[#This Row],[Life cost]]="",N(tblChanges[[#This Row],[Parts made]])=0),"",tblChanges[[#This Row],[Life cost]]/tblChanges[[#This Row],[Parts made]]))</f>
        <v>0.288888888888889</v>
      </c>
      <c r="M67" s="41" t="str">
        <f>IF(tblChanges[[#This Row],[Date]]="","",IFERROR(INDEX(tblReasons[Category],MATCH(tblChanges[[#This Row],[Reason]],tblReasons[Reason],0)),""))</f>
        <v>Planned</v>
      </c>
      <c r="N67" s="42" t="str">
        <f>IF(NOT(ISNUMBER(tblChanges[[#This Row],[Life achieved]])),"",IF(tblChanges[[#This Row],[Life achieved]]&gt;=TargetLife,"On target",IF(tblChanges[[#This Row],[Life achieved]]&gt;=TargetLife*(1-0.05),"Near target","Below target")))</f>
        <v>On target</v>
      </c>
      <c r="O67" s="43">
        <f>IF(tblChanges[[#This Row],[Date]]="","",IF(AND(tblChanges[[#This Row],[Date]]&gt;=FFrom,tblChanges[[#This Row],[Date]]&lt;=FTo,OR(DashMachine="",tblChanges[[#This Row],[Machine]]=DashMachine)),tblChanges[[#This Row],[Date]],""))</f>
        <v>46280</v>
      </c>
      <c r="P6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7" s="28" t="s">
        <v>158</v>
      </c>
    </row>
    <row r="68" spans="2:17" x14ac:dyDescent="0.25">
      <c r="B68" s="38">
        <v>46281</v>
      </c>
      <c r="C68" s="28" t="s">
        <v>87</v>
      </c>
      <c r="D68" s="28" t="s">
        <v>101</v>
      </c>
      <c r="E68" s="28" t="s">
        <v>159</v>
      </c>
      <c r="F68" s="34">
        <v>120</v>
      </c>
      <c r="G68" s="28" t="s">
        <v>125</v>
      </c>
      <c r="H68" s="39">
        <f>IF(tblChanges[[#This Row],[Date]]="","",IFERROR(INDEX(tblTools[Standard life (parts)],MATCH(tblChanges[[#This Row],[Tool ID]],tblTools[Tool ID],0)),""))</f>
        <v>120</v>
      </c>
      <c r="I68" s="35">
        <f>IF(tblChanges[[#This Row],[Date]]="","",IFERROR(INDEX(tblTools[Cost per life],MATCH(tblChanges[[#This Row],[Tool ID]],tblTools[Tool ID],0)),""))</f>
        <v>3.7</v>
      </c>
      <c r="J68" s="35">
        <f>IF(tblChanges[[#This Row],[Date]]="","",IF(OR(tblChanges[[#This Row],[Life cost]]="",tblChanges[[#This Row],[Standard life (parts)]]=""),"",tblChanges[[#This Row],[Parts made]]*tblChanges[[#This Row],[Life cost]]/tblChanges[[#This Row],[Standard life (parts)]]))</f>
        <v>3.7</v>
      </c>
      <c r="K68" s="40">
        <f>IF(tblChanges[[#This Row],[Date]]="","",IF(OR(tblChanges[[#This Row],[Standard life (parts)]]="",tblChanges[[#This Row],[Parts made]]=""),"",tblChanges[[#This Row],[Parts made]]/tblChanges[[#This Row],[Standard life (parts)]]))</f>
        <v>1</v>
      </c>
      <c r="L68" s="36">
        <f>IF(tblChanges[[#This Row],[Date]]="","",IF(OR(tblChanges[[#This Row],[Life cost]]="",N(tblChanges[[#This Row],[Parts made]])=0),"",tblChanges[[#This Row],[Life cost]]/tblChanges[[#This Row],[Parts made]]))</f>
        <v>0.0308333333333333</v>
      </c>
      <c r="M68" s="41" t="str">
        <f>IF(tblChanges[[#This Row],[Date]]="","",IFERROR(INDEX(tblReasons[Category],MATCH(tblChanges[[#This Row],[Reason]],tblReasons[Reason],0)),""))</f>
        <v>Planned</v>
      </c>
      <c r="N68" s="42" t="str">
        <f>IF(NOT(ISNUMBER(tblChanges[[#This Row],[Life achieved]])),"",IF(tblChanges[[#This Row],[Life achieved]]&gt;=TargetLife,"On target",IF(tblChanges[[#This Row],[Life achieved]]&gt;=TargetLife*(1-0.05),"Near target","Below target")))</f>
        <v>On target</v>
      </c>
      <c r="O68" s="43">
        <f>IF(tblChanges[[#This Row],[Date]]="","",IF(AND(tblChanges[[#This Row],[Date]]&gt;=FFrom,tblChanges[[#This Row],[Date]]&lt;=FTo,OR(DashMachine="",tblChanges[[#This Row],[Machine]]=DashMachine)),tblChanges[[#This Row],[Date]],""))</f>
        <v>46281</v>
      </c>
      <c r="P6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8" s="28" t="s">
        <v>158</v>
      </c>
    </row>
    <row r="69" spans="2:17" x14ac:dyDescent="0.25">
      <c r="B69" s="38">
        <v>46281</v>
      </c>
      <c r="C69" s="28" t="s">
        <v>87</v>
      </c>
      <c r="D69" s="28" t="s">
        <v>104</v>
      </c>
      <c r="E69" s="28" t="s">
        <v>159</v>
      </c>
      <c r="F69" s="34">
        <v>160</v>
      </c>
      <c r="G69" s="28" t="s">
        <v>125</v>
      </c>
      <c r="H69" s="39">
        <f>IF(tblChanges[[#This Row],[Date]]="","",IFERROR(INDEX(tblTools[Standard life (parts)],MATCH(tblChanges[[#This Row],[Tool ID]],tblTools[Tool ID],0)),""))</f>
        <v>160</v>
      </c>
      <c r="I69" s="35">
        <f>IF(tblChanges[[#This Row],[Date]]="","",IFERROR(INDEX(tblTools[Cost per life],MATCH(tblChanges[[#This Row],[Tool ID]],tblTools[Tool ID],0)),""))</f>
        <v>4.05</v>
      </c>
      <c r="J69" s="35">
        <f>IF(tblChanges[[#This Row],[Date]]="","",IF(OR(tblChanges[[#This Row],[Life cost]]="",tblChanges[[#This Row],[Standard life (parts)]]=""),"",tblChanges[[#This Row],[Parts made]]*tblChanges[[#This Row],[Life cost]]/tblChanges[[#This Row],[Standard life (parts)]]))</f>
        <v>4.05</v>
      </c>
      <c r="K69" s="40">
        <f>IF(tblChanges[[#This Row],[Date]]="","",IF(OR(tblChanges[[#This Row],[Standard life (parts)]]="",tblChanges[[#This Row],[Parts made]]=""),"",tblChanges[[#This Row],[Parts made]]/tblChanges[[#This Row],[Standard life (parts)]]))</f>
        <v>1</v>
      </c>
      <c r="L69" s="36">
        <f>IF(tblChanges[[#This Row],[Date]]="","",IF(OR(tblChanges[[#This Row],[Life cost]]="",N(tblChanges[[#This Row],[Parts made]])=0),"",tblChanges[[#This Row],[Life cost]]/tblChanges[[#This Row],[Parts made]]))</f>
        <v>0.0253125</v>
      </c>
      <c r="M69" s="41" t="str">
        <f>IF(tblChanges[[#This Row],[Date]]="","",IFERROR(INDEX(tblReasons[Category],MATCH(tblChanges[[#This Row],[Reason]],tblReasons[Reason],0)),""))</f>
        <v>Planned</v>
      </c>
      <c r="N69" s="42" t="str">
        <f>IF(NOT(ISNUMBER(tblChanges[[#This Row],[Life achieved]])),"",IF(tblChanges[[#This Row],[Life achieved]]&gt;=TargetLife,"On target",IF(tblChanges[[#This Row],[Life achieved]]&gt;=TargetLife*(1-0.05),"Near target","Below target")))</f>
        <v>On target</v>
      </c>
      <c r="O69" s="43">
        <f>IF(tblChanges[[#This Row],[Date]]="","",IF(AND(tblChanges[[#This Row],[Date]]&gt;=FFrom,tblChanges[[#This Row],[Date]]&lt;=FTo,OR(DashMachine="",tblChanges[[#This Row],[Machine]]=DashMachine)),tblChanges[[#This Row],[Date]],""))</f>
        <v>46281</v>
      </c>
      <c r="P6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69" s="28" t="s">
        <v>158</v>
      </c>
    </row>
    <row r="70" spans="2:17" x14ac:dyDescent="0.25">
      <c r="B70" s="38">
        <v>46281</v>
      </c>
      <c r="C70" s="28" t="s">
        <v>87</v>
      </c>
      <c r="D70" s="28" t="s">
        <v>104</v>
      </c>
      <c r="E70" s="28" t="s">
        <v>159</v>
      </c>
      <c r="F70" s="34">
        <v>31</v>
      </c>
      <c r="G70" s="28" t="s">
        <v>137</v>
      </c>
      <c r="H70" s="39">
        <f>IF(tblChanges[[#This Row],[Date]]="","",IFERROR(INDEX(tblTools[Standard life (parts)],MATCH(tblChanges[[#This Row],[Tool ID]],tblTools[Tool ID],0)),""))</f>
        <v>160</v>
      </c>
      <c r="I70" s="35">
        <f>IF(tblChanges[[#This Row],[Date]]="","",IFERROR(INDEX(tblTools[Cost per life],MATCH(tblChanges[[#This Row],[Tool ID]],tblTools[Tool ID],0)),""))</f>
        <v>4.05</v>
      </c>
      <c r="J70" s="35">
        <f>IF(tblChanges[[#This Row],[Date]]="","",IF(OR(tblChanges[[#This Row],[Life cost]]="",tblChanges[[#This Row],[Standard life (parts)]]=""),"",tblChanges[[#This Row],[Parts made]]*tblChanges[[#This Row],[Life cost]]/tblChanges[[#This Row],[Standard life (parts)]]))</f>
        <v>0.7846875</v>
      </c>
      <c r="K70" s="40">
        <f>IF(tblChanges[[#This Row],[Date]]="","",IF(OR(tblChanges[[#This Row],[Standard life (parts)]]="",tblChanges[[#This Row],[Parts made]]=""),"",tblChanges[[#This Row],[Parts made]]/tblChanges[[#This Row],[Standard life (parts)]]))</f>
        <v>0.19375</v>
      </c>
      <c r="L70" s="36">
        <f>IF(tblChanges[[#This Row],[Date]]="","",IF(OR(tblChanges[[#This Row],[Life cost]]="",N(tblChanges[[#This Row],[Parts made]])=0),"",tblChanges[[#This Row],[Life cost]]/tblChanges[[#This Row],[Parts made]]))</f>
        <v>0.130645161290323</v>
      </c>
      <c r="M70" s="41" t="str">
        <f>IF(tblChanges[[#This Row],[Date]]="","",IFERROR(INDEX(tblReasons[Category],MATCH(tblChanges[[#This Row],[Reason]],tblReasons[Reason],0)),""))</f>
        <v>Premature failure</v>
      </c>
      <c r="N70" s="42" t="str">
        <f>IF(NOT(ISNUMBER(tblChanges[[#This Row],[Life achieved]])),"",IF(tblChanges[[#This Row],[Life achieved]]&gt;=TargetLife,"On target",IF(tblChanges[[#This Row],[Life achieved]]&gt;=TargetLife*(1-0.05),"Near target","Below target")))</f>
        <v>Below target</v>
      </c>
      <c r="O70" s="43">
        <f>IF(tblChanges[[#This Row],[Date]]="","",IF(AND(tblChanges[[#This Row],[Date]]&gt;=FFrom,tblChanges[[#This Row],[Date]]&lt;=FTo,OR(DashMachine="",tblChanges[[#This Row],[Machine]]=DashMachine)),tblChanges[[#This Row],[Date]],""))</f>
        <v>46281</v>
      </c>
      <c r="P7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0" s="28" t="s">
        <v>158</v>
      </c>
    </row>
    <row r="71" spans="2:17" x14ac:dyDescent="0.25">
      <c r="B71" s="38">
        <v>46281</v>
      </c>
      <c r="C71" s="28" t="s">
        <v>90</v>
      </c>
      <c r="D71" s="28" t="s">
        <v>101</v>
      </c>
      <c r="E71" s="28" t="s">
        <v>163</v>
      </c>
      <c r="F71" s="34">
        <v>120</v>
      </c>
      <c r="G71" s="28" t="s">
        <v>125</v>
      </c>
      <c r="H71" s="39">
        <f>IF(tblChanges[[#This Row],[Date]]="","",IFERROR(INDEX(tblTools[Standard life (parts)],MATCH(tblChanges[[#This Row],[Tool ID]],tblTools[Tool ID],0)),""))</f>
        <v>120</v>
      </c>
      <c r="I71" s="35">
        <f>IF(tblChanges[[#This Row],[Date]]="","",IFERROR(INDEX(tblTools[Cost per life],MATCH(tblChanges[[#This Row],[Tool ID]],tblTools[Tool ID],0)),""))</f>
        <v>3.7</v>
      </c>
      <c r="J71" s="35">
        <f>IF(tblChanges[[#This Row],[Date]]="","",IF(OR(tblChanges[[#This Row],[Life cost]]="",tblChanges[[#This Row],[Standard life (parts)]]=""),"",tblChanges[[#This Row],[Parts made]]*tblChanges[[#This Row],[Life cost]]/tblChanges[[#This Row],[Standard life (parts)]]))</f>
        <v>3.7</v>
      </c>
      <c r="K71" s="40">
        <f>IF(tblChanges[[#This Row],[Date]]="","",IF(OR(tblChanges[[#This Row],[Standard life (parts)]]="",tblChanges[[#This Row],[Parts made]]=""),"",tblChanges[[#This Row],[Parts made]]/tblChanges[[#This Row],[Standard life (parts)]]))</f>
        <v>1</v>
      </c>
      <c r="L71" s="36">
        <f>IF(tblChanges[[#This Row],[Date]]="","",IF(OR(tblChanges[[#This Row],[Life cost]]="",N(tblChanges[[#This Row],[Parts made]])=0),"",tblChanges[[#This Row],[Life cost]]/tblChanges[[#This Row],[Parts made]]))</f>
        <v>0.0308333333333333</v>
      </c>
      <c r="M71" s="41" t="str">
        <f>IF(tblChanges[[#This Row],[Date]]="","",IFERROR(INDEX(tblReasons[Category],MATCH(tblChanges[[#This Row],[Reason]],tblReasons[Reason],0)),""))</f>
        <v>Planned</v>
      </c>
      <c r="N71" s="42" t="str">
        <f>IF(NOT(ISNUMBER(tblChanges[[#This Row],[Life achieved]])),"",IF(tblChanges[[#This Row],[Life achieved]]&gt;=TargetLife,"On target",IF(tblChanges[[#This Row],[Life achieved]]&gt;=TargetLife*(1-0.05),"Near target","Below target")))</f>
        <v>On target</v>
      </c>
      <c r="O71" s="43">
        <f>IF(tblChanges[[#This Row],[Date]]="","",IF(AND(tblChanges[[#This Row],[Date]]&gt;=FFrom,tblChanges[[#This Row],[Date]]&lt;=FTo,OR(DashMachine="",tblChanges[[#This Row],[Machine]]=DashMachine)),tblChanges[[#This Row],[Date]],""))</f>
        <v>46281</v>
      </c>
      <c r="P7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1" s="28" t="s">
        <v>158</v>
      </c>
    </row>
    <row r="72" spans="2:17" x14ac:dyDescent="0.25">
      <c r="B72" s="38">
        <v>46281</v>
      </c>
      <c r="C72" s="28" t="s">
        <v>92</v>
      </c>
      <c r="D72" s="28" t="s">
        <v>112</v>
      </c>
      <c r="E72" s="28" t="s">
        <v>157</v>
      </c>
      <c r="F72" s="34">
        <v>260</v>
      </c>
      <c r="G72" s="28" t="s">
        <v>125</v>
      </c>
      <c r="H72" s="39">
        <f>IF(tblChanges[[#This Row],[Date]]="","",IFERROR(INDEX(tblTools[Standard life (parts)],MATCH(tblChanges[[#This Row],[Tool ID]],tblTools[Tool ID],0)),""))</f>
        <v>260</v>
      </c>
      <c r="I72" s="35">
        <f>IF(tblChanges[[#This Row],[Date]]="","",IFERROR(INDEX(tblTools[Cost per life],MATCH(tblChanges[[#This Row],[Tool ID]],tblTools[Tool ID],0)),""))</f>
        <v>38.6666666666667</v>
      </c>
      <c r="J72" s="35">
        <f>IF(tblChanges[[#This Row],[Date]]="","",IF(OR(tblChanges[[#This Row],[Life cost]]="",tblChanges[[#This Row],[Standard life (parts)]]=""),"",tblChanges[[#This Row],[Parts made]]*tblChanges[[#This Row],[Life cost]]/tblChanges[[#This Row],[Standard life (parts)]]))</f>
        <v>38.6666666666667</v>
      </c>
      <c r="K72" s="40">
        <f>IF(tblChanges[[#This Row],[Date]]="","",IF(OR(tblChanges[[#This Row],[Standard life (parts)]]="",tblChanges[[#This Row],[Parts made]]=""),"",tblChanges[[#This Row],[Parts made]]/tblChanges[[#This Row],[Standard life (parts)]]))</f>
        <v>1</v>
      </c>
      <c r="L72" s="36">
        <f>IF(tblChanges[[#This Row],[Date]]="","",IF(OR(tblChanges[[#This Row],[Life cost]]="",N(tblChanges[[#This Row],[Parts made]])=0),"",tblChanges[[#This Row],[Life cost]]/tblChanges[[#This Row],[Parts made]]))</f>
        <v>0.148717948717949</v>
      </c>
      <c r="M72" s="41" t="str">
        <f>IF(tblChanges[[#This Row],[Date]]="","",IFERROR(INDEX(tblReasons[Category],MATCH(tblChanges[[#This Row],[Reason]],tblReasons[Reason],0)),""))</f>
        <v>Planned</v>
      </c>
      <c r="N72" s="42" t="str">
        <f>IF(NOT(ISNUMBER(tblChanges[[#This Row],[Life achieved]])),"",IF(tblChanges[[#This Row],[Life achieved]]&gt;=TargetLife,"On target",IF(tblChanges[[#This Row],[Life achieved]]&gt;=TargetLife*(1-0.05),"Near target","Below target")))</f>
        <v>On target</v>
      </c>
      <c r="O72" s="43">
        <f>IF(tblChanges[[#This Row],[Date]]="","",IF(AND(tblChanges[[#This Row],[Date]]&gt;=FFrom,tblChanges[[#This Row],[Date]]&lt;=FTo,OR(DashMachine="",tblChanges[[#This Row],[Machine]]=DashMachine)),tblChanges[[#This Row],[Date]],""))</f>
        <v>46281</v>
      </c>
      <c r="P7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2" s="28" t="s">
        <v>158</v>
      </c>
    </row>
    <row r="73" spans="2:17" x14ac:dyDescent="0.25">
      <c r="B73" s="38">
        <v>46281</v>
      </c>
      <c r="C73" s="28" t="s">
        <v>92</v>
      </c>
      <c r="D73" s="28" t="s">
        <v>118</v>
      </c>
      <c r="E73" s="28" t="s">
        <v>157</v>
      </c>
      <c r="F73" s="34">
        <v>900</v>
      </c>
      <c r="G73" s="28" t="s">
        <v>125</v>
      </c>
      <c r="H73" s="39">
        <f>IF(tblChanges[[#This Row],[Date]]="","",IFERROR(INDEX(tblTools[Standard life (parts)],MATCH(tblChanges[[#This Row],[Tool ID]],tblTools[Tool ID],0)),""))</f>
        <v>900</v>
      </c>
      <c r="I73" s="35">
        <f>IF(tblChanges[[#This Row],[Date]]="","",IFERROR(INDEX(tblTools[Cost per life],MATCH(tblChanges[[#This Row],[Tool ID]],tblTools[Tool ID],0)),""))</f>
        <v>26.5</v>
      </c>
      <c r="J73" s="35">
        <f>IF(tblChanges[[#This Row],[Date]]="","",IF(OR(tblChanges[[#This Row],[Life cost]]="",tblChanges[[#This Row],[Standard life (parts)]]=""),"",tblChanges[[#This Row],[Parts made]]*tblChanges[[#This Row],[Life cost]]/tblChanges[[#This Row],[Standard life (parts)]]))</f>
        <v>26.5</v>
      </c>
      <c r="K73" s="40">
        <f>IF(tblChanges[[#This Row],[Date]]="","",IF(OR(tblChanges[[#This Row],[Standard life (parts)]]="",tblChanges[[#This Row],[Parts made]]=""),"",tblChanges[[#This Row],[Parts made]]/tblChanges[[#This Row],[Standard life (parts)]]))</f>
        <v>1</v>
      </c>
      <c r="L73" s="36">
        <f>IF(tblChanges[[#This Row],[Date]]="","",IF(OR(tblChanges[[#This Row],[Life cost]]="",N(tblChanges[[#This Row],[Parts made]])=0),"",tblChanges[[#This Row],[Life cost]]/tblChanges[[#This Row],[Parts made]]))</f>
        <v>0.0294444444444444</v>
      </c>
      <c r="M73" s="41" t="str">
        <f>IF(tblChanges[[#This Row],[Date]]="","",IFERROR(INDEX(tblReasons[Category],MATCH(tblChanges[[#This Row],[Reason]],tblReasons[Reason],0)),""))</f>
        <v>Planned</v>
      </c>
      <c r="N73" s="42" t="str">
        <f>IF(NOT(ISNUMBER(tblChanges[[#This Row],[Life achieved]])),"",IF(tblChanges[[#This Row],[Life achieved]]&gt;=TargetLife,"On target",IF(tblChanges[[#This Row],[Life achieved]]&gt;=TargetLife*(1-0.05),"Near target","Below target")))</f>
        <v>On target</v>
      </c>
      <c r="O73" s="43">
        <f>IF(tblChanges[[#This Row],[Date]]="","",IF(AND(tblChanges[[#This Row],[Date]]&gt;=FFrom,tblChanges[[#This Row],[Date]]&lt;=FTo,OR(DashMachine="",tblChanges[[#This Row],[Machine]]=DashMachine)),tblChanges[[#This Row],[Date]],""))</f>
        <v>46281</v>
      </c>
      <c r="P7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3" s="28" t="s">
        <v>158</v>
      </c>
    </row>
    <row r="74" spans="2:17" x14ac:dyDescent="0.25">
      <c r="B74" s="38">
        <v>46281</v>
      </c>
      <c r="C74" s="28" t="s">
        <v>97</v>
      </c>
      <c r="D74" s="28" t="s">
        <v>109</v>
      </c>
      <c r="E74" s="28" t="s">
        <v>162</v>
      </c>
      <c r="F74" s="34">
        <v>90</v>
      </c>
      <c r="G74" s="28" t="s">
        <v>125</v>
      </c>
      <c r="H74" s="39">
        <f>IF(tblChanges[[#This Row],[Date]]="","",IFERROR(INDEX(tblTools[Standard life (parts)],MATCH(tblChanges[[#This Row],[Tool ID]],tblTools[Tool ID],0)),""))</f>
        <v>90</v>
      </c>
      <c r="I74" s="35">
        <f>IF(tblChanges[[#This Row],[Date]]="","",IFERROR(INDEX(tblTools[Cost per life],MATCH(tblChanges[[#This Row],[Tool ID]],tblTools[Tool ID],0)),""))</f>
        <v>26</v>
      </c>
      <c r="J74" s="35">
        <f>IF(tblChanges[[#This Row],[Date]]="","",IF(OR(tblChanges[[#This Row],[Life cost]]="",tblChanges[[#This Row],[Standard life (parts)]]=""),"",tblChanges[[#This Row],[Parts made]]*tblChanges[[#This Row],[Life cost]]/tblChanges[[#This Row],[Standard life (parts)]]))</f>
        <v>26</v>
      </c>
      <c r="K74" s="40">
        <f>IF(tblChanges[[#This Row],[Date]]="","",IF(OR(tblChanges[[#This Row],[Standard life (parts)]]="",tblChanges[[#This Row],[Parts made]]=""),"",tblChanges[[#This Row],[Parts made]]/tblChanges[[#This Row],[Standard life (parts)]]))</f>
        <v>1</v>
      </c>
      <c r="L74" s="36">
        <f>IF(tblChanges[[#This Row],[Date]]="","",IF(OR(tblChanges[[#This Row],[Life cost]]="",N(tblChanges[[#This Row],[Parts made]])=0),"",tblChanges[[#This Row],[Life cost]]/tblChanges[[#This Row],[Parts made]]))</f>
        <v>0.288888888888889</v>
      </c>
      <c r="M74" s="41" t="str">
        <f>IF(tblChanges[[#This Row],[Date]]="","",IFERROR(INDEX(tblReasons[Category],MATCH(tblChanges[[#This Row],[Reason]],tblReasons[Reason],0)),""))</f>
        <v>Planned</v>
      </c>
      <c r="N74" s="42" t="str">
        <f>IF(NOT(ISNUMBER(tblChanges[[#This Row],[Life achieved]])),"",IF(tblChanges[[#This Row],[Life achieved]]&gt;=TargetLife,"On target",IF(tblChanges[[#This Row],[Life achieved]]&gt;=TargetLife*(1-0.05),"Near target","Below target")))</f>
        <v>On target</v>
      </c>
      <c r="O74" s="43">
        <f>IF(tblChanges[[#This Row],[Date]]="","",IF(AND(tblChanges[[#This Row],[Date]]&gt;=FFrom,tblChanges[[#This Row],[Date]]&lt;=FTo,OR(DashMachine="",tblChanges[[#This Row],[Machine]]=DashMachine)),tblChanges[[#This Row],[Date]],""))</f>
        <v>46281</v>
      </c>
      <c r="P7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4" s="28" t="s">
        <v>158</v>
      </c>
    </row>
    <row r="75" spans="2:17" x14ac:dyDescent="0.25">
      <c r="B75" s="38">
        <v>46282</v>
      </c>
      <c r="C75" s="28" t="s">
        <v>90</v>
      </c>
      <c r="D75" s="28" t="s">
        <v>101</v>
      </c>
      <c r="E75" s="28" t="s">
        <v>163</v>
      </c>
      <c r="F75" s="34">
        <v>43</v>
      </c>
      <c r="G75" s="28" t="s">
        <v>140</v>
      </c>
      <c r="H75" s="39">
        <f>IF(tblChanges[[#This Row],[Date]]="","",IFERROR(INDEX(tblTools[Standard life (parts)],MATCH(tblChanges[[#This Row],[Tool ID]],tblTools[Tool ID],0)),""))</f>
        <v>120</v>
      </c>
      <c r="I75" s="35">
        <f>IF(tblChanges[[#This Row],[Date]]="","",IFERROR(INDEX(tblTools[Cost per life],MATCH(tblChanges[[#This Row],[Tool ID]],tblTools[Tool ID],0)),""))</f>
        <v>3.7</v>
      </c>
      <c r="J75" s="35">
        <f>IF(tblChanges[[#This Row],[Date]]="","",IF(OR(tblChanges[[#This Row],[Life cost]]="",tblChanges[[#This Row],[Standard life (parts)]]=""),"",tblChanges[[#This Row],[Parts made]]*tblChanges[[#This Row],[Life cost]]/tblChanges[[#This Row],[Standard life (parts)]]))</f>
        <v>1.32583333333333</v>
      </c>
      <c r="K75" s="40">
        <f>IF(tblChanges[[#This Row],[Date]]="","",IF(OR(tblChanges[[#This Row],[Standard life (parts)]]="",tblChanges[[#This Row],[Parts made]]=""),"",tblChanges[[#This Row],[Parts made]]/tblChanges[[#This Row],[Standard life (parts)]]))</f>
        <v>0.358333333333333</v>
      </c>
      <c r="L75" s="36">
        <f>IF(tblChanges[[#This Row],[Date]]="","",IF(OR(tblChanges[[#This Row],[Life cost]]="",N(tblChanges[[#This Row],[Parts made]])=0),"",tblChanges[[#This Row],[Life cost]]/tblChanges[[#This Row],[Parts made]]))</f>
        <v>0.086046511627907</v>
      </c>
      <c r="M75" s="41" t="str">
        <f>IF(tblChanges[[#This Row],[Date]]="","",IFERROR(INDEX(tblReasons[Category],MATCH(tblChanges[[#This Row],[Reason]],tblReasons[Reason],0)),""))</f>
        <v>Premature failure</v>
      </c>
      <c r="N75" s="42" t="str">
        <f>IF(NOT(ISNUMBER(tblChanges[[#This Row],[Life achieved]])),"",IF(tblChanges[[#This Row],[Life achieved]]&gt;=TargetLife,"On target",IF(tblChanges[[#This Row],[Life achieved]]&gt;=TargetLife*(1-0.05),"Near target","Below target")))</f>
        <v>Below target</v>
      </c>
      <c r="O75" s="43">
        <f>IF(tblChanges[[#This Row],[Date]]="","",IF(AND(tblChanges[[#This Row],[Date]]&gt;=FFrom,tblChanges[[#This Row],[Date]]&lt;=FTo,OR(DashMachine="",tblChanges[[#This Row],[Machine]]=DashMachine)),tblChanges[[#This Row],[Date]],""))</f>
        <v>46282</v>
      </c>
      <c r="P7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5" s="28" t="s">
        <v>158</v>
      </c>
    </row>
    <row r="76" spans="2:17" x14ac:dyDescent="0.25">
      <c r="B76" s="38">
        <v>46282</v>
      </c>
      <c r="C76" s="28" t="s">
        <v>92</v>
      </c>
      <c r="D76" s="28" t="s">
        <v>109</v>
      </c>
      <c r="E76" s="28" t="s">
        <v>157</v>
      </c>
      <c r="F76" s="34">
        <v>60</v>
      </c>
      <c r="G76" s="28" t="s">
        <v>133</v>
      </c>
      <c r="H76" s="39">
        <f>IF(tblChanges[[#This Row],[Date]]="","",IFERROR(INDEX(tblTools[Standard life (parts)],MATCH(tblChanges[[#This Row],[Tool ID]],tblTools[Tool ID],0)),""))</f>
        <v>90</v>
      </c>
      <c r="I76" s="35">
        <f>IF(tblChanges[[#This Row],[Date]]="","",IFERROR(INDEX(tblTools[Cost per life],MATCH(tblChanges[[#This Row],[Tool ID]],tblTools[Tool ID],0)),""))</f>
        <v>26</v>
      </c>
      <c r="J76" s="35">
        <f>IF(tblChanges[[#This Row],[Date]]="","",IF(OR(tblChanges[[#This Row],[Life cost]]="",tblChanges[[#This Row],[Standard life (parts)]]=""),"",tblChanges[[#This Row],[Parts made]]*tblChanges[[#This Row],[Life cost]]/tblChanges[[#This Row],[Standard life (parts)]]))</f>
        <v>17.3333333333333</v>
      </c>
      <c r="K76" s="40">
        <f>IF(tblChanges[[#This Row],[Date]]="","",IF(OR(tblChanges[[#This Row],[Standard life (parts)]]="",tblChanges[[#This Row],[Parts made]]=""),"",tblChanges[[#This Row],[Parts made]]/tblChanges[[#This Row],[Standard life (parts)]]))</f>
        <v>0.666666666666667</v>
      </c>
      <c r="L76" s="36">
        <f>IF(tblChanges[[#This Row],[Date]]="","",IF(OR(tblChanges[[#This Row],[Life cost]]="",N(tblChanges[[#This Row],[Parts made]])=0),"",tblChanges[[#This Row],[Life cost]]/tblChanges[[#This Row],[Parts made]]))</f>
        <v>0.433333333333333</v>
      </c>
      <c r="M76" s="41" t="str">
        <f>IF(tblChanges[[#This Row],[Date]]="","",IFERROR(INDEX(tblReasons[Category],MATCH(tblChanges[[#This Row],[Reason]],tblReasons[Reason],0)),""))</f>
        <v>Wear</v>
      </c>
      <c r="N76" s="42" t="str">
        <f>IF(NOT(ISNUMBER(tblChanges[[#This Row],[Life achieved]])),"",IF(tblChanges[[#This Row],[Life achieved]]&gt;=TargetLife,"On target",IF(tblChanges[[#This Row],[Life achieved]]&gt;=TargetLife*(1-0.05),"Near target","Below target")))</f>
        <v>Below target</v>
      </c>
      <c r="O76" s="43">
        <f>IF(tblChanges[[#This Row],[Date]]="","",IF(AND(tblChanges[[#This Row],[Date]]&gt;=FFrom,tblChanges[[#This Row],[Date]]&lt;=FTo,OR(DashMachine="",tblChanges[[#This Row],[Machine]]=DashMachine)),tblChanges[[#This Row],[Date]],""))</f>
        <v>46282</v>
      </c>
      <c r="P7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6" s="28" t="s">
        <v>158</v>
      </c>
    </row>
    <row r="77" spans="2:17" x14ac:dyDescent="0.25">
      <c r="B77" s="38">
        <v>46283</v>
      </c>
      <c r="C77" s="28" t="s">
        <v>87</v>
      </c>
      <c r="D77" s="28" t="s">
        <v>101</v>
      </c>
      <c r="E77" s="28" t="s">
        <v>159</v>
      </c>
      <c r="F77" s="34">
        <v>120</v>
      </c>
      <c r="G77" s="28" t="s">
        <v>125</v>
      </c>
      <c r="H77" s="39">
        <f>IF(tblChanges[[#This Row],[Date]]="","",IFERROR(INDEX(tblTools[Standard life (parts)],MATCH(tblChanges[[#This Row],[Tool ID]],tblTools[Tool ID],0)),""))</f>
        <v>120</v>
      </c>
      <c r="I77" s="35">
        <f>IF(tblChanges[[#This Row],[Date]]="","",IFERROR(INDEX(tblTools[Cost per life],MATCH(tblChanges[[#This Row],[Tool ID]],tblTools[Tool ID],0)),""))</f>
        <v>3.7</v>
      </c>
      <c r="J77" s="35">
        <f>IF(tblChanges[[#This Row],[Date]]="","",IF(OR(tblChanges[[#This Row],[Life cost]]="",tblChanges[[#This Row],[Standard life (parts)]]=""),"",tblChanges[[#This Row],[Parts made]]*tblChanges[[#This Row],[Life cost]]/tblChanges[[#This Row],[Standard life (parts)]]))</f>
        <v>3.7</v>
      </c>
      <c r="K77" s="40">
        <f>IF(tblChanges[[#This Row],[Date]]="","",IF(OR(tblChanges[[#This Row],[Standard life (parts)]]="",tblChanges[[#This Row],[Parts made]]=""),"",tblChanges[[#This Row],[Parts made]]/tblChanges[[#This Row],[Standard life (parts)]]))</f>
        <v>1</v>
      </c>
      <c r="L77" s="36">
        <f>IF(tblChanges[[#This Row],[Date]]="","",IF(OR(tblChanges[[#This Row],[Life cost]]="",N(tblChanges[[#This Row],[Parts made]])=0),"",tblChanges[[#This Row],[Life cost]]/tblChanges[[#This Row],[Parts made]]))</f>
        <v>0.0308333333333333</v>
      </c>
      <c r="M77" s="41" t="str">
        <f>IF(tblChanges[[#This Row],[Date]]="","",IFERROR(INDEX(tblReasons[Category],MATCH(tblChanges[[#This Row],[Reason]],tblReasons[Reason],0)),""))</f>
        <v>Planned</v>
      </c>
      <c r="N77" s="42" t="str">
        <f>IF(NOT(ISNUMBER(tblChanges[[#This Row],[Life achieved]])),"",IF(tblChanges[[#This Row],[Life achieved]]&gt;=TargetLife,"On target",IF(tblChanges[[#This Row],[Life achieved]]&gt;=TargetLife*(1-0.05),"Near target","Below target")))</f>
        <v>On target</v>
      </c>
      <c r="O77" s="43">
        <f>IF(tblChanges[[#This Row],[Date]]="","",IF(AND(tblChanges[[#This Row],[Date]]&gt;=FFrom,tblChanges[[#This Row],[Date]]&lt;=FTo,OR(DashMachine="",tblChanges[[#This Row],[Machine]]=DashMachine)),tblChanges[[#This Row],[Date]],""))</f>
        <v>46283</v>
      </c>
      <c r="P7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7" s="28" t="s">
        <v>158</v>
      </c>
    </row>
    <row r="78" spans="2:17" x14ac:dyDescent="0.25">
      <c r="B78" s="38">
        <v>46283</v>
      </c>
      <c r="C78" s="28" t="s">
        <v>87</v>
      </c>
      <c r="D78" s="28" t="s">
        <v>104</v>
      </c>
      <c r="E78" s="28" t="s">
        <v>159</v>
      </c>
      <c r="F78" s="34">
        <v>110</v>
      </c>
      <c r="G78" s="28" t="s">
        <v>133</v>
      </c>
      <c r="H78" s="39">
        <f>IF(tblChanges[[#This Row],[Date]]="","",IFERROR(INDEX(tblTools[Standard life (parts)],MATCH(tblChanges[[#This Row],[Tool ID]],tblTools[Tool ID],0)),""))</f>
        <v>160</v>
      </c>
      <c r="I78" s="35">
        <f>IF(tblChanges[[#This Row],[Date]]="","",IFERROR(INDEX(tblTools[Cost per life],MATCH(tblChanges[[#This Row],[Tool ID]],tblTools[Tool ID],0)),""))</f>
        <v>4.05</v>
      </c>
      <c r="J78" s="35">
        <f>IF(tblChanges[[#This Row],[Date]]="","",IF(OR(tblChanges[[#This Row],[Life cost]]="",tblChanges[[#This Row],[Standard life (parts)]]=""),"",tblChanges[[#This Row],[Parts made]]*tblChanges[[#This Row],[Life cost]]/tblChanges[[#This Row],[Standard life (parts)]]))</f>
        <v>2.784375</v>
      </c>
      <c r="K78" s="40">
        <f>IF(tblChanges[[#This Row],[Date]]="","",IF(OR(tblChanges[[#This Row],[Standard life (parts)]]="",tblChanges[[#This Row],[Parts made]]=""),"",tblChanges[[#This Row],[Parts made]]/tblChanges[[#This Row],[Standard life (parts)]]))</f>
        <v>0.6875</v>
      </c>
      <c r="L78" s="36">
        <f>IF(tblChanges[[#This Row],[Date]]="","",IF(OR(tblChanges[[#This Row],[Life cost]]="",N(tblChanges[[#This Row],[Parts made]])=0),"",tblChanges[[#This Row],[Life cost]]/tblChanges[[#This Row],[Parts made]]))</f>
        <v>0.0368181818181818</v>
      </c>
      <c r="M78" s="41" t="str">
        <f>IF(tblChanges[[#This Row],[Date]]="","",IFERROR(INDEX(tblReasons[Category],MATCH(tblChanges[[#This Row],[Reason]],tblReasons[Reason],0)),""))</f>
        <v>Wear</v>
      </c>
      <c r="N78" s="42" t="str">
        <f>IF(NOT(ISNUMBER(tblChanges[[#This Row],[Life achieved]])),"",IF(tblChanges[[#This Row],[Life achieved]]&gt;=TargetLife,"On target",IF(tblChanges[[#This Row],[Life achieved]]&gt;=TargetLife*(1-0.05),"Near target","Below target")))</f>
        <v>Below target</v>
      </c>
      <c r="O78" s="43">
        <f>IF(tblChanges[[#This Row],[Date]]="","",IF(AND(tblChanges[[#This Row],[Date]]&gt;=FFrom,tblChanges[[#This Row],[Date]]&lt;=FTo,OR(DashMachine="",tblChanges[[#This Row],[Machine]]=DashMachine)),tblChanges[[#This Row],[Date]],""))</f>
        <v>46283</v>
      </c>
      <c r="P7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8" s="28" t="s">
        <v>158</v>
      </c>
    </row>
    <row r="79" spans="2:17" x14ac:dyDescent="0.25">
      <c r="B79" s="38">
        <v>46283</v>
      </c>
      <c r="C79" s="28" t="s">
        <v>87</v>
      </c>
      <c r="D79" s="28" t="s">
        <v>106</v>
      </c>
      <c r="E79" s="28" t="s">
        <v>159</v>
      </c>
      <c r="F79" s="34">
        <v>150</v>
      </c>
      <c r="G79" s="28" t="s">
        <v>125</v>
      </c>
      <c r="H79" s="39">
        <f>IF(tblChanges[[#This Row],[Date]]="","",IFERROR(INDEX(tblTools[Standard life (parts)],MATCH(tblChanges[[#This Row],[Tool ID]],tblTools[Tool ID],0)),""))</f>
        <v>150</v>
      </c>
      <c r="I79" s="35">
        <f>IF(tblChanges[[#This Row],[Date]]="","",IFERROR(INDEX(tblTools[Cost per life],MATCH(tblChanges[[#This Row],[Tool ID]],tblTools[Tool ID],0)),""))</f>
        <v>9.75</v>
      </c>
      <c r="J79" s="35">
        <f>IF(tblChanges[[#This Row],[Date]]="","",IF(OR(tblChanges[[#This Row],[Life cost]]="",tblChanges[[#This Row],[Standard life (parts)]]=""),"",tblChanges[[#This Row],[Parts made]]*tblChanges[[#This Row],[Life cost]]/tblChanges[[#This Row],[Standard life (parts)]]))</f>
        <v>9.75</v>
      </c>
      <c r="K79" s="40">
        <f>IF(tblChanges[[#This Row],[Date]]="","",IF(OR(tblChanges[[#This Row],[Standard life (parts)]]="",tblChanges[[#This Row],[Parts made]]=""),"",tblChanges[[#This Row],[Parts made]]/tblChanges[[#This Row],[Standard life (parts)]]))</f>
        <v>1</v>
      </c>
      <c r="L79" s="36">
        <f>IF(tblChanges[[#This Row],[Date]]="","",IF(OR(tblChanges[[#This Row],[Life cost]]="",N(tblChanges[[#This Row],[Parts made]])=0),"",tblChanges[[#This Row],[Life cost]]/tblChanges[[#This Row],[Parts made]]))</f>
        <v>0.065</v>
      </c>
      <c r="M79" s="41" t="str">
        <f>IF(tblChanges[[#This Row],[Date]]="","",IFERROR(INDEX(tblReasons[Category],MATCH(tblChanges[[#This Row],[Reason]],tblReasons[Reason],0)),""))</f>
        <v>Planned</v>
      </c>
      <c r="N79" s="42" t="str">
        <f>IF(NOT(ISNUMBER(tblChanges[[#This Row],[Life achieved]])),"",IF(tblChanges[[#This Row],[Life achieved]]&gt;=TargetLife,"On target",IF(tblChanges[[#This Row],[Life achieved]]&gt;=TargetLife*(1-0.05),"Near target","Below target")))</f>
        <v>On target</v>
      </c>
      <c r="O79" s="43">
        <f>IF(tblChanges[[#This Row],[Date]]="","",IF(AND(tblChanges[[#This Row],[Date]]&gt;=FFrom,tblChanges[[#This Row],[Date]]&lt;=FTo,OR(DashMachine="",tblChanges[[#This Row],[Machine]]=DashMachine)),tblChanges[[#This Row],[Date]],""))</f>
        <v>46283</v>
      </c>
      <c r="P7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79" s="28" t="s">
        <v>158</v>
      </c>
    </row>
    <row r="80" spans="2:17" x14ac:dyDescent="0.25">
      <c r="B80" s="38">
        <v>46283</v>
      </c>
      <c r="C80" s="28" t="s">
        <v>90</v>
      </c>
      <c r="D80" s="28" t="s">
        <v>101</v>
      </c>
      <c r="E80" s="28" t="s">
        <v>163</v>
      </c>
      <c r="F80" s="34">
        <v>25</v>
      </c>
      <c r="G80" s="28" t="s">
        <v>137</v>
      </c>
      <c r="H80" s="39">
        <f>IF(tblChanges[[#This Row],[Date]]="","",IFERROR(INDEX(tblTools[Standard life (parts)],MATCH(tblChanges[[#This Row],[Tool ID]],tblTools[Tool ID],0)),""))</f>
        <v>120</v>
      </c>
      <c r="I80" s="35">
        <f>IF(tblChanges[[#This Row],[Date]]="","",IFERROR(INDEX(tblTools[Cost per life],MATCH(tblChanges[[#This Row],[Tool ID]],tblTools[Tool ID],0)),""))</f>
        <v>3.7</v>
      </c>
      <c r="J80" s="35">
        <f>IF(tblChanges[[#This Row],[Date]]="","",IF(OR(tblChanges[[#This Row],[Life cost]]="",tblChanges[[#This Row],[Standard life (parts)]]=""),"",tblChanges[[#This Row],[Parts made]]*tblChanges[[#This Row],[Life cost]]/tblChanges[[#This Row],[Standard life (parts)]]))</f>
        <v>0.770833333333333</v>
      </c>
      <c r="K80" s="40">
        <f>IF(tblChanges[[#This Row],[Date]]="","",IF(OR(tblChanges[[#This Row],[Standard life (parts)]]="",tblChanges[[#This Row],[Parts made]]=""),"",tblChanges[[#This Row],[Parts made]]/tblChanges[[#This Row],[Standard life (parts)]]))</f>
        <v>0.208333333333333</v>
      </c>
      <c r="L80" s="36">
        <f>IF(tblChanges[[#This Row],[Date]]="","",IF(OR(tblChanges[[#This Row],[Life cost]]="",N(tblChanges[[#This Row],[Parts made]])=0),"",tblChanges[[#This Row],[Life cost]]/tblChanges[[#This Row],[Parts made]]))</f>
        <v>0.148</v>
      </c>
      <c r="M80" s="41" t="str">
        <f>IF(tblChanges[[#This Row],[Date]]="","",IFERROR(INDEX(tblReasons[Category],MATCH(tblChanges[[#This Row],[Reason]],tblReasons[Reason],0)),""))</f>
        <v>Premature failure</v>
      </c>
      <c r="N80" s="42" t="str">
        <f>IF(NOT(ISNUMBER(tblChanges[[#This Row],[Life achieved]])),"",IF(tblChanges[[#This Row],[Life achieved]]&gt;=TargetLife,"On target",IF(tblChanges[[#This Row],[Life achieved]]&gt;=TargetLife*(1-0.05),"Near target","Below target")))</f>
        <v>Below target</v>
      </c>
      <c r="O80" s="43">
        <f>IF(tblChanges[[#This Row],[Date]]="","",IF(AND(tblChanges[[#This Row],[Date]]&gt;=FFrom,tblChanges[[#This Row],[Date]]&lt;=FTo,OR(DashMachine="",tblChanges[[#This Row],[Machine]]=DashMachine)),tblChanges[[#This Row],[Date]],""))</f>
        <v>46283</v>
      </c>
      <c r="P8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0" s="28" t="s">
        <v>164</v>
      </c>
    </row>
    <row r="81" spans="2:17" x14ac:dyDescent="0.25">
      <c r="B81" s="38">
        <v>46283</v>
      </c>
      <c r="C81" s="28" t="s">
        <v>90</v>
      </c>
      <c r="D81" s="28" t="s">
        <v>106</v>
      </c>
      <c r="E81" s="28" t="s">
        <v>163</v>
      </c>
      <c r="F81" s="34">
        <v>150</v>
      </c>
      <c r="G81" s="28" t="s">
        <v>125</v>
      </c>
      <c r="H81" s="39">
        <f>IF(tblChanges[[#This Row],[Date]]="","",IFERROR(INDEX(tblTools[Standard life (parts)],MATCH(tblChanges[[#This Row],[Tool ID]],tblTools[Tool ID],0)),""))</f>
        <v>150</v>
      </c>
      <c r="I81" s="35">
        <f>IF(tblChanges[[#This Row],[Date]]="","",IFERROR(INDEX(tblTools[Cost per life],MATCH(tblChanges[[#This Row],[Tool ID]],tblTools[Tool ID],0)),""))</f>
        <v>9.75</v>
      </c>
      <c r="J81" s="35">
        <f>IF(tblChanges[[#This Row],[Date]]="","",IF(OR(tblChanges[[#This Row],[Life cost]]="",tblChanges[[#This Row],[Standard life (parts)]]=""),"",tblChanges[[#This Row],[Parts made]]*tblChanges[[#This Row],[Life cost]]/tblChanges[[#This Row],[Standard life (parts)]]))</f>
        <v>9.75</v>
      </c>
      <c r="K81" s="40">
        <f>IF(tblChanges[[#This Row],[Date]]="","",IF(OR(tblChanges[[#This Row],[Standard life (parts)]]="",tblChanges[[#This Row],[Parts made]]=""),"",tblChanges[[#This Row],[Parts made]]/tblChanges[[#This Row],[Standard life (parts)]]))</f>
        <v>1</v>
      </c>
      <c r="L81" s="36">
        <f>IF(tblChanges[[#This Row],[Date]]="","",IF(OR(tblChanges[[#This Row],[Life cost]]="",N(tblChanges[[#This Row],[Parts made]])=0),"",tblChanges[[#This Row],[Life cost]]/tblChanges[[#This Row],[Parts made]]))</f>
        <v>0.065</v>
      </c>
      <c r="M81" s="41" t="str">
        <f>IF(tblChanges[[#This Row],[Date]]="","",IFERROR(INDEX(tblReasons[Category],MATCH(tblChanges[[#This Row],[Reason]],tblReasons[Reason],0)),""))</f>
        <v>Planned</v>
      </c>
      <c r="N81" s="42" t="str">
        <f>IF(NOT(ISNUMBER(tblChanges[[#This Row],[Life achieved]])),"",IF(tblChanges[[#This Row],[Life achieved]]&gt;=TargetLife,"On target",IF(tblChanges[[#This Row],[Life achieved]]&gt;=TargetLife*(1-0.05),"Near target","Below target")))</f>
        <v>On target</v>
      </c>
      <c r="O81" s="43">
        <f>IF(tblChanges[[#This Row],[Date]]="","",IF(AND(tblChanges[[#This Row],[Date]]&gt;=FFrom,tblChanges[[#This Row],[Date]]&lt;=FTo,OR(DashMachine="",tblChanges[[#This Row],[Machine]]=DashMachine)),tblChanges[[#This Row],[Date]],""))</f>
        <v>46283</v>
      </c>
      <c r="P8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1" s="28" t="s">
        <v>158</v>
      </c>
    </row>
    <row r="82" spans="2:17" x14ac:dyDescent="0.25">
      <c r="B82" s="38">
        <v>46286</v>
      </c>
      <c r="C82" s="28" t="s">
        <v>90</v>
      </c>
      <c r="D82" s="28" t="s">
        <v>101</v>
      </c>
      <c r="E82" s="28" t="s">
        <v>163</v>
      </c>
      <c r="F82" s="34">
        <v>48</v>
      </c>
      <c r="G82" s="28" t="s">
        <v>137</v>
      </c>
      <c r="H82" s="39">
        <f>IF(tblChanges[[#This Row],[Date]]="","",IFERROR(INDEX(tblTools[Standard life (parts)],MATCH(tblChanges[[#This Row],[Tool ID]],tblTools[Tool ID],0)),""))</f>
        <v>120</v>
      </c>
      <c r="I82" s="35">
        <f>IF(tblChanges[[#This Row],[Date]]="","",IFERROR(INDEX(tblTools[Cost per life],MATCH(tblChanges[[#This Row],[Tool ID]],tblTools[Tool ID],0)),""))</f>
        <v>3.7</v>
      </c>
      <c r="J82" s="35">
        <f>IF(tblChanges[[#This Row],[Date]]="","",IF(OR(tblChanges[[#This Row],[Life cost]]="",tblChanges[[#This Row],[Standard life (parts)]]=""),"",tblChanges[[#This Row],[Parts made]]*tblChanges[[#This Row],[Life cost]]/tblChanges[[#This Row],[Standard life (parts)]]))</f>
        <v>1.48</v>
      </c>
      <c r="K82" s="40">
        <f>IF(tblChanges[[#This Row],[Date]]="","",IF(OR(tblChanges[[#This Row],[Standard life (parts)]]="",tblChanges[[#This Row],[Parts made]]=""),"",tblChanges[[#This Row],[Parts made]]/tblChanges[[#This Row],[Standard life (parts)]]))</f>
        <v>0.4</v>
      </c>
      <c r="L82" s="36">
        <f>IF(tblChanges[[#This Row],[Date]]="","",IF(OR(tblChanges[[#This Row],[Life cost]]="",N(tblChanges[[#This Row],[Parts made]])=0),"",tblChanges[[#This Row],[Life cost]]/tblChanges[[#This Row],[Parts made]]))</f>
        <v>0.0770833333333333</v>
      </c>
      <c r="M82" s="41" t="str">
        <f>IF(tblChanges[[#This Row],[Date]]="","",IFERROR(INDEX(tblReasons[Category],MATCH(tblChanges[[#This Row],[Reason]],tblReasons[Reason],0)),""))</f>
        <v>Premature failure</v>
      </c>
      <c r="N82" s="42" t="str">
        <f>IF(NOT(ISNUMBER(tblChanges[[#This Row],[Life achieved]])),"",IF(tblChanges[[#This Row],[Life achieved]]&gt;=TargetLife,"On target",IF(tblChanges[[#This Row],[Life achieved]]&gt;=TargetLife*(1-0.05),"Near target","Below target")))</f>
        <v>Below target</v>
      </c>
      <c r="O82" s="43">
        <f>IF(tblChanges[[#This Row],[Date]]="","",IF(AND(tblChanges[[#This Row],[Date]]&gt;=FFrom,tblChanges[[#This Row],[Date]]&lt;=FTo,OR(DashMachine="",tblChanges[[#This Row],[Machine]]=DashMachine)),tblChanges[[#This Row],[Date]],""))</f>
        <v>46286</v>
      </c>
      <c r="P8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2" s="28" t="s">
        <v>164</v>
      </c>
    </row>
    <row r="83" spans="2:17" x14ac:dyDescent="0.25">
      <c r="B83" s="38">
        <v>46286</v>
      </c>
      <c r="C83" s="28" t="s">
        <v>90</v>
      </c>
      <c r="D83" s="28" t="s">
        <v>101</v>
      </c>
      <c r="E83" s="28" t="s">
        <v>163</v>
      </c>
      <c r="F83" s="34">
        <v>21</v>
      </c>
      <c r="G83" s="28" t="s">
        <v>140</v>
      </c>
      <c r="H83" s="39">
        <f>IF(tblChanges[[#This Row],[Date]]="","",IFERROR(INDEX(tblTools[Standard life (parts)],MATCH(tblChanges[[#This Row],[Tool ID]],tblTools[Tool ID],0)),""))</f>
        <v>120</v>
      </c>
      <c r="I83" s="35">
        <f>IF(tblChanges[[#This Row],[Date]]="","",IFERROR(INDEX(tblTools[Cost per life],MATCH(tblChanges[[#This Row],[Tool ID]],tblTools[Tool ID],0)),""))</f>
        <v>3.7</v>
      </c>
      <c r="J83" s="35">
        <f>IF(tblChanges[[#This Row],[Date]]="","",IF(OR(tblChanges[[#This Row],[Life cost]]="",tblChanges[[#This Row],[Standard life (parts)]]=""),"",tblChanges[[#This Row],[Parts made]]*tblChanges[[#This Row],[Life cost]]/tblChanges[[#This Row],[Standard life (parts)]]))</f>
        <v>0.6475</v>
      </c>
      <c r="K83" s="40">
        <f>IF(tblChanges[[#This Row],[Date]]="","",IF(OR(tblChanges[[#This Row],[Standard life (parts)]]="",tblChanges[[#This Row],[Parts made]]=""),"",tblChanges[[#This Row],[Parts made]]/tblChanges[[#This Row],[Standard life (parts)]]))</f>
        <v>0.175</v>
      </c>
      <c r="L83" s="36">
        <f>IF(tblChanges[[#This Row],[Date]]="","",IF(OR(tblChanges[[#This Row],[Life cost]]="",N(tblChanges[[#This Row],[Parts made]])=0),"",tblChanges[[#This Row],[Life cost]]/tblChanges[[#This Row],[Parts made]]))</f>
        <v>0.176190476190476</v>
      </c>
      <c r="M83" s="41" t="str">
        <f>IF(tblChanges[[#This Row],[Date]]="","",IFERROR(INDEX(tblReasons[Category],MATCH(tblChanges[[#This Row],[Reason]],tblReasons[Reason],0)),""))</f>
        <v>Premature failure</v>
      </c>
      <c r="N83" s="42" t="str">
        <f>IF(NOT(ISNUMBER(tblChanges[[#This Row],[Life achieved]])),"",IF(tblChanges[[#This Row],[Life achieved]]&gt;=TargetLife,"On target",IF(tblChanges[[#This Row],[Life achieved]]&gt;=TargetLife*(1-0.05),"Near target","Below target")))</f>
        <v>Below target</v>
      </c>
      <c r="O83" s="43">
        <f>IF(tblChanges[[#This Row],[Date]]="","",IF(AND(tblChanges[[#This Row],[Date]]&gt;=FFrom,tblChanges[[#This Row],[Date]]&lt;=FTo,OR(DashMachine="",tblChanges[[#This Row],[Machine]]=DashMachine)),tblChanges[[#This Row],[Date]],""))</f>
        <v>46286</v>
      </c>
      <c r="P8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3" s="28" t="s">
        <v>158</v>
      </c>
    </row>
    <row r="84" spans="2:17" x14ac:dyDescent="0.25">
      <c r="B84" s="38">
        <v>46286</v>
      </c>
      <c r="C84" s="28" t="s">
        <v>92</v>
      </c>
      <c r="D84" s="28" t="s">
        <v>109</v>
      </c>
      <c r="E84" s="28" t="s">
        <v>157</v>
      </c>
      <c r="F84" s="34">
        <v>90</v>
      </c>
      <c r="G84" s="28" t="s">
        <v>125</v>
      </c>
      <c r="H84" s="39">
        <f>IF(tblChanges[[#This Row],[Date]]="","",IFERROR(INDEX(tblTools[Standard life (parts)],MATCH(tblChanges[[#This Row],[Tool ID]],tblTools[Tool ID],0)),""))</f>
        <v>90</v>
      </c>
      <c r="I84" s="35">
        <f>IF(tblChanges[[#This Row],[Date]]="","",IFERROR(INDEX(tblTools[Cost per life],MATCH(tblChanges[[#This Row],[Tool ID]],tblTools[Tool ID],0)),""))</f>
        <v>26</v>
      </c>
      <c r="J84" s="35">
        <f>IF(tblChanges[[#This Row],[Date]]="","",IF(OR(tblChanges[[#This Row],[Life cost]]="",tblChanges[[#This Row],[Standard life (parts)]]=""),"",tblChanges[[#This Row],[Parts made]]*tblChanges[[#This Row],[Life cost]]/tblChanges[[#This Row],[Standard life (parts)]]))</f>
        <v>26</v>
      </c>
      <c r="K84" s="40">
        <f>IF(tblChanges[[#This Row],[Date]]="","",IF(OR(tblChanges[[#This Row],[Standard life (parts)]]="",tblChanges[[#This Row],[Parts made]]=""),"",tblChanges[[#This Row],[Parts made]]/tblChanges[[#This Row],[Standard life (parts)]]))</f>
        <v>1</v>
      </c>
      <c r="L84" s="36">
        <f>IF(tblChanges[[#This Row],[Date]]="","",IF(OR(tblChanges[[#This Row],[Life cost]]="",N(tblChanges[[#This Row],[Parts made]])=0),"",tblChanges[[#This Row],[Life cost]]/tblChanges[[#This Row],[Parts made]]))</f>
        <v>0.288888888888889</v>
      </c>
      <c r="M84" s="41" t="str">
        <f>IF(tblChanges[[#This Row],[Date]]="","",IFERROR(INDEX(tblReasons[Category],MATCH(tblChanges[[#This Row],[Reason]],tblReasons[Reason],0)),""))</f>
        <v>Planned</v>
      </c>
      <c r="N84" s="42" t="str">
        <f>IF(NOT(ISNUMBER(tblChanges[[#This Row],[Life achieved]])),"",IF(tblChanges[[#This Row],[Life achieved]]&gt;=TargetLife,"On target",IF(tblChanges[[#This Row],[Life achieved]]&gt;=TargetLife*(1-0.05),"Near target","Below target")))</f>
        <v>On target</v>
      </c>
      <c r="O84" s="43">
        <f>IF(tblChanges[[#This Row],[Date]]="","",IF(AND(tblChanges[[#This Row],[Date]]&gt;=FFrom,tblChanges[[#This Row],[Date]]&lt;=FTo,OR(DashMachine="",tblChanges[[#This Row],[Machine]]=DashMachine)),tblChanges[[#This Row],[Date]],""))</f>
        <v>46286</v>
      </c>
      <c r="P8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4" s="28" t="s">
        <v>158</v>
      </c>
    </row>
    <row r="85" spans="2:17" x14ac:dyDescent="0.25">
      <c r="B85" s="38">
        <v>46286</v>
      </c>
      <c r="C85" s="28" t="s">
        <v>97</v>
      </c>
      <c r="D85" s="28" t="s">
        <v>109</v>
      </c>
      <c r="E85" s="28" t="s">
        <v>162</v>
      </c>
      <c r="F85" s="34">
        <v>90</v>
      </c>
      <c r="G85" s="28" t="s">
        <v>125</v>
      </c>
      <c r="H85" s="39">
        <f>IF(tblChanges[[#This Row],[Date]]="","",IFERROR(INDEX(tblTools[Standard life (parts)],MATCH(tblChanges[[#This Row],[Tool ID]],tblTools[Tool ID],0)),""))</f>
        <v>90</v>
      </c>
      <c r="I85" s="35">
        <f>IF(tblChanges[[#This Row],[Date]]="","",IFERROR(INDEX(tblTools[Cost per life],MATCH(tblChanges[[#This Row],[Tool ID]],tblTools[Tool ID],0)),""))</f>
        <v>26</v>
      </c>
      <c r="J85" s="35">
        <f>IF(tblChanges[[#This Row],[Date]]="","",IF(OR(tblChanges[[#This Row],[Life cost]]="",tblChanges[[#This Row],[Standard life (parts)]]=""),"",tblChanges[[#This Row],[Parts made]]*tblChanges[[#This Row],[Life cost]]/tblChanges[[#This Row],[Standard life (parts)]]))</f>
        <v>26</v>
      </c>
      <c r="K85" s="40">
        <f>IF(tblChanges[[#This Row],[Date]]="","",IF(OR(tblChanges[[#This Row],[Standard life (parts)]]="",tblChanges[[#This Row],[Parts made]]=""),"",tblChanges[[#This Row],[Parts made]]/tblChanges[[#This Row],[Standard life (parts)]]))</f>
        <v>1</v>
      </c>
      <c r="L85" s="36">
        <f>IF(tblChanges[[#This Row],[Date]]="","",IF(OR(tblChanges[[#This Row],[Life cost]]="",N(tblChanges[[#This Row],[Parts made]])=0),"",tblChanges[[#This Row],[Life cost]]/tblChanges[[#This Row],[Parts made]]))</f>
        <v>0.288888888888889</v>
      </c>
      <c r="M85" s="41" t="str">
        <f>IF(tblChanges[[#This Row],[Date]]="","",IFERROR(INDEX(tblReasons[Category],MATCH(tblChanges[[#This Row],[Reason]],tblReasons[Reason],0)),""))</f>
        <v>Planned</v>
      </c>
      <c r="N85" s="42" t="str">
        <f>IF(NOT(ISNUMBER(tblChanges[[#This Row],[Life achieved]])),"",IF(tblChanges[[#This Row],[Life achieved]]&gt;=TargetLife,"On target",IF(tblChanges[[#This Row],[Life achieved]]&gt;=TargetLife*(1-0.05),"Near target","Below target")))</f>
        <v>On target</v>
      </c>
      <c r="O85" s="43">
        <f>IF(tblChanges[[#This Row],[Date]]="","",IF(AND(tblChanges[[#This Row],[Date]]&gt;=FFrom,tblChanges[[#This Row],[Date]]&lt;=FTo,OR(DashMachine="",tblChanges[[#This Row],[Machine]]=DashMachine)),tblChanges[[#This Row],[Date]],""))</f>
        <v>46286</v>
      </c>
      <c r="P8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5" s="28" t="s">
        <v>158</v>
      </c>
    </row>
    <row r="86" spans="2:17" x14ac:dyDescent="0.25">
      <c r="B86" s="38">
        <v>46287</v>
      </c>
      <c r="C86" s="28" t="s">
        <v>87</v>
      </c>
      <c r="D86" s="28" t="s">
        <v>101</v>
      </c>
      <c r="E86" s="28" t="s">
        <v>159</v>
      </c>
      <c r="F86" s="34">
        <v>120</v>
      </c>
      <c r="G86" s="28" t="s">
        <v>125</v>
      </c>
      <c r="H86" s="39">
        <f>IF(tblChanges[[#This Row],[Date]]="","",IFERROR(INDEX(tblTools[Standard life (parts)],MATCH(tblChanges[[#This Row],[Tool ID]],tblTools[Tool ID],0)),""))</f>
        <v>120</v>
      </c>
      <c r="I86" s="35">
        <f>IF(tblChanges[[#This Row],[Date]]="","",IFERROR(INDEX(tblTools[Cost per life],MATCH(tblChanges[[#This Row],[Tool ID]],tblTools[Tool ID],0)),""))</f>
        <v>3.7</v>
      </c>
      <c r="J86" s="35">
        <f>IF(tblChanges[[#This Row],[Date]]="","",IF(OR(tblChanges[[#This Row],[Life cost]]="",tblChanges[[#This Row],[Standard life (parts)]]=""),"",tblChanges[[#This Row],[Parts made]]*tblChanges[[#This Row],[Life cost]]/tblChanges[[#This Row],[Standard life (parts)]]))</f>
        <v>3.7</v>
      </c>
      <c r="K86" s="40">
        <f>IF(tblChanges[[#This Row],[Date]]="","",IF(OR(tblChanges[[#This Row],[Standard life (parts)]]="",tblChanges[[#This Row],[Parts made]]=""),"",tblChanges[[#This Row],[Parts made]]/tblChanges[[#This Row],[Standard life (parts)]]))</f>
        <v>1</v>
      </c>
      <c r="L86" s="36">
        <f>IF(tblChanges[[#This Row],[Date]]="","",IF(OR(tblChanges[[#This Row],[Life cost]]="",N(tblChanges[[#This Row],[Parts made]])=0),"",tblChanges[[#This Row],[Life cost]]/tblChanges[[#This Row],[Parts made]]))</f>
        <v>0.0308333333333333</v>
      </c>
      <c r="M86" s="41" t="str">
        <f>IF(tblChanges[[#This Row],[Date]]="","",IFERROR(INDEX(tblReasons[Category],MATCH(tblChanges[[#This Row],[Reason]],tblReasons[Reason],0)),""))</f>
        <v>Planned</v>
      </c>
      <c r="N86" s="42" t="str">
        <f>IF(NOT(ISNUMBER(tblChanges[[#This Row],[Life achieved]])),"",IF(tblChanges[[#This Row],[Life achieved]]&gt;=TargetLife,"On target",IF(tblChanges[[#This Row],[Life achieved]]&gt;=TargetLife*(1-0.05),"Near target","Below target")))</f>
        <v>On target</v>
      </c>
      <c r="O86" s="43">
        <f>IF(tblChanges[[#This Row],[Date]]="","",IF(AND(tblChanges[[#This Row],[Date]]&gt;=FFrom,tblChanges[[#This Row],[Date]]&lt;=FTo,OR(DashMachine="",tblChanges[[#This Row],[Machine]]=DashMachine)),tblChanges[[#This Row],[Date]],""))</f>
        <v>46287</v>
      </c>
      <c r="P8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6" s="28" t="s">
        <v>158</v>
      </c>
    </row>
    <row r="87" spans="2:17" x14ac:dyDescent="0.25">
      <c r="B87" s="38">
        <v>46287</v>
      </c>
      <c r="C87" s="28" t="s">
        <v>90</v>
      </c>
      <c r="D87" s="28" t="s">
        <v>101</v>
      </c>
      <c r="E87" s="28" t="s">
        <v>163</v>
      </c>
      <c r="F87" s="34">
        <v>42</v>
      </c>
      <c r="G87" s="28" t="s">
        <v>137</v>
      </c>
      <c r="H87" s="39">
        <f>IF(tblChanges[[#This Row],[Date]]="","",IFERROR(INDEX(tblTools[Standard life (parts)],MATCH(tblChanges[[#This Row],[Tool ID]],tblTools[Tool ID],0)),""))</f>
        <v>120</v>
      </c>
      <c r="I87" s="35">
        <f>IF(tblChanges[[#This Row],[Date]]="","",IFERROR(INDEX(tblTools[Cost per life],MATCH(tblChanges[[#This Row],[Tool ID]],tblTools[Tool ID],0)),""))</f>
        <v>3.7</v>
      </c>
      <c r="J87" s="35">
        <f>IF(tblChanges[[#This Row],[Date]]="","",IF(OR(tblChanges[[#This Row],[Life cost]]="",tblChanges[[#This Row],[Standard life (parts)]]=""),"",tblChanges[[#This Row],[Parts made]]*tblChanges[[#This Row],[Life cost]]/tblChanges[[#This Row],[Standard life (parts)]]))</f>
        <v>1.295</v>
      </c>
      <c r="K87" s="40">
        <f>IF(tblChanges[[#This Row],[Date]]="","",IF(OR(tblChanges[[#This Row],[Standard life (parts)]]="",tblChanges[[#This Row],[Parts made]]=""),"",tblChanges[[#This Row],[Parts made]]/tblChanges[[#This Row],[Standard life (parts)]]))</f>
        <v>0.35</v>
      </c>
      <c r="L87" s="36">
        <f>IF(tblChanges[[#This Row],[Date]]="","",IF(OR(tblChanges[[#This Row],[Life cost]]="",N(tblChanges[[#This Row],[Parts made]])=0),"",tblChanges[[#This Row],[Life cost]]/tblChanges[[#This Row],[Parts made]]))</f>
        <v>0.0880952380952381</v>
      </c>
      <c r="M87" s="41" t="str">
        <f>IF(tblChanges[[#This Row],[Date]]="","",IFERROR(INDEX(tblReasons[Category],MATCH(tblChanges[[#This Row],[Reason]],tblReasons[Reason],0)),""))</f>
        <v>Premature failure</v>
      </c>
      <c r="N87" s="42" t="str">
        <f>IF(NOT(ISNUMBER(tblChanges[[#This Row],[Life achieved]])),"",IF(tblChanges[[#This Row],[Life achieved]]&gt;=TargetLife,"On target",IF(tblChanges[[#This Row],[Life achieved]]&gt;=TargetLife*(1-0.05),"Near target","Below target")))</f>
        <v>Below target</v>
      </c>
      <c r="O87" s="43">
        <f>IF(tblChanges[[#This Row],[Date]]="","",IF(AND(tblChanges[[#This Row],[Date]]&gt;=FFrom,tblChanges[[#This Row],[Date]]&lt;=FTo,OR(DashMachine="",tblChanges[[#This Row],[Machine]]=DashMachine)),tblChanges[[#This Row],[Date]],""))</f>
        <v>46287</v>
      </c>
      <c r="P8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7" s="28" t="s">
        <v>158</v>
      </c>
    </row>
    <row r="88" spans="2:17" x14ac:dyDescent="0.25">
      <c r="B88" s="38">
        <v>46287</v>
      </c>
      <c r="C88" s="28" t="s">
        <v>92</v>
      </c>
      <c r="D88" s="28" t="s">
        <v>112</v>
      </c>
      <c r="E88" s="28" t="s">
        <v>157</v>
      </c>
      <c r="F88" s="34">
        <v>220</v>
      </c>
      <c r="G88" s="28" t="s">
        <v>144</v>
      </c>
      <c r="H88" s="39">
        <f>IF(tblChanges[[#This Row],[Date]]="","",IFERROR(INDEX(tblTools[Standard life (parts)],MATCH(tblChanges[[#This Row],[Tool ID]],tblTools[Tool ID],0)),""))</f>
        <v>260</v>
      </c>
      <c r="I88" s="35">
        <f>IF(tblChanges[[#This Row],[Date]]="","",IFERROR(INDEX(tblTools[Cost per life],MATCH(tblChanges[[#This Row],[Tool ID]],tblTools[Tool ID],0)),""))</f>
        <v>38.6666666666667</v>
      </c>
      <c r="J88" s="35">
        <f>IF(tblChanges[[#This Row],[Date]]="","",IF(OR(tblChanges[[#This Row],[Life cost]]="",tblChanges[[#This Row],[Standard life (parts)]]=""),"",tblChanges[[#This Row],[Parts made]]*tblChanges[[#This Row],[Life cost]]/tblChanges[[#This Row],[Standard life (parts)]]))</f>
        <v>32.7179487179487</v>
      </c>
      <c r="K88" s="40">
        <f>IF(tblChanges[[#This Row],[Date]]="","",IF(OR(tblChanges[[#This Row],[Standard life (parts)]]="",tblChanges[[#This Row],[Parts made]]=""),"",tblChanges[[#This Row],[Parts made]]/tblChanges[[#This Row],[Standard life (parts)]]))</f>
        <v>0.846153846153846</v>
      </c>
      <c r="L88" s="36">
        <f>IF(tblChanges[[#This Row],[Date]]="","",IF(OR(tblChanges[[#This Row],[Life cost]]="",N(tblChanges[[#This Row],[Parts made]])=0),"",tblChanges[[#This Row],[Life cost]]/tblChanges[[#This Row],[Parts made]]))</f>
        <v>0.175757575757576</v>
      </c>
      <c r="M88" s="41" t="str">
        <f>IF(tblChanges[[#This Row],[Date]]="","",IFERROR(INDEX(tblReasons[Category],MATCH(tblChanges[[#This Row],[Reason]],tblReasons[Reason],0)),""))</f>
        <v>Other</v>
      </c>
      <c r="N88" s="42" t="str">
        <f>IF(NOT(ISNUMBER(tblChanges[[#This Row],[Life achieved]])),"",IF(tblChanges[[#This Row],[Life achieved]]&gt;=TargetLife,"On target",IF(tblChanges[[#This Row],[Life achieved]]&gt;=TargetLife*(1-0.05),"Near target","Below target")))</f>
        <v>Below target</v>
      </c>
      <c r="O88" s="43">
        <f>IF(tblChanges[[#This Row],[Date]]="","",IF(AND(tblChanges[[#This Row],[Date]]&gt;=FFrom,tblChanges[[#This Row],[Date]]&lt;=FTo,OR(DashMachine="",tblChanges[[#This Row],[Machine]]=DashMachine)),tblChanges[[#This Row],[Date]],""))</f>
        <v>46287</v>
      </c>
      <c r="P8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8" s="28" t="s">
        <v>158</v>
      </c>
    </row>
    <row r="89" spans="2:17" x14ac:dyDescent="0.25">
      <c r="B89" s="38">
        <v>46287</v>
      </c>
      <c r="C89" s="28" t="s">
        <v>92</v>
      </c>
      <c r="D89" s="28" t="s">
        <v>115</v>
      </c>
      <c r="E89" s="28" t="s">
        <v>157</v>
      </c>
      <c r="F89" s="34">
        <v>500</v>
      </c>
      <c r="G89" s="28" t="s">
        <v>128</v>
      </c>
      <c r="H89" s="39">
        <f>IF(tblChanges[[#This Row],[Date]]="","",IFERROR(INDEX(tblTools[Standard life (parts)],MATCH(tblChanges[[#This Row],[Tool ID]],tblTools[Tool ID],0)),""))</f>
        <v>600</v>
      </c>
      <c r="I89" s="35">
        <f>IF(tblChanges[[#This Row],[Date]]="","",IFERROR(INDEX(tblTools[Cost per life],MATCH(tblChanges[[#This Row],[Tool ID]],tblTools[Tool ID],0)),""))</f>
        <v>34</v>
      </c>
      <c r="J89" s="35">
        <f>IF(tblChanges[[#This Row],[Date]]="","",IF(OR(tblChanges[[#This Row],[Life cost]]="",tblChanges[[#This Row],[Standard life (parts)]]=""),"",tblChanges[[#This Row],[Parts made]]*tblChanges[[#This Row],[Life cost]]/tblChanges[[#This Row],[Standard life (parts)]]))</f>
        <v>28.3333333333333</v>
      </c>
      <c r="K89" s="40">
        <f>IF(tblChanges[[#This Row],[Date]]="","",IF(OR(tblChanges[[#This Row],[Standard life (parts)]]="",tblChanges[[#This Row],[Parts made]]=""),"",tblChanges[[#This Row],[Parts made]]/tblChanges[[#This Row],[Standard life (parts)]]))</f>
        <v>0.833333333333333</v>
      </c>
      <c r="L89" s="36">
        <f>IF(tblChanges[[#This Row],[Date]]="","",IF(OR(tblChanges[[#This Row],[Life cost]]="",N(tblChanges[[#This Row],[Parts made]])=0),"",tblChanges[[#This Row],[Life cost]]/tblChanges[[#This Row],[Parts made]]))</f>
        <v>0.068</v>
      </c>
      <c r="M89" s="41" t="str">
        <f>IF(tblChanges[[#This Row],[Date]]="","",IFERROR(INDEX(tblReasons[Category],MATCH(tblChanges[[#This Row],[Reason]],tblReasons[Reason],0)),""))</f>
        <v>Wear</v>
      </c>
      <c r="N89" s="42" t="str">
        <f>IF(NOT(ISNUMBER(tblChanges[[#This Row],[Life achieved]])),"",IF(tblChanges[[#This Row],[Life achieved]]&gt;=TargetLife,"On target",IF(tblChanges[[#This Row],[Life achieved]]&gt;=TargetLife*(1-0.05),"Near target","Below target")))</f>
        <v>Below target</v>
      </c>
      <c r="O89" s="43">
        <f>IF(tblChanges[[#This Row],[Date]]="","",IF(AND(tblChanges[[#This Row],[Date]]&gt;=FFrom,tblChanges[[#This Row],[Date]]&lt;=FTo,OR(DashMachine="",tblChanges[[#This Row],[Machine]]=DashMachine)),tblChanges[[#This Row],[Date]],""))</f>
        <v>46287</v>
      </c>
      <c r="P8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89" s="28" t="s">
        <v>158</v>
      </c>
    </row>
    <row r="90" spans="2:17" x14ac:dyDescent="0.25">
      <c r="B90" s="38">
        <v>46287</v>
      </c>
      <c r="C90" s="28" t="s">
        <v>95</v>
      </c>
      <c r="D90" s="28" t="s">
        <v>112</v>
      </c>
      <c r="E90" s="28" t="s">
        <v>161</v>
      </c>
      <c r="F90" s="34">
        <v>260</v>
      </c>
      <c r="G90" s="28" t="s">
        <v>125</v>
      </c>
      <c r="H90" s="39">
        <f>IF(tblChanges[[#This Row],[Date]]="","",IFERROR(INDEX(tblTools[Standard life (parts)],MATCH(tblChanges[[#This Row],[Tool ID]],tblTools[Tool ID],0)),""))</f>
        <v>260</v>
      </c>
      <c r="I90" s="35">
        <f>IF(tblChanges[[#This Row],[Date]]="","",IFERROR(INDEX(tblTools[Cost per life],MATCH(tblChanges[[#This Row],[Tool ID]],tblTools[Tool ID],0)),""))</f>
        <v>38.6666666666667</v>
      </c>
      <c r="J90" s="35">
        <f>IF(tblChanges[[#This Row],[Date]]="","",IF(OR(tblChanges[[#This Row],[Life cost]]="",tblChanges[[#This Row],[Standard life (parts)]]=""),"",tblChanges[[#This Row],[Parts made]]*tblChanges[[#This Row],[Life cost]]/tblChanges[[#This Row],[Standard life (parts)]]))</f>
        <v>38.6666666666667</v>
      </c>
      <c r="K90" s="40">
        <f>IF(tblChanges[[#This Row],[Date]]="","",IF(OR(tblChanges[[#This Row],[Standard life (parts)]]="",tblChanges[[#This Row],[Parts made]]=""),"",tblChanges[[#This Row],[Parts made]]/tblChanges[[#This Row],[Standard life (parts)]]))</f>
        <v>1</v>
      </c>
      <c r="L90" s="36">
        <f>IF(tblChanges[[#This Row],[Date]]="","",IF(OR(tblChanges[[#This Row],[Life cost]]="",N(tblChanges[[#This Row],[Parts made]])=0),"",tblChanges[[#This Row],[Life cost]]/tblChanges[[#This Row],[Parts made]]))</f>
        <v>0.148717948717949</v>
      </c>
      <c r="M90" s="41" t="str">
        <f>IF(tblChanges[[#This Row],[Date]]="","",IFERROR(INDEX(tblReasons[Category],MATCH(tblChanges[[#This Row],[Reason]],tblReasons[Reason],0)),""))</f>
        <v>Planned</v>
      </c>
      <c r="N90" s="42" t="str">
        <f>IF(NOT(ISNUMBER(tblChanges[[#This Row],[Life achieved]])),"",IF(tblChanges[[#This Row],[Life achieved]]&gt;=TargetLife,"On target",IF(tblChanges[[#This Row],[Life achieved]]&gt;=TargetLife*(1-0.05),"Near target","Below target")))</f>
        <v>On target</v>
      </c>
      <c r="O90" s="43">
        <f>IF(tblChanges[[#This Row],[Date]]="","",IF(AND(tblChanges[[#This Row],[Date]]&gt;=FFrom,tblChanges[[#This Row],[Date]]&lt;=FTo,OR(DashMachine="",tblChanges[[#This Row],[Machine]]=DashMachine)),tblChanges[[#This Row],[Date]],""))</f>
        <v>46287</v>
      </c>
      <c r="P9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0" s="28" t="s">
        <v>158</v>
      </c>
    </row>
    <row r="91" spans="2:17" x14ac:dyDescent="0.25">
      <c r="B91" s="38">
        <v>46288</v>
      </c>
      <c r="C91" s="28" t="s">
        <v>87</v>
      </c>
      <c r="D91" s="28" t="s">
        <v>104</v>
      </c>
      <c r="E91" s="28" t="s">
        <v>159</v>
      </c>
      <c r="F91" s="34">
        <v>160</v>
      </c>
      <c r="G91" s="28" t="s">
        <v>125</v>
      </c>
      <c r="H91" s="39">
        <f>IF(tblChanges[[#This Row],[Date]]="","",IFERROR(INDEX(tblTools[Standard life (parts)],MATCH(tblChanges[[#This Row],[Tool ID]],tblTools[Tool ID],0)),""))</f>
        <v>160</v>
      </c>
      <c r="I91" s="35">
        <f>IF(tblChanges[[#This Row],[Date]]="","",IFERROR(INDEX(tblTools[Cost per life],MATCH(tblChanges[[#This Row],[Tool ID]],tblTools[Tool ID],0)),""))</f>
        <v>4.05</v>
      </c>
      <c r="J91" s="35">
        <f>IF(tblChanges[[#This Row],[Date]]="","",IF(OR(tblChanges[[#This Row],[Life cost]]="",tblChanges[[#This Row],[Standard life (parts)]]=""),"",tblChanges[[#This Row],[Parts made]]*tblChanges[[#This Row],[Life cost]]/tblChanges[[#This Row],[Standard life (parts)]]))</f>
        <v>4.05</v>
      </c>
      <c r="K91" s="40">
        <f>IF(tblChanges[[#This Row],[Date]]="","",IF(OR(tblChanges[[#This Row],[Standard life (parts)]]="",tblChanges[[#This Row],[Parts made]]=""),"",tblChanges[[#This Row],[Parts made]]/tblChanges[[#This Row],[Standard life (parts)]]))</f>
        <v>1</v>
      </c>
      <c r="L91" s="36">
        <f>IF(tblChanges[[#This Row],[Date]]="","",IF(OR(tblChanges[[#This Row],[Life cost]]="",N(tblChanges[[#This Row],[Parts made]])=0),"",tblChanges[[#This Row],[Life cost]]/tblChanges[[#This Row],[Parts made]]))</f>
        <v>0.0253125</v>
      </c>
      <c r="M91" s="41" t="str">
        <f>IF(tblChanges[[#This Row],[Date]]="","",IFERROR(INDEX(tblReasons[Category],MATCH(tblChanges[[#This Row],[Reason]],tblReasons[Reason],0)),""))</f>
        <v>Planned</v>
      </c>
      <c r="N91" s="42" t="str">
        <f>IF(NOT(ISNUMBER(tblChanges[[#This Row],[Life achieved]])),"",IF(tblChanges[[#This Row],[Life achieved]]&gt;=TargetLife,"On target",IF(tblChanges[[#This Row],[Life achieved]]&gt;=TargetLife*(1-0.05),"Near target","Below target")))</f>
        <v>On target</v>
      </c>
      <c r="O91" s="43">
        <f>IF(tblChanges[[#This Row],[Date]]="","",IF(AND(tblChanges[[#This Row],[Date]]&gt;=FFrom,tblChanges[[#This Row],[Date]]&lt;=FTo,OR(DashMachine="",tblChanges[[#This Row],[Machine]]=DashMachine)),tblChanges[[#This Row],[Date]],""))</f>
        <v>46288</v>
      </c>
      <c r="P9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1" s="28" t="s">
        <v>158</v>
      </c>
    </row>
    <row r="92" spans="2:17" x14ac:dyDescent="0.25">
      <c r="B92" s="38">
        <v>46288</v>
      </c>
      <c r="C92" s="28" t="s">
        <v>87</v>
      </c>
      <c r="D92" s="28" t="s">
        <v>106</v>
      </c>
      <c r="E92" s="28" t="s">
        <v>159</v>
      </c>
      <c r="F92" s="34">
        <v>150</v>
      </c>
      <c r="G92" s="28" t="s">
        <v>125</v>
      </c>
      <c r="H92" s="39">
        <f>IF(tblChanges[[#This Row],[Date]]="","",IFERROR(INDEX(tblTools[Standard life (parts)],MATCH(tblChanges[[#This Row],[Tool ID]],tblTools[Tool ID],0)),""))</f>
        <v>150</v>
      </c>
      <c r="I92" s="35">
        <f>IF(tblChanges[[#This Row],[Date]]="","",IFERROR(INDEX(tblTools[Cost per life],MATCH(tblChanges[[#This Row],[Tool ID]],tblTools[Tool ID],0)),""))</f>
        <v>9.75</v>
      </c>
      <c r="J92" s="35">
        <f>IF(tblChanges[[#This Row],[Date]]="","",IF(OR(tblChanges[[#This Row],[Life cost]]="",tblChanges[[#This Row],[Standard life (parts)]]=""),"",tblChanges[[#This Row],[Parts made]]*tblChanges[[#This Row],[Life cost]]/tblChanges[[#This Row],[Standard life (parts)]]))</f>
        <v>9.75</v>
      </c>
      <c r="K92" s="40">
        <f>IF(tblChanges[[#This Row],[Date]]="","",IF(OR(tblChanges[[#This Row],[Standard life (parts)]]="",tblChanges[[#This Row],[Parts made]]=""),"",tblChanges[[#This Row],[Parts made]]/tblChanges[[#This Row],[Standard life (parts)]]))</f>
        <v>1</v>
      </c>
      <c r="L92" s="36">
        <f>IF(tblChanges[[#This Row],[Date]]="","",IF(OR(tblChanges[[#This Row],[Life cost]]="",N(tblChanges[[#This Row],[Parts made]])=0),"",tblChanges[[#This Row],[Life cost]]/tblChanges[[#This Row],[Parts made]]))</f>
        <v>0.065</v>
      </c>
      <c r="M92" s="41" t="str">
        <f>IF(tblChanges[[#This Row],[Date]]="","",IFERROR(INDEX(tblReasons[Category],MATCH(tblChanges[[#This Row],[Reason]],tblReasons[Reason],0)),""))</f>
        <v>Planned</v>
      </c>
      <c r="N92" s="42" t="str">
        <f>IF(NOT(ISNUMBER(tblChanges[[#This Row],[Life achieved]])),"",IF(tblChanges[[#This Row],[Life achieved]]&gt;=TargetLife,"On target",IF(tblChanges[[#This Row],[Life achieved]]&gt;=TargetLife*(1-0.05),"Near target","Below target")))</f>
        <v>On target</v>
      </c>
      <c r="O92" s="43">
        <f>IF(tblChanges[[#This Row],[Date]]="","",IF(AND(tblChanges[[#This Row],[Date]]&gt;=FFrom,tblChanges[[#This Row],[Date]]&lt;=FTo,OR(DashMachine="",tblChanges[[#This Row],[Machine]]=DashMachine)),tblChanges[[#This Row],[Date]],""))</f>
        <v>46288</v>
      </c>
      <c r="P9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2" s="28" t="s">
        <v>158</v>
      </c>
    </row>
    <row r="93" spans="2:17" x14ac:dyDescent="0.25">
      <c r="B93" s="38">
        <v>46288</v>
      </c>
      <c r="C93" s="28" t="s">
        <v>90</v>
      </c>
      <c r="D93" s="28" t="s">
        <v>101</v>
      </c>
      <c r="E93" s="28" t="s">
        <v>163</v>
      </c>
      <c r="F93" s="34">
        <v>63</v>
      </c>
      <c r="G93" s="28" t="s">
        <v>137</v>
      </c>
      <c r="H93" s="39">
        <f>IF(tblChanges[[#This Row],[Date]]="","",IFERROR(INDEX(tblTools[Standard life (parts)],MATCH(tblChanges[[#This Row],[Tool ID]],tblTools[Tool ID],0)),""))</f>
        <v>120</v>
      </c>
      <c r="I93" s="35">
        <f>IF(tblChanges[[#This Row],[Date]]="","",IFERROR(INDEX(tblTools[Cost per life],MATCH(tblChanges[[#This Row],[Tool ID]],tblTools[Tool ID],0)),""))</f>
        <v>3.7</v>
      </c>
      <c r="J93" s="35">
        <f>IF(tblChanges[[#This Row],[Date]]="","",IF(OR(tblChanges[[#This Row],[Life cost]]="",tblChanges[[#This Row],[Standard life (parts)]]=""),"",tblChanges[[#This Row],[Parts made]]*tblChanges[[#This Row],[Life cost]]/tblChanges[[#This Row],[Standard life (parts)]]))</f>
        <v>1.9425</v>
      </c>
      <c r="K93" s="40">
        <f>IF(tblChanges[[#This Row],[Date]]="","",IF(OR(tblChanges[[#This Row],[Standard life (parts)]]="",tblChanges[[#This Row],[Parts made]]=""),"",tblChanges[[#This Row],[Parts made]]/tblChanges[[#This Row],[Standard life (parts)]]))</f>
        <v>0.525</v>
      </c>
      <c r="L93" s="36">
        <f>IF(tblChanges[[#This Row],[Date]]="","",IF(OR(tblChanges[[#This Row],[Life cost]]="",N(tblChanges[[#This Row],[Parts made]])=0),"",tblChanges[[#This Row],[Life cost]]/tblChanges[[#This Row],[Parts made]]))</f>
        <v>0.0587301587301587</v>
      </c>
      <c r="M93" s="41" t="str">
        <f>IF(tblChanges[[#This Row],[Date]]="","",IFERROR(INDEX(tblReasons[Category],MATCH(tblChanges[[#This Row],[Reason]],tblReasons[Reason],0)),""))</f>
        <v>Premature failure</v>
      </c>
      <c r="N93" s="42" t="str">
        <f>IF(NOT(ISNUMBER(tblChanges[[#This Row],[Life achieved]])),"",IF(tblChanges[[#This Row],[Life achieved]]&gt;=TargetLife,"On target",IF(tblChanges[[#This Row],[Life achieved]]&gt;=TargetLife*(1-0.05),"Near target","Below target")))</f>
        <v>Below target</v>
      </c>
      <c r="O93" s="43">
        <f>IF(tblChanges[[#This Row],[Date]]="","",IF(AND(tblChanges[[#This Row],[Date]]&gt;=FFrom,tblChanges[[#This Row],[Date]]&lt;=FTo,OR(DashMachine="",tblChanges[[#This Row],[Machine]]=DashMachine)),tblChanges[[#This Row],[Date]],""))</f>
        <v>46288</v>
      </c>
      <c r="P9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3" s="28" t="s">
        <v>164</v>
      </c>
    </row>
    <row r="94" spans="2:17" x14ac:dyDescent="0.25">
      <c r="B94" s="38">
        <v>46288</v>
      </c>
      <c r="C94" s="28" t="s">
        <v>90</v>
      </c>
      <c r="D94" s="28" t="s">
        <v>106</v>
      </c>
      <c r="E94" s="28" t="s">
        <v>163</v>
      </c>
      <c r="F94" s="34">
        <v>150</v>
      </c>
      <c r="G94" s="28" t="s">
        <v>125</v>
      </c>
      <c r="H94" s="39">
        <f>IF(tblChanges[[#This Row],[Date]]="","",IFERROR(INDEX(tblTools[Standard life (parts)],MATCH(tblChanges[[#This Row],[Tool ID]],tblTools[Tool ID],0)),""))</f>
        <v>150</v>
      </c>
      <c r="I94" s="35">
        <f>IF(tblChanges[[#This Row],[Date]]="","",IFERROR(INDEX(tblTools[Cost per life],MATCH(tblChanges[[#This Row],[Tool ID]],tblTools[Tool ID],0)),""))</f>
        <v>9.75</v>
      </c>
      <c r="J94" s="35">
        <f>IF(tblChanges[[#This Row],[Date]]="","",IF(OR(tblChanges[[#This Row],[Life cost]]="",tblChanges[[#This Row],[Standard life (parts)]]=""),"",tblChanges[[#This Row],[Parts made]]*tblChanges[[#This Row],[Life cost]]/tblChanges[[#This Row],[Standard life (parts)]]))</f>
        <v>9.75</v>
      </c>
      <c r="K94" s="40">
        <f>IF(tblChanges[[#This Row],[Date]]="","",IF(OR(tblChanges[[#This Row],[Standard life (parts)]]="",tblChanges[[#This Row],[Parts made]]=""),"",tblChanges[[#This Row],[Parts made]]/tblChanges[[#This Row],[Standard life (parts)]]))</f>
        <v>1</v>
      </c>
      <c r="L94" s="36">
        <f>IF(tblChanges[[#This Row],[Date]]="","",IF(OR(tblChanges[[#This Row],[Life cost]]="",N(tblChanges[[#This Row],[Parts made]])=0),"",tblChanges[[#This Row],[Life cost]]/tblChanges[[#This Row],[Parts made]]))</f>
        <v>0.065</v>
      </c>
      <c r="M94" s="41" t="str">
        <f>IF(tblChanges[[#This Row],[Date]]="","",IFERROR(INDEX(tblReasons[Category],MATCH(tblChanges[[#This Row],[Reason]],tblReasons[Reason],0)),""))</f>
        <v>Planned</v>
      </c>
      <c r="N94" s="42" t="str">
        <f>IF(NOT(ISNUMBER(tblChanges[[#This Row],[Life achieved]])),"",IF(tblChanges[[#This Row],[Life achieved]]&gt;=TargetLife,"On target",IF(tblChanges[[#This Row],[Life achieved]]&gt;=TargetLife*(1-0.05),"Near target","Below target")))</f>
        <v>On target</v>
      </c>
      <c r="O94" s="43">
        <f>IF(tblChanges[[#This Row],[Date]]="","",IF(AND(tblChanges[[#This Row],[Date]]&gt;=FFrom,tblChanges[[#This Row],[Date]]&lt;=FTo,OR(DashMachine="",tblChanges[[#This Row],[Machine]]=DashMachine)),tblChanges[[#This Row],[Date]],""))</f>
        <v>46288</v>
      </c>
      <c r="P9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4" s="28" t="s">
        <v>158</v>
      </c>
    </row>
    <row r="95" spans="2:17" x14ac:dyDescent="0.25">
      <c r="B95" s="38">
        <v>46288</v>
      </c>
      <c r="C95" s="28" t="s">
        <v>92</v>
      </c>
      <c r="D95" s="28" t="s">
        <v>109</v>
      </c>
      <c r="E95" s="28" t="s">
        <v>157</v>
      </c>
      <c r="F95" s="34">
        <v>90</v>
      </c>
      <c r="G95" s="28" t="s">
        <v>125</v>
      </c>
      <c r="H95" s="39">
        <f>IF(tblChanges[[#This Row],[Date]]="","",IFERROR(INDEX(tblTools[Standard life (parts)],MATCH(tblChanges[[#This Row],[Tool ID]],tblTools[Tool ID],0)),""))</f>
        <v>90</v>
      </c>
      <c r="I95" s="35">
        <f>IF(tblChanges[[#This Row],[Date]]="","",IFERROR(INDEX(tblTools[Cost per life],MATCH(tblChanges[[#This Row],[Tool ID]],tblTools[Tool ID],0)),""))</f>
        <v>26</v>
      </c>
      <c r="J95" s="35">
        <f>IF(tblChanges[[#This Row],[Date]]="","",IF(OR(tblChanges[[#This Row],[Life cost]]="",tblChanges[[#This Row],[Standard life (parts)]]=""),"",tblChanges[[#This Row],[Parts made]]*tblChanges[[#This Row],[Life cost]]/tblChanges[[#This Row],[Standard life (parts)]]))</f>
        <v>26</v>
      </c>
      <c r="K95" s="40">
        <f>IF(tblChanges[[#This Row],[Date]]="","",IF(OR(tblChanges[[#This Row],[Standard life (parts)]]="",tblChanges[[#This Row],[Parts made]]=""),"",tblChanges[[#This Row],[Parts made]]/tblChanges[[#This Row],[Standard life (parts)]]))</f>
        <v>1</v>
      </c>
      <c r="L95" s="36">
        <f>IF(tblChanges[[#This Row],[Date]]="","",IF(OR(tblChanges[[#This Row],[Life cost]]="",N(tblChanges[[#This Row],[Parts made]])=0),"",tblChanges[[#This Row],[Life cost]]/tblChanges[[#This Row],[Parts made]]))</f>
        <v>0.288888888888889</v>
      </c>
      <c r="M95" s="41" t="str">
        <f>IF(tblChanges[[#This Row],[Date]]="","",IFERROR(INDEX(tblReasons[Category],MATCH(tblChanges[[#This Row],[Reason]],tblReasons[Reason],0)),""))</f>
        <v>Planned</v>
      </c>
      <c r="N95" s="42" t="str">
        <f>IF(NOT(ISNUMBER(tblChanges[[#This Row],[Life achieved]])),"",IF(tblChanges[[#This Row],[Life achieved]]&gt;=TargetLife,"On target",IF(tblChanges[[#This Row],[Life achieved]]&gt;=TargetLife*(1-0.05),"Near target","Below target")))</f>
        <v>On target</v>
      </c>
      <c r="O95" s="43">
        <f>IF(tblChanges[[#This Row],[Date]]="","",IF(AND(tblChanges[[#This Row],[Date]]&gt;=FFrom,tblChanges[[#This Row],[Date]]&lt;=FTo,OR(DashMachine="",tblChanges[[#This Row],[Machine]]=DashMachine)),tblChanges[[#This Row],[Date]],""))</f>
        <v>46288</v>
      </c>
      <c r="P9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5" s="28" t="s">
        <v>158</v>
      </c>
    </row>
    <row r="96" spans="2:17" x14ac:dyDescent="0.25">
      <c r="B96" s="38">
        <v>46288</v>
      </c>
      <c r="C96" s="28" t="s">
        <v>95</v>
      </c>
      <c r="D96" s="28" t="s">
        <v>115</v>
      </c>
      <c r="E96" s="28" t="s">
        <v>161</v>
      </c>
      <c r="F96" s="34">
        <v>600</v>
      </c>
      <c r="G96" s="28" t="s">
        <v>125</v>
      </c>
      <c r="H96" s="39">
        <f>IF(tblChanges[[#This Row],[Date]]="","",IFERROR(INDEX(tblTools[Standard life (parts)],MATCH(tblChanges[[#This Row],[Tool ID]],tblTools[Tool ID],0)),""))</f>
        <v>600</v>
      </c>
      <c r="I96" s="35">
        <f>IF(tblChanges[[#This Row],[Date]]="","",IFERROR(INDEX(tblTools[Cost per life],MATCH(tblChanges[[#This Row],[Tool ID]],tblTools[Tool ID],0)),""))</f>
        <v>34</v>
      </c>
      <c r="J96" s="35">
        <f>IF(tblChanges[[#This Row],[Date]]="","",IF(OR(tblChanges[[#This Row],[Life cost]]="",tblChanges[[#This Row],[Standard life (parts)]]=""),"",tblChanges[[#This Row],[Parts made]]*tblChanges[[#This Row],[Life cost]]/tblChanges[[#This Row],[Standard life (parts)]]))</f>
        <v>34</v>
      </c>
      <c r="K96" s="40">
        <f>IF(tblChanges[[#This Row],[Date]]="","",IF(OR(tblChanges[[#This Row],[Standard life (parts)]]="",tblChanges[[#This Row],[Parts made]]=""),"",tblChanges[[#This Row],[Parts made]]/tblChanges[[#This Row],[Standard life (parts)]]))</f>
        <v>1</v>
      </c>
      <c r="L96" s="36">
        <f>IF(tblChanges[[#This Row],[Date]]="","",IF(OR(tblChanges[[#This Row],[Life cost]]="",N(tblChanges[[#This Row],[Parts made]])=0),"",tblChanges[[#This Row],[Life cost]]/tblChanges[[#This Row],[Parts made]]))</f>
        <v>0.0566666666666667</v>
      </c>
      <c r="M96" s="41" t="str">
        <f>IF(tblChanges[[#This Row],[Date]]="","",IFERROR(INDEX(tblReasons[Category],MATCH(tblChanges[[#This Row],[Reason]],tblReasons[Reason],0)),""))</f>
        <v>Planned</v>
      </c>
      <c r="N96" s="42" t="str">
        <f>IF(NOT(ISNUMBER(tblChanges[[#This Row],[Life achieved]])),"",IF(tblChanges[[#This Row],[Life achieved]]&gt;=TargetLife,"On target",IF(tblChanges[[#This Row],[Life achieved]]&gt;=TargetLife*(1-0.05),"Near target","Below target")))</f>
        <v>On target</v>
      </c>
      <c r="O96" s="43">
        <f>IF(tblChanges[[#This Row],[Date]]="","",IF(AND(tblChanges[[#This Row],[Date]]&gt;=FFrom,tblChanges[[#This Row],[Date]]&lt;=FTo,OR(DashMachine="",tblChanges[[#This Row],[Machine]]=DashMachine)),tblChanges[[#This Row],[Date]],""))</f>
        <v>46288</v>
      </c>
      <c r="P9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6" s="28" t="s">
        <v>158</v>
      </c>
    </row>
    <row r="97" spans="2:17" x14ac:dyDescent="0.25">
      <c r="B97" s="38">
        <v>46288</v>
      </c>
      <c r="C97" s="28" t="s">
        <v>97</v>
      </c>
      <c r="D97" s="28" t="s">
        <v>109</v>
      </c>
      <c r="E97" s="28" t="s">
        <v>162</v>
      </c>
      <c r="F97" s="34">
        <v>90</v>
      </c>
      <c r="G97" s="28" t="s">
        <v>125</v>
      </c>
      <c r="H97" s="39">
        <f>IF(tblChanges[[#This Row],[Date]]="","",IFERROR(INDEX(tblTools[Standard life (parts)],MATCH(tblChanges[[#This Row],[Tool ID]],tblTools[Tool ID],0)),""))</f>
        <v>90</v>
      </c>
      <c r="I97" s="35">
        <f>IF(tblChanges[[#This Row],[Date]]="","",IFERROR(INDEX(tblTools[Cost per life],MATCH(tblChanges[[#This Row],[Tool ID]],tblTools[Tool ID],0)),""))</f>
        <v>26</v>
      </c>
      <c r="J97" s="35">
        <f>IF(tblChanges[[#This Row],[Date]]="","",IF(OR(tblChanges[[#This Row],[Life cost]]="",tblChanges[[#This Row],[Standard life (parts)]]=""),"",tblChanges[[#This Row],[Parts made]]*tblChanges[[#This Row],[Life cost]]/tblChanges[[#This Row],[Standard life (parts)]]))</f>
        <v>26</v>
      </c>
      <c r="K97" s="40">
        <f>IF(tblChanges[[#This Row],[Date]]="","",IF(OR(tblChanges[[#This Row],[Standard life (parts)]]="",tblChanges[[#This Row],[Parts made]]=""),"",tblChanges[[#This Row],[Parts made]]/tblChanges[[#This Row],[Standard life (parts)]]))</f>
        <v>1</v>
      </c>
      <c r="L97" s="36">
        <f>IF(tblChanges[[#This Row],[Date]]="","",IF(OR(tblChanges[[#This Row],[Life cost]]="",N(tblChanges[[#This Row],[Parts made]])=0),"",tblChanges[[#This Row],[Life cost]]/tblChanges[[#This Row],[Parts made]]))</f>
        <v>0.288888888888889</v>
      </c>
      <c r="M97" s="41" t="str">
        <f>IF(tblChanges[[#This Row],[Date]]="","",IFERROR(INDEX(tblReasons[Category],MATCH(tblChanges[[#This Row],[Reason]],tblReasons[Reason],0)),""))</f>
        <v>Planned</v>
      </c>
      <c r="N97" s="42" t="str">
        <f>IF(NOT(ISNUMBER(tblChanges[[#This Row],[Life achieved]])),"",IF(tblChanges[[#This Row],[Life achieved]]&gt;=TargetLife,"On target",IF(tblChanges[[#This Row],[Life achieved]]&gt;=TargetLife*(1-0.05),"Near target","Below target")))</f>
        <v>On target</v>
      </c>
      <c r="O97" s="43">
        <f>IF(tblChanges[[#This Row],[Date]]="","",IF(AND(tblChanges[[#This Row],[Date]]&gt;=FFrom,tblChanges[[#This Row],[Date]]&lt;=FTo,OR(DashMachine="",tblChanges[[#This Row],[Machine]]=DashMachine)),tblChanges[[#This Row],[Date]],""))</f>
        <v>46288</v>
      </c>
      <c r="P9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7" s="28" t="s">
        <v>158</v>
      </c>
    </row>
    <row r="98" spans="2:17" x14ac:dyDescent="0.25">
      <c r="B98" s="38">
        <v>46289</v>
      </c>
      <c r="C98" s="28" t="s">
        <v>87</v>
      </c>
      <c r="D98" s="28" t="s">
        <v>101</v>
      </c>
      <c r="E98" s="28" t="s">
        <v>159</v>
      </c>
      <c r="F98" s="34">
        <v>120</v>
      </c>
      <c r="G98" s="28" t="s">
        <v>125</v>
      </c>
      <c r="H98" s="39">
        <f>IF(tblChanges[[#This Row],[Date]]="","",IFERROR(INDEX(tblTools[Standard life (parts)],MATCH(tblChanges[[#This Row],[Tool ID]],tblTools[Tool ID],0)),""))</f>
        <v>120</v>
      </c>
      <c r="I98" s="35">
        <f>IF(tblChanges[[#This Row],[Date]]="","",IFERROR(INDEX(tblTools[Cost per life],MATCH(tblChanges[[#This Row],[Tool ID]],tblTools[Tool ID],0)),""))</f>
        <v>3.7</v>
      </c>
      <c r="J98" s="35">
        <f>IF(tblChanges[[#This Row],[Date]]="","",IF(OR(tblChanges[[#This Row],[Life cost]]="",tblChanges[[#This Row],[Standard life (parts)]]=""),"",tblChanges[[#This Row],[Parts made]]*tblChanges[[#This Row],[Life cost]]/tblChanges[[#This Row],[Standard life (parts)]]))</f>
        <v>3.7</v>
      </c>
      <c r="K98" s="40">
        <f>IF(tblChanges[[#This Row],[Date]]="","",IF(OR(tblChanges[[#This Row],[Standard life (parts)]]="",tblChanges[[#This Row],[Parts made]]=""),"",tblChanges[[#This Row],[Parts made]]/tblChanges[[#This Row],[Standard life (parts)]]))</f>
        <v>1</v>
      </c>
      <c r="L98" s="36">
        <f>IF(tblChanges[[#This Row],[Date]]="","",IF(OR(tblChanges[[#This Row],[Life cost]]="",N(tblChanges[[#This Row],[Parts made]])=0),"",tblChanges[[#This Row],[Life cost]]/tblChanges[[#This Row],[Parts made]]))</f>
        <v>0.0308333333333333</v>
      </c>
      <c r="M98" s="41" t="str">
        <f>IF(tblChanges[[#This Row],[Date]]="","",IFERROR(INDEX(tblReasons[Category],MATCH(tblChanges[[#This Row],[Reason]],tblReasons[Reason],0)),""))</f>
        <v>Planned</v>
      </c>
      <c r="N98" s="42" t="str">
        <f>IF(NOT(ISNUMBER(tblChanges[[#This Row],[Life achieved]])),"",IF(tblChanges[[#This Row],[Life achieved]]&gt;=TargetLife,"On target",IF(tblChanges[[#This Row],[Life achieved]]&gt;=TargetLife*(1-0.05),"Near target","Below target")))</f>
        <v>On target</v>
      </c>
      <c r="O98" s="43">
        <f>IF(tblChanges[[#This Row],[Date]]="","",IF(AND(tblChanges[[#This Row],[Date]]&gt;=FFrom,tblChanges[[#This Row],[Date]]&lt;=FTo,OR(DashMachine="",tblChanges[[#This Row],[Machine]]=DashMachine)),tblChanges[[#This Row],[Date]],""))</f>
        <v>46289</v>
      </c>
      <c r="P9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8" s="28" t="s">
        <v>158</v>
      </c>
    </row>
    <row r="99" spans="2:17" x14ac:dyDescent="0.25">
      <c r="B99" s="38">
        <v>46289</v>
      </c>
      <c r="C99" s="28" t="s">
        <v>87</v>
      </c>
      <c r="D99" s="28" t="s">
        <v>106</v>
      </c>
      <c r="E99" s="28" t="s">
        <v>159</v>
      </c>
      <c r="F99" s="34">
        <v>59</v>
      </c>
      <c r="G99" s="28" t="s">
        <v>137</v>
      </c>
      <c r="H99" s="39">
        <f>IF(tblChanges[[#This Row],[Date]]="","",IFERROR(INDEX(tblTools[Standard life (parts)],MATCH(tblChanges[[#This Row],[Tool ID]],tblTools[Tool ID],0)),""))</f>
        <v>150</v>
      </c>
      <c r="I99" s="35">
        <f>IF(tblChanges[[#This Row],[Date]]="","",IFERROR(INDEX(tblTools[Cost per life],MATCH(tblChanges[[#This Row],[Tool ID]],tblTools[Tool ID],0)),""))</f>
        <v>9.75</v>
      </c>
      <c r="J99" s="35">
        <f>IF(tblChanges[[#This Row],[Date]]="","",IF(OR(tblChanges[[#This Row],[Life cost]]="",tblChanges[[#This Row],[Standard life (parts)]]=""),"",tblChanges[[#This Row],[Parts made]]*tblChanges[[#This Row],[Life cost]]/tblChanges[[#This Row],[Standard life (parts)]]))</f>
        <v>3.835</v>
      </c>
      <c r="K99" s="40">
        <f>IF(tblChanges[[#This Row],[Date]]="","",IF(OR(tblChanges[[#This Row],[Standard life (parts)]]="",tblChanges[[#This Row],[Parts made]]=""),"",tblChanges[[#This Row],[Parts made]]/tblChanges[[#This Row],[Standard life (parts)]]))</f>
        <v>0.393333333333333</v>
      </c>
      <c r="L99" s="36">
        <f>IF(tblChanges[[#This Row],[Date]]="","",IF(OR(tblChanges[[#This Row],[Life cost]]="",N(tblChanges[[#This Row],[Parts made]])=0),"",tblChanges[[#This Row],[Life cost]]/tblChanges[[#This Row],[Parts made]]))</f>
        <v>0.165254237288136</v>
      </c>
      <c r="M99" s="41" t="str">
        <f>IF(tblChanges[[#This Row],[Date]]="","",IFERROR(INDEX(tblReasons[Category],MATCH(tblChanges[[#This Row],[Reason]],tblReasons[Reason],0)),""))</f>
        <v>Premature failure</v>
      </c>
      <c r="N99" s="42" t="str">
        <f>IF(NOT(ISNUMBER(tblChanges[[#This Row],[Life achieved]])),"",IF(tblChanges[[#This Row],[Life achieved]]&gt;=TargetLife,"On target",IF(tblChanges[[#This Row],[Life achieved]]&gt;=TargetLife*(1-0.05),"Near target","Below target")))</f>
        <v>Below target</v>
      </c>
      <c r="O99" s="43">
        <f>IF(tblChanges[[#This Row],[Date]]="","",IF(AND(tblChanges[[#This Row],[Date]]&gt;=FFrom,tblChanges[[#This Row],[Date]]&lt;=FTo,OR(DashMachine="",tblChanges[[#This Row],[Machine]]=DashMachine)),tblChanges[[#This Row],[Date]],""))</f>
        <v>46289</v>
      </c>
      <c r="P9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99" s="28" t="s">
        <v>158</v>
      </c>
    </row>
    <row r="100" spans="2:17" x14ac:dyDescent="0.25">
      <c r="B100" s="38">
        <v>46289</v>
      </c>
      <c r="C100" s="28" t="s">
        <v>90</v>
      </c>
      <c r="D100" s="28" t="s">
        <v>101</v>
      </c>
      <c r="E100" s="28" t="s">
        <v>163</v>
      </c>
      <c r="F100" s="34">
        <v>26</v>
      </c>
      <c r="G100" s="28" t="s">
        <v>142</v>
      </c>
      <c r="H100" s="39">
        <f>IF(tblChanges[[#This Row],[Date]]="","",IFERROR(INDEX(tblTools[Standard life (parts)],MATCH(tblChanges[[#This Row],[Tool ID]],tblTools[Tool ID],0)),""))</f>
        <v>120</v>
      </c>
      <c r="I100" s="35">
        <f>IF(tblChanges[[#This Row],[Date]]="","",IFERROR(INDEX(tblTools[Cost per life],MATCH(tblChanges[[#This Row],[Tool ID]],tblTools[Tool ID],0)),""))</f>
        <v>3.7</v>
      </c>
      <c r="J100" s="35">
        <f>IF(tblChanges[[#This Row],[Date]]="","",IF(OR(tblChanges[[#This Row],[Life cost]]="",tblChanges[[#This Row],[Standard life (parts)]]=""),"",tblChanges[[#This Row],[Parts made]]*tblChanges[[#This Row],[Life cost]]/tblChanges[[#This Row],[Standard life (parts)]]))</f>
        <v>0.801666666666667</v>
      </c>
      <c r="K100" s="40">
        <f>IF(tblChanges[[#This Row],[Date]]="","",IF(OR(tblChanges[[#This Row],[Standard life (parts)]]="",tblChanges[[#This Row],[Parts made]]=""),"",tblChanges[[#This Row],[Parts made]]/tblChanges[[#This Row],[Standard life (parts)]]))</f>
        <v>0.216666666666667</v>
      </c>
      <c r="L100" s="36">
        <f>IF(tblChanges[[#This Row],[Date]]="","",IF(OR(tblChanges[[#This Row],[Life cost]]="",N(tblChanges[[#This Row],[Parts made]])=0),"",tblChanges[[#This Row],[Life cost]]/tblChanges[[#This Row],[Parts made]]))</f>
        <v>0.142307692307692</v>
      </c>
      <c r="M100" s="41" t="str">
        <f>IF(tblChanges[[#This Row],[Date]]="","",IFERROR(INDEX(tblReasons[Category],MATCH(tblChanges[[#This Row],[Reason]],tblReasons[Reason],0)),""))</f>
        <v>Premature failure</v>
      </c>
      <c r="N100" s="42" t="str">
        <f>IF(NOT(ISNUMBER(tblChanges[[#This Row],[Life achieved]])),"",IF(tblChanges[[#This Row],[Life achieved]]&gt;=TargetLife,"On target",IF(tblChanges[[#This Row],[Life achieved]]&gt;=TargetLife*(1-0.05),"Near target","Below target")))</f>
        <v>Below target</v>
      </c>
      <c r="O100" s="43">
        <f>IF(tblChanges[[#This Row],[Date]]="","",IF(AND(tblChanges[[#This Row],[Date]]&gt;=FFrom,tblChanges[[#This Row],[Date]]&lt;=FTo,OR(DashMachine="",tblChanges[[#This Row],[Machine]]=DashMachine)),tblChanges[[#This Row],[Date]],""))</f>
        <v>46289</v>
      </c>
      <c r="P10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0" s="28" t="s">
        <v>165</v>
      </c>
    </row>
    <row r="101" spans="2:17" x14ac:dyDescent="0.25">
      <c r="B101" s="38">
        <v>46289</v>
      </c>
      <c r="C101" s="28" t="s">
        <v>97</v>
      </c>
      <c r="D101" s="28" t="s">
        <v>121</v>
      </c>
      <c r="E101" s="28" t="s">
        <v>162</v>
      </c>
      <c r="F101" s="34">
        <v>450</v>
      </c>
      <c r="G101" s="28" t="s">
        <v>125</v>
      </c>
      <c r="H101" s="39">
        <f>IF(tblChanges[[#This Row],[Date]]="","",IFERROR(INDEX(tblTools[Standard life (parts)],MATCH(tblChanges[[#This Row],[Tool ID]],tblTools[Tool ID],0)),""))</f>
        <v>450</v>
      </c>
      <c r="I101" s="35">
        <f>IF(tblChanges[[#This Row],[Date]]="","",IFERROR(INDEX(tblTools[Cost per life],MATCH(tblChanges[[#This Row],[Tool ID]],tblTools[Tool ID],0)),""))</f>
        <v>61.5</v>
      </c>
      <c r="J101" s="35">
        <f>IF(tblChanges[[#This Row],[Date]]="","",IF(OR(tblChanges[[#This Row],[Life cost]]="",tblChanges[[#This Row],[Standard life (parts)]]=""),"",tblChanges[[#This Row],[Parts made]]*tblChanges[[#This Row],[Life cost]]/tblChanges[[#This Row],[Standard life (parts)]]))</f>
        <v>61.5</v>
      </c>
      <c r="K101" s="40">
        <f>IF(tblChanges[[#This Row],[Date]]="","",IF(OR(tblChanges[[#This Row],[Standard life (parts)]]="",tblChanges[[#This Row],[Parts made]]=""),"",tblChanges[[#This Row],[Parts made]]/tblChanges[[#This Row],[Standard life (parts)]]))</f>
        <v>1</v>
      </c>
      <c r="L101" s="36">
        <f>IF(tblChanges[[#This Row],[Date]]="","",IF(OR(tblChanges[[#This Row],[Life cost]]="",N(tblChanges[[#This Row],[Parts made]])=0),"",tblChanges[[#This Row],[Life cost]]/tblChanges[[#This Row],[Parts made]]))</f>
        <v>0.136666666666667</v>
      </c>
      <c r="M101" s="41" t="str">
        <f>IF(tblChanges[[#This Row],[Date]]="","",IFERROR(INDEX(tblReasons[Category],MATCH(tblChanges[[#This Row],[Reason]],tblReasons[Reason],0)),""))</f>
        <v>Planned</v>
      </c>
      <c r="N101" s="42" t="str">
        <f>IF(NOT(ISNUMBER(tblChanges[[#This Row],[Life achieved]])),"",IF(tblChanges[[#This Row],[Life achieved]]&gt;=TargetLife,"On target",IF(tblChanges[[#This Row],[Life achieved]]&gt;=TargetLife*(1-0.05),"Near target","Below target")))</f>
        <v>On target</v>
      </c>
      <c r="O101" s="43">
        <f>IF(tblChanges[[#This Row],[Date]]="","",IF(AND(tblChanges[[#This Row],[Date]]&gt;=FFrom,tblChanges[[#This Row],[Date]]&lt;=FTo,OR(DashMachine="",tblChanges[[#This Row],[Machine]]=DashMachine)),tblChanges[[#This Row],[Date]],""))</f>
        <v>46289</v>
      </c>
      <c r="P10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1" s="28" t="s">
        <v>158</v>
      </c>
    </row>
    <row r="102" spans="2:17" x14ac:dyDescent="0.25">
      <c r="B102" s="38">
        <v>46290</v>
      </c>
      <c r="C102" s="28" t="s">
        <v>92</v>
      </c>
      <c r="D102" s="28" t="s">
        <v>109</v>
      </c>
      <c r="E102" s="28" t="s">
        <v>157</v>
      </c>
      <c r="F102" s="34">
        <v>90</v>
      </c>
      <c r="G102" s="28" t="s">
        <v>125</v>
      </c>
      <c r="H102" s="39">
        <f>IF(tblChanges[[#This Row],[Date]]="","",IFERROR(INDEX(tblTools[Standard life (parts)],MATCH(tblChanges[[#This Row],[Tool ID]],tblTools[Tool ID],0)),""))</f>
        <v>90</v>
      </c>
      <c r="I102" s="35">
        <f>IF(tblChanges[[#This Row],[Date]]="","",IFERROR(INDEX(tblTools[Cost per life],MATCH(tblChanges[[#This Row],[Tool ID]],tblTools[Tool ID],0)),""))</f>
        <v>26</v>
      </c>
      <c r="J102" s="35">
        <f>IF(tblChanges[[#This Row],[Date]]="","",IF(OR(tblChanges[[#This Row],[Life cost]]="",tblChanges[[#This Row],[Standard life (parts)]]=""),"",tblChanges[[#This Row],[Parts made]]*tblChanges[[#This Row],[Life cost]]/tblChanges[[#This Row],[Standard life (parts)]]))</f>
        <v>26</v>
      </c>
      <c r="K102" s="40">
        <f>IF(tblChanges[[#This Row],[Date]]="","",IF(OR(tblChanges[[#This Row],[Standard life (parts)]]="",tblChanges[[#This Row],[Parts made]]=""),"",tblChanges[[#This Row],[Parts made]]/tblChanges[[#This Row],[Standard life (parts)]]))</f>
        <v>1</v>
      </c>
      <c r="L102" s="36">
        <f>IF(tblChanges[[#This Row],[Date]]="","",IF(OR(tblChanges[[#This Row],[Life cost]]="",N(tblChanges[[#This Row],[Parts made]])=0),"",tblChanges[[#This Row],[Life cost]]/tblChanges[[#This Row],[Parts made]]))</f>
        <v>0.288888888888889</v>
      </c>
      <c r="M102" s="41" t="str">
        <f>IF(tblChanges[[#This Row],[Date]]="","",IFERROR(INDEX(tblReasons[Category],MATCH(tblChanges[[#This Row],[Reason]],tblReasons[Reason],0)),""))</f>
        <v>Planned</v>
      </c>
      <c r="N102" s="42" t="str">
        <f>IF(NOT(ISNUMBER(tblChanges[[#This Row],[Life achieved]])),"",IF(tblChanges[[#This Row],[Life achieved]]&gt;=TargetLife,"On target",IF(tblChanges[[#This Row],[Life achieved]]&gt;=TargetLife*(1-0.05),"Near target","Below target")))</f>
        <v>On target</v>
      </c>
      <c r="O102" s="43">
        <f>IF(tblChanges[[#This Row],[Date]]="","",IF(AND(tblChanges[[#This Row],[Date]]&gt;=FFrom,tblChanges[[#This Row],[Date]]&lt;=FTo,OR(DashMachine="",tblChanges[[#This Row],[Machine]]=DashMachine)),tblChanges[[#This Row],[Date]],""))</f>
        <v>46290</v>
      </c>
      <c r="P10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2" s="28" t="s">
        <v>158</v>
      </c>
    </row>
    <row r="103" spans="2:17" x14ac:dyDescent="0.25">
      <c r="B103" s="38">
        <v>46293</v>
      </c>
      <c r="C103" s="28" t="s">
        <v>87</v>
      </c>
      <c r="D103" s="28" t="s">
        <v>101</v>
      </c>
      <c r="E103" s="28" t="s">
        <v>159</v>
      </c>
      <c r="F103" s="34">
        <v>120</v>
      </c>
      <c r="G103" s="28" t="s">
        <v>125</v>
      </c>
      <c r="H103" s="39">
        <f>IF(tblChanges[[#This Row],[Date]]="","",IFERROR(INDEX(tblTools[Standard life (parts)],MATCH(tblChanges[[#This Row],[Tool ID]],tblTools[Tool ID],0)),""))</f>
        <v>120</v>
      </c>
      <c r="I103" s="35">
        <f>IF(tblChanges[[#This Row],[Date]]="","",IFERROR(INDEX(tblTools[Cost per life],MATCH(tblChanges[[#This Row],[Tool ID]],tblTools[Tool ID],0)),""))</f>
        <v>3.7</v>
      </c>
      <c r="J103" s="35">
        <f>IF(tblChanges[[#This Row],[Date]]="","",IF(OR(tblChanges[[#This Row],[Life cost]]="",tblChanges[[#This Row],[Standard life (parts)]]=""),"",tblChanges[[#This Row],[Parts made]]*tblChanges[[#This Row],[Life cost]]/tblChanges[[#This Row],[Standard life (parts)]]))</f>
        <v>3.7</v>
      </c>
      <c r="K103" s="40">
        <f>IF(tblChanges[[#This Row],[Date]]="","",IF(OR(tblChanges[[#This Row],[Standard life (parts)]]="",tblChanges[[#This Row],[Parts made]]=""),"",tblChanges[[#This Row],[Parts made]]/tblChanges[[#This Row],[Standard life (parts)]]))</f>
        <v>1</v>
      </c>
      <c r="L103" s="36">
        <f>IF(tblChanges[[#This Row],[Date]]="","",IF(OR(tblChanges[[#This Row],[Life cost]]="",N(tblChanges[[#This Row],[Parts made]])=0),"",tblChanges[[#This Row],[Life cost]]/tblChanges[[#This Row],[Parts made]]))</f>
        <v>0.0308333333333333</v>
      </c>
      <c r="M103" s="41" t="str">
        <f>IF(tblChanges[[#This Row],[Date]]="","",IFERROR(INDEX(tblReasons[Category],MATCH(tblChanges[[#This Row],[Reason]],tblReasons[Reason],0)),""))</f>
        <v>Planned</v>
      </c>
      <c r="N103" s="42" t="str">
        <f>IF(NOT(ISNUMBER(tblChanges[[#This Row],[Life achieved]])),"",IF(tblChanges[[#This Row],[Life achieved]]&gt;=TargetLife,"On target",IF(tblChanges[[#This Row],[Life achieved]]&gt;=TargetLife*(1-0.05),"Near target","Below target")))</f>
        <v>On target</v>
      </c>
      <c r="O103" s="43">
        <f>IF(tblChanges[[#This Row],[Date]]="","",IF(AND(tblChanges[[#This Row],[Date]]&gt;=FFrom,tblChanges[[#This Row],[Date]]&lt;=FTo,OR(DashMachine="",tblChanges[[#This Row],[Machine]]=DashMachine)),tblChanges[[#This Row],[Date]],""))</f>
        <v>46293</v>
      </c>
      <c r="P10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3" s="28" t="s">
        <v>158</v>
      </c>
    </row>
    <row r="104" spans="2:17" x14ac:dyDescent="0.25">
      <c r="B104" s="38">
        <v>46293</v>
      </c>
      <c r="C104" s="28" t="s">
        <v>87</v>
      </c>
      <c r="D104" s="28" t="s">
        <v>104</v>
      </c>
      <c r="E104" s="28" t="s">
        <v>159</v>
      </c>
      <c r="F104" s="34">
        <v>160</v>
      </c>
      <c r="G104" s="28" t="s">
        <v>125</v>
      </c>
      <c r="H104" s="39">
        <f>IF(tblChanges[[#This Row],[Date]]="","",IFERROR(INDEX(tblTools[Standard life (parts)],MATCH(tblChanges[[#This Row],[Tool ID]],tblTools[Tool ID],0)),""))</f>
        <v>160</v>
      </c>
      <c r="I104" s="35">
        <f>IF(tblChanges[[#This Row],[Date]]="","",IFERROR(INDEX(tblTools[Cost per life],MATCH(tblChanges[[#This Row],[Tool ID]],tblTools[Tool ID],0)),""))</f>
        <v>4.05</v>
      </c>
      <c r="J104" s="35">
        <f>IF(tblChanges[[#This Row],[Date]]="","",IF(OR(tblChanges[[#This Row],[Life cost]]="",tblChanges[[#This Row],[Standard life (parts)]]=""),"",tblChanges[[#This Row],[Parts made]]*tblChanges[[#This Row],[Life cost]]/tblChanges[[#This Row],[Standard life (parts)]]))</f>
        <v>4.05</v>
      </c>
      <c r="K104" s="40">
        <f>IF(tblChanges[[#This Row],[Date]]="","",IF(OR(tblChanges[[#This Row],[Standard life (parts)]]="",tblChanges[[#This Row],[Parts made]]=""),"",tblChanges[[#This Row],[Parts made]]/tblChanges[[#This Row],[Standard life (parts)]]))</f>
        <v>1</v>
      </c>
      <c r="L104" s="36">
        <f>IF(tblChanges[[#This Row],[Date]]="","",IF(OR(tblChanges[[#This Row],[Life cost]]="",N(tblChanges[[#This Row],[Parts made]])=0),"",tblChanges[[#This Row],[Life cost]]/tblChanges[[#This Row],[Parts made]]))</f>
        <v>0.0253125</v>
      </c>
      <c r="M104" s="41" t="str">
        <f>IF(tblChanges[[#This Row],[Date]]="","",IFERROR(INDEX(tblReasons[Category],MATCH(tblChanges[[#This Row],[Reason]],tblReasons[Reason],0)),""))</f>
        <v>Planned</v>
      </c>
      <c r="N104" s="42" t="str">
        <f>IF(NOT(ISNUMBER(tblChanges[[#This Row],[Life achieved]])),"",IF(tblChanges[[#This Row],[Life achieved]]&gt;=TargetLife,"On target",IF(tblChanges[[#This Row],[Life achieved]]&gt;=TargetLife*(1-0.05),"Near target","Below target")))</f>
        <v>On target</v>
      </c>
      <c r="O104" s="43">
        <f>IF(tblChanges[[#This Row],[Date]]="","",IF(AND(tblChanges[[#This Row],[Date]]&gt;=FFrom,tblChanges[[#This Row],[Date]]&lt;=FTo,OR(DashMachine="",tblChanges[[#This Row],[Machine]]=DashMachine)),tblChanges[[#This Row],[Date]],""))</f>
        <v>46293</v>
      </c>
      <c r="P10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4" s="28" t="s">
        <v>158</v>
      </c>
    </row>
    <row r="105" spans="2:17" x14ac:dyDescent="0.25">
      <c r="B105" s="38">
        <v>46293</v>
      </c>
      <c r="C105" s="28" t="s">
        <v>90</v>
      </c>
      <c r="D105" s="28" t="s">
        <v>101</v>
      </c>
      <c r="E105" s="28" t="s">
        <v>163</v>
      </c>
      <c r="F105" s="34">
        <v>94</v>
      </c>
      <c r="G105" s="28" t="s">
        <v>133</v>
      </c>
      <c r="H105" s="39">
        <f>IF(tblChanges[[#This Row],[Date]]="","",IFERROR(INDEX(tblTools[Standard life (parts)],MATCH(tblChanges[[#This Row],[Tool ID]],tblTools[Tool ID],0)),""))</f>
        <v>120</v>
      </c>
      <c r="I105" s="35">
        <f>IF(tblChanges[[#This Row],[Date]]="","",IFERROR(INDEX(tblTools[Cost per life],MATCH(tblChanges[[#This Row],[Tool ID]],tblTools[Tool ID],0)),""))</f>
        <v>3.7</v>
      </c>
      <c r="J105" s="35">
        <f>IF(tblChanges[[#This Row],[Date]]="","",IF(OR(tblChanges[[#This Row],[Life cost]]="",tblChanges[[#This Row],[Standard life (parts)]]=""),"",tblChanges[[#This Row],[Parts made]]*tblChanges[[#This Row],[Life cost]]/tblChanges[[#This Row],[Standard life (parts)]]))</f>
        <v>2.89833333333333</v>
      </c>
      <c r="K105" s="40">
        <f>IF(tblChanges[[#This Row],[Date]]="","",IF(OR(tblChanges[[#This Row],[Standard life (parts)]]="",tblChanges[[#This Row],[Parts made]]=""),"",tblChanges[[#This Row],[Parts made]]/tblChanges[[#This Row],[Standard life (parts)]]))</f>
        <v>0.783333333333333</v>
      </c>
      <c r="L105" s="36">
        <f>IF(tblChanges[[#This Row],[Date]]="","",IF(OR(tblChanges[[#This Row],[Life cost]]="",N(tblChanges[[#This Row],[Parts made]])=0),"",tblChanges[[#This Row],[Life cost]]/tblChanges[[#This Row],[Parts made]]))</f>
        <v>0.0393617021276596</v>
      </c>
      <c r="M105" s="41" t="str">
        <f>IF(tblChanges[[#This Row],[Date]]="","",IFERROR(INDEX(tblReasons[Category],MATCH(tblChanges[[#This Row],[Reason]],tblReasons[Reason],0)),""))</f>
        <v>Wear</v>
      </c>
      <c r="N105" s="42" t="str">
        <f>IF(NOT(ISNUMBER(tblChanges[[#This Row],[Life achieved]])),"",IF(tblChanges[[#This Row],[Life achieved]]&gt;=TargetLife,"On target",IF(tblChanges[[#This Row],[Life achieved]]&gt;=TargetLife*(1-0.05),"Near target","Below target")))</f>
        <v>Below target</v>
      </c>
      <c r="O105" s="43">
        <f>IF(tblChanges[[#This Row],[Date]]="","",IF(AND(tblChanges[[#This Row],[Date]]&gt;=FFrom,tblChanges[[#This Row],[Date]]&lt;=FTo,OR(DashMachine="",tblChanges[[#This Row],[Machine]]=DashMachine)),tblChanges[[#This Row],[Date]],""))</f>
        <v>46293</v>
      </c>
      <c r="P10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5" s="28" t="s">
        <v>158</v>
      </c>
    </row>
    <row r="106" spans="2:17" x14ac:dyDescent="0.25">
      <c r="B106" s="38">
        <v>46293</v>
      </c>
      <c r="C106" s="28" t="s">
        <v>90</v>
      </c>
      <c r="D106" s="28" t="s">
        <v>101</v>
      </c>
      <c r="E106" s="28" t="s">
        <v>163</v>
      </c>
      <c r="F106" s="34">
        <v>20</v>
      </c>
      <c r="G106" s="28" t="s">
        <v>137</v>
      </c>
      <c r="H106" s="39">
        <f>IF(tblChanges[[#This Row],[Date]]="","",IFERROR(INDEX(tblTools[Standard life (parts)],MATCH(tblChanges[[#This Row],[Tool ID]],tblTools[Tool ID],0)),""))</f>
        <v>120</v>
      </c>
      <c r="I106" s="35">
        <f>IF(tblChanges[[#This Row],[Date]]="","",IFERROR(INDEX(tblTools[Cost per life],MATCH(tblChanges[[#This Row],[Tool ID]],tblTools[Tool ID],0)),""))</f>
        <v>3.7</v>
      </c>
      <c r="J106" s="35">
        <f>IF(tblChanges[[#This Row],[Date]]="","",IF(OR(tblChanges[[#This Row],[Life cost]]="",tblChanges[[#This Row],[Standard life (parts)]]=""),"",tblChanges[[#This Row],[Parts made]]*tblChanges[[#This Row],[Life cost]]/tblChanges[[#This Row],[Standard life (parts)]]))</f>
        <v>0.616666666666667</v>
      </c>
      <c r="K106" s="40">
        <f>IF(tblChanges[[#This Row],[Date]]="","",IF(OR(tblChanges[[#This Row],[Standard life (parts)]]="",tblChanges[[#This Row],[Parts made]]=""),"",tblChanges[[#This Row],[Parts made]]/tblChanges[[#This Row],[Standard life (parts)]]))</f>
        <v>0.166666666666667</v>
      </c>
      <c r="L106" s="36">
        <f>IF(tblChanges[[#This Row],[Date]]="","",IF(OR(tblChanges[[#This Row],[Life cost]]="",N(tblChanges[[#This Row],[Parts made]])=0),"",tblChanges[[#This Row],[Life cost]]/tblChanges[[#This Row],[Parts made]]))</f>
        <v>0.185</v>
      </c>
      <c r="M106" s="41" t="str">
        <f>IF(tblChanges[[#This Row],[Date]]="","",IFERROR(INDEX(tblReasons[Category],MATCH(tblChanges[[#This Row],[Reason]],tblReasons[Reason],0)),""))</f>
        <v>Premature failure</v>
      </c>
      <c r="N106" s="42" t="str">
        <f>IF(NOT(ISNUMBER(tblChanges[[#This Row],[Life achieved]])),"",IF(tblChanges[[#This Row],[Life achieved]]&gt;=TargetLife,"On target",IF(tblChanges[[#This Row],[Life achieved]]&gt;=TargetLife*(1-0.05),"Near target","Below target")))</f>
        <v>Below target</v>
      </c>
      <c r="O106" s="43">
        <f>IF(tblChanges[[#This Row],[Date]]="","",IF(AND(tblChanges[[#This Row],[Date]]&gt;=FFrom,tblChanges[[#This Row],[Date]]&lt;=FTo,OR(DashMachine="",tblChanges[[#This Row],[Machine]]=DashMachine)),tblChanges[[#This Row],[Date]],""))</f>
        <v>46293</v>
      </c>
      <c r="P10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6" s="28" t="s">
        <v>164</v>
      </c>
    </row>
    <row r="107" spans="2:17" x14ac:dyDescent="0.25">
      <c r="B107" s="38">
        <v>46293</v>
      </c>
      <c r="C107" s="28" t="s">
        <v>90</v>
      </c>
      <c r="D107" s="28" t="s">
        <v>106</v>
      </c>
      <c r="E107" s="28" t="s">
        <v>163</v>
      </c>
      <c r="F107" s="34">
        <v>150</v>
      </c>
      <c r="G107" s="28" t="s">
        <v>125</v>
      </c>
      <c r="H107" s="39">
        <f>IF(tblChanges[[#This Row],[Date]]="","",IFERROR(INDEX(tblTools[Standard life (parts)],MATCH(tblChanges[[#This Row],[Tool ID]],tblTools[Tool ID],0)),""))</f>
        <v>150</v>
      </c>
      <c r="I107" s="35">
        <f>IF(tblChanges[[#This Row],[Date]]="","",IFERROR(INDEX(tblTools[Cost per life],MATCH(tblChanges[[#This Row],[Tool ID]],tblTools[Tool ID],0)),""))</f>
        <v>9.75</v>
      </c>
      <c r="J107" s="35">
        <f>IF(tblChanges[[#This Row],[Date]]="","",IF(OR(tblChanges[[#This Row],[Life cost]]="",tblChanges[[#This Row],[Standard life (parts)]]=""),"",tblChanges[[#This Row],[Parts made]]*tblChanges[[#This Row],[Life cost]]/tblChanges[[#This Row],[Standard life (parts)]]))</f>
        <v>9.75</v>
      </c>
      <c r="K107" s="40">
        <f>IF(tblChanges[[#This Row],[Date]]="","",IF(OR(tblChanges[[#This Row],[Standard life (parts)]]="",tblChanges[[#This Row],[Parts made]]=""),"",tblChanges[[#This Row],[Parts made]]/tblChanges[[#This Row],[Standard life (parts)]]))</f>
        <v>1</v>
      </c>
      <c r="L107" s="36">
        <f>IF(tblChanges[[#This Row],[Date]]="","",IF(OR(tblChanges[[#This Row],[Life cost]]="",N(tblChanges[[#This Row],[Parts made]])=0),"",tblChanges[[#This Row],[Life cost]]/tblChanges[[#This Row],[Parts made]]))</f>
        <v>0.065</v>
      </c>
      <c r="M107" s="41" t="str">
        <f>IF(tblChanges[[#This Row],[Date]]="","",IFERROR(INDEX(tblReasons[Category],MATCH(tblChanges[[#This Row],[Reason]],tblReasons[Reason],0)),""))</f>
        <v>Planned</v>
      </c>
      <c r="N107" s="42" t="str">
        <f>IF(NOT(ISNUMBER(tblChanges[[#This Row],[Life achieved]])),"",IF(tblChanges[[#This Row],[Life achieved]]&gt;=TargetLife,"On target",IF(tblChanges[[#This Row],[Life achieved]]&gt;=TargetLife*(1-0.05),"Near target","Below target")))</f>
        <v>On target</v>
      </c>
      <c r="O107" s="43">
        <f>IF(tblChanges[[#This Row],[Date]]="","",IF(AND(tblChanges[[#This Row],[Date]]&gt;=FFrom,tblChanges[[#This Row],[Date]]&lt;=FTo,OR(DashMachine="",tblChanges[[#This Row],[Machine]]=DashMachine)),tblChanges[[#This Row],[Date]],""))</f>
        <v>46293</v>
      </c>
      <c r="P10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7" s="28" t="s">
        <v>158</v>
      </c>
    </row>
    <row r="108" spans="2:17" x14ac:dyDescent="0.25">
      <c r="B108" s="38">
        <v>46293</v>
      </c>
      <c r="C108" s="28" t="s">
        <v>97</v>
      </c>
      <c r="D108" s="28" t="s">
        <v>109</v>
      </c>
      <c r="E108" s="28" t="s">
        <v>162</v>
      </c>
      <c r="F108" s="34">
        <v>90</v>
      </c>
      <c r="G108" s="28" t="s">
        <v>125</v>
      </c>
      <c r="H108" s="39">
        <f>IF(tblChanges[[#This Row],[Date]]="","",IFERROR(INDEX(tblTools[Standard life (parts)],MATCH(tblChanges[[#This Row],[Tool ID]],tblTools[Tool ID],0)),""))</f>
        <v>90</v>
      </c>
      <c r="I108" s="35">
        <f>IF(tblChanges[[#This Row],[Date]]="","",IFERROR(INDEX(tblTools[Cost per life],MATCH(tblChanges[[#This Row],[Tool ID]],tblTools[Tool ID],0)),""))</f>
        <v>26</v>
      </c>
      <c r="J108" s="35">
        <f>IF(tblChanges[[#This Row],[Date]]="","",IF(OR(tblChanges[[#This Row],[Life cost]]="",tblChanges[[#This Row],[Standard life (parts)]]=""),"",tblChanges[[#This Row],[Parts made]]*tblChanges[[#This Row],[Life cost]]/tblChanges[[#This Row],[Standard life (parts)]]))</f>
        <v>26</v>
      </c>
      <c r="K108" s="40">
        <f>IF(tblChanges[[#This Row],[Date]]="","",IF(OR(tblChanges[[#This Row],[Standard life (parts)]]="",tblChanges[[#This Row],[Parts made]]=""),"",tblChanges[[#This Row],[Parts made]]/tblChanges[[#This Row],[Standard life (parts)]]))</f>
        <v>1</v>
      </c>
      <c r="L108" s="36">
        <f>IF(tblChanges[[#This Row],[Date]]="","",IF(OR(tblChanges[[#This Row],[Life cost]]="",N(tblChanges[[#This Row],[Parts made]])=0),"",tblChanges[[#This Row],[Life cost]]/tblChanges[[#This Row],[Parts made]]))</f>
        <v>0.288888888888889</v>
      </c>
      <c r="M108" s="41" t="str">
        <f>IF(tblChanges[[#This Row],[Date]]="","",IFERROR(INDEX(tblReasons[Category],MATCH(tblChanges[[#This Row],[Reason]],tblReasons[Reason],0)),""))</f>
        <v>Planned</v>
      </c>
      <c r="N108" s="42" t="str">
        <f>IF(NOT(ISNUMBER(tblChanges[[#This Row],[Life achieved]])),"",IF(tblChanges[[#This Row],[Life achieved]]&gt;=TargetLife,"On target",IF(tblChanges[[#This Row],[Life achieved]]&gt;=TargetLife*(1-0.05),"Near target","Below target")))</f>
        <v>On target</v>
      </c>
      <c r="O108" s="43">
        <f>IF(tblChanges[[#This Row],[Date]]="","",IF(AND(tblChanges[[#This Row],[Date]]&gt;=FFrom,tblChanges[[#This Row],[Date]]&lt;=FTo,OR(DashMachine="",tblChanges[[#This Row],[Machine]]=DashMachine)),tblChanges[[#This Row],[Date]],""))</f>
        <v>46293</v>
      </c>
      <c r="P10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8" s="28" t="s">
        <v>158</v>
      </c>
    </row>
    <row r="109" spans="2:17" x14ac:dyDescent="0.25">
      <c r="B109" s="38">
        <v>46294</v>
      </c>
      <c r="C109" s="28" t="s">
        <v>87</v>
      </c>
      <c r="D109" s="28" t="s">
        <v>106</v>
      </c>
      <c r="E109" s="28" t="s">
        <v>159</v>
      </c>
      <c r="F109" s="34">
        <v>150</v>
      </c>
      <c r="G109" s="28" t="s">
        <v>125</v>
      </c>
      <c r="H109" s="39">
        <f>IF(tblChanges[[#This Row],[Date]]="","",IFERROR(INDEX(tblTools[Standard life (parts)],MATCH(tblChanges[[#This Row],[Tool ID]],tblTools[Tool ID],0)),""))</f>
        <v>150</v>
      </c>
      <c r="I109" s="35">
        <f>IF(tblChanges[[#This Row],[Date]]="","",IFERROR(INDEX(tblTools[Cost per life],MATCH(tblChanges[[#This Row],[Tool ID]],tblTools[Tool ID],0)),""))</f>
        <v>9.75</v>
      </c>
      <c r="J109" s="35">
        <f>IF(tblChanges[[#This Row],[Date]]="","",IF(OR(tblChanges[[#This Row],[Life cost]]="",tblChanges[[#This Row],[Standard life (parts)]]=""),"",tblChanges[[#This Row],[Parts made]]*tblChanges[[#This Row],[Life cost]]/tblChanges[[#This Row],[Standard life (parts)]]))</f>
        <v>9.75</v>
      </c>
      <c r="K109" s="40">
        <f>IF(tblChanges[[#This Row],[Date]]="","",IF(OR(tblChanges[[#This Row],[Standard life (parts)]]="",tblChanges[[#This Row],[Parts made]]=""),"",tblChanges[[#This Row],[Parts made]]/tblChanges[[#This Row],[Standard life (parts)]]))</f>
        <v>1</v>
      </c>
      <c r="L109" s="36">
        <f>IF(tblChanges[[#This Row],[Date]]="","",IF(OR(tblChanges[[#This Row],[Life cost]]="",N(tblChanges[[#This Row],[Parts made]])=0),"",tblChanges[[#This Row],[Life cost]]/tblChanges[[#This Row],[Parts made]]))</f>
        <v>0.065</v>
      </c>
      <c r="M109" s="41" t="str">
        <f>IF(tblChanges[[#This Row],[Date]]="","",IFERROR(INDEX(tblReasons[Category],MATCH(tblChanges[[#This Row],[Reason]],tblReasons[Reason],0)),""))</f>
        <v>Planned</v>
      </c>
      <c r="N109" s="42" t="str">
        <f>IF(NOT(ISNUMBER(tblChanges[[#This Row],[Life achieved]])),"",IF(tblChanges[[#This Row],[Life achieved]]&gt;=TargetLife,"On target",IF(tblChanges[[#This Row],[Life achieved]]&gt;=TargetLife*(1-0.05),"Near target","Below target")))</f>
        <v>On target</v>
      </c>
      <c r="O109" s="43">
        <f>IF(tblChanges[[#This Row],[Date]]="","",IF(AND(tblChanges[[#This Row],[Date]]&gt;=FFrom,tblChanges[[#This Row],[Date]]&lt;=FTo,OR(DashMachine="",tblChanges[[#This Row],[Machine]]=DashMachine)),tblChanges[[#This Row],[Date]],""))</f>
        <v>46294</v>
      </c>
      <c r="P10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09" s="28" t="s">
        <v>158</v>
      </c>
    </row>
    <row r="110" spans="2:17" x14ac:dyDescent="0.25">
      <c r="B110" s="38">
        <v>46294</v>
      </c>
      <c r="C110" s="28" t="s">
        <v>90</v>
      </c>
      <c r="D110" s="28" t="s">
        <v>101</v>
      </c>
      <c r="E110" s="28" t="s">
        <v>163</v>
      </c>
      <c r="F110" s="34">
        <v>32</v>
      </c>
      <c r="G110" s="28" t="s">
        <v>137</v>
      </c>
      <c r="H110" s="39">
        <f>IF(tblChanges[[#This Row],[Date]]="","",IFERROR(INDEX(tblTools[Standard life (parts)],MATCH(tblChanges[[#This Row],[Tool ID]],tblTools[Tool ID],0)),""))</f>
        <v>120</v>
      </c>
      <c r="I110" s="35">
        <f>IF(tblChanges[[#This Row],[Date]]="","",IFERROR(INDEX(tblTools[Cost per life],MATCH(tblChanges[[#This Row],[Tool ID]],tblTools[Tool ID],0)),""))</f>
        <v>3.7</v>
      </c>
      <c r="J110" s="35">
        <f>IF(tblChanges[[#This Row],[Date]]="","",IF(OR(tblChanges[[#This Row],[Life cost]]="",tblChanges[[#This Row],[Standard life (parts)]]=""),"",tblChanges[[#This Row],[Parts made]]*tblChanges[[#This Row],[Life cost]]/tblChanges[[#This Row],[Standard life (parts)]]))</f>
        <v>0.986666666666667</v>
      </c>
      <c r="K110" s="40">
        <f>IF(tblChanges[[#This Row],[Date]]="","",IF(OR(tblChanges[[#This Row],[Standard life (parts)]]="",tblChanges[[#This Row],[Parts made]]=""),"",tblChanges[[#This Row],[Parts made]]/tblChanges[[#This Row],[Standard life (parts)]]))</f>
        <v>0.266666666666667</v>
      </c>
      <c r="L110" s="36">
        <f>IF(tblChanges[[#This Row],[Date]]="","",IF(OR(tblChanges[[#This Row],[Life cost]]="",N(tblChanges[[#This Row],[Parts made]])=0),"",tblChanges[[#This Row],[Life cost]]/tblChanges[[#This Row],[Parts made]]))</f>
        <v>0.115625</v>
      </c>
      <c r="M110" s="41" t="str">
        <f>IF(tblChanges[[#This Row],[Date]]="","",IFERROR(INDEX(tblReasons[Category],MATCH(tblChanges[[#This Row],[Reason]],tblReasons[Reason],0)),""))</f>
        <v>Premature failure</v>
      </c>
      <c r="N110" s="42" t="str">
        <f>IF(NOT(ISNUMBER(tblChanges[[#This Row],[Life achieved]])),"",IF(tblChanges[[#This Row],[Life achieved]]&gt;=TargetLife,"On target",IF(tblChanges[[#This Row],[Life achieved]]&gt;=TargetLife*(1-0.05),"Near target","Below target")))</f>
        <v>Below target</v>
      </c>
      <c r="O110" s="43">
        <f>IF(tblChanges[[#This Row],[Date]]="","",IF(AND(tblChanges[[#This Row],[Date]]&gt;=FFrom,tblChanges[[#This Row],[Date]]&lt;=FTo,OR(DashMachine="",tblChanges[[#This Row],[Machine]]=DashMachine)),tblChanges[[#This Row],[Date]],""))</f>
        <v>46294</v>
      </c>
      <c r="P11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0" s="28" t="s">
        <v>164</v>
      </c>
    </row>
    <row r="111" spans="2:17" x14ac:dyDescent="0.25">
      <c r="B111" s="38">
        <v>46294</v>
      </c>
      <c r="C111" s="28" t="s">
        <v>90</v>
      </c>
      <c r="D111" s="28" t="s">
        <v>101</v>
      </c>
      <c r="E111" s="28" t="s">
        <v>163</v>
      </c>
      <c r="F111" s="34">
        <v>39</v>
      </c>
      <c r="G111" s="28" t="s">
        <v>142</v>
      </c>
      <c r="H111" s="39">
        <f>IF(tblChanges[[#This Row],[Date]]="","",IFERROR(INDEX(tblTools[Standard life (parts)],MATCH(tblChanges[[#This Row],[Tool ID]],tblTools[Tool ID],0)),""))</f>
        <v>120</v>
      </c>
      <c r="I111" s="35">
        <f>IF(tblChanges[[#This Row],[Date]]="","",IFERROR(INDEX(tblTools[Cost per life],MATCH(tblChanges[[#This Row],[Tool ID]],tblTools[Tool ID],0)),""))</f>
        <v>3.7</v>
      </c>
      <c r="J111" s="35">
        <f>IF(tblChanges[[#This Row],[Date]]="","",IF(OR(tblChanges[[#This Row],[Life cost]]="",tblChanges[[#This Row],[Standard life (parts)]]=""),"",tblChanges[[#This Row],[Parts made]]*tblChanges[[#This Row],[Life cost]]/tblChanges[[#This Row],[Standard life (parts)]]))</f>
        <v>1.2025</v>
      </c>
      <c r="K111" s="40">
        <f>IF(tblChanges[[#This Row],[Date]]="","",IF(OR(tblChanges[[#This Row],[Standard life (parts)]]="",tblChanges[[#This Row],[Parts made]]=""),"",tblChanges[[#This Row],[Parts made]]/tblChanges[[#This Row],[Standard life (parts)]]))</f>
        <v>0.325</v>
      </c>
      <c r="L111" s="36">
        <f>IF(tblChanges[[#This Row],[Date]]="","",IF(OR(tblChanges[[#This Row],[Life cost]]="",N(tblChanges[[#This Row],[Parts made]])=0),"",tblChanges[[#This Row],[Life cost]]/tblChanges[[#This Row],[Parts made]]))</f>
        <v>0.0948717948717949</v>
      </c>
      <c r="M111" s="41" t="str">
        <f>IF(tblChanges[[#This Row],[Date]]="","",IFERROR(INDEX(tblReasons[Category],MATCH(tblChanges[[#This Row],[Reason]],tblReasons[Reason],0)),""))</f>
        <v>Premature failure</v>
      </c>
      <c r="N111" s="42" t="str">
        <f>IF(NOT(ISNUMBER(tblChanges[[#This Row],[Life achieved]])),"",IF(tblChanges[[#This Row],[Life achieved]]&gt;=TargetLife,"On target",IF(tblChanges[[#This Row],[Life achieved]]&gt;=TargetLife*(1-0.05),"Near target","Below target")))</f>
        <v>Below target</v>
      </c>
      <c r="O111" s="43">
        <f>IF(tblChanges[[#This Row],[Date]]="","",IF(AND(tblChanges[[#This Row],[Date]]&gt;=FFrom,tblChanges[[#This Row],[Date]]&lt;=FTo,OR(DashMachine="",tblChanges[[#This Row],[Machine]]=DashMachine)),tblChanges[[#This Row],[Date]],""))</f>
        <v>46294</v>
      </c>
      <c r="P11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1" s="28" t="s">
        <v>165</v>
      </c>
    </row>
    <row r="112" spans="2:17" x14ac:dyDescent="0.25">
      <c r="B112" s="38">
        <v>46294</v>
      </c>
      <c r="C112" s="28" t="s">
        <v>92</v>
      </c>
      <c r="D112" s="28" t="s">
        <v>109</v>
      </c>
      <c r="E112" s="28" t="s">
        <v>157</v>
      </c>
      <c r="F112" s="34">
        <v>75</v>
      </c>
      <c r="G112" s="28" t="s">
        <v>135</v>
      </c>
      <c r="H112" s="39">
        <f>IF(tblChanges[[#This Row],[Date]]="","",IFERROR(INDEX(tblTools[Standard life (parts)],MATCH(tblChanges[[#This Row],[Tool ID]],tblTools[Tool ID],0)),""))</f>
        <v>90</v>
      </c>
      <c r="I112" s="35">
        <f>IF(tblChanges[[#This Row],[Date]]="","",IFERROR(INDEX(tblTools[Cost per life],MATCH(tblChanges[[#This Row],[Tool ID]],tblTools[Tool ID],0)),""))</f>
        <v>26</v>
      </c>
      <c r="J112" s="35">
        <f>IF(tblChanges[[#This Row],[Date]]="","",IF(OR(tblChanges[[#This Row],[Life cost]]="",tblChanges[[#This Row],[Standard life (parts)]]=""),"",tblChanges[[#This Row],[Parts made]]*tblChanges[[#This Row],[Life cost]]/tblChanges[[#This Row],[Standard life (parts)]]))</f>
        <v>21.6666666666667</v>
      </c>
      <c r="K112" s="40">
        <f>IF(tblChanges[[#This Row],[Date]]="","",IF(OR(tblChanges[[#This Row],[Standard life (parts)]]="",tblChanges[[#This Row],[Parts made]]=""),"",tblChanges[[#This Row],[Parts made]]/tblChanges[[#This Row],[Standard life (parts)]]))</f>
        <v>0.833333333333333</v>
      </c>
      <c r="L112" s="36">
        <f>IF(tblChanges[[#This Row],[Date]]="","",IF(OR(tblChanges[[#This Row],[Life cost]]="",N(tblChanges[[#This Row],[Parts made]])=0),"",tblChanges[[#This Row],[Life cost]]/tblChanges[[#This Row],[Parts made]]))</f>
        <v>0.346666666666667</v>
      </c>
      <c r="M112" s="41" t="str">
        <f>IF(tblChanges[[#This Row],[Date]]="","",IFERROR(INDEX(tblReasons[Category],MATCH(tblChanges[[#This Row],[Reason]],tblReasons[Reason],0)),""))</f>
        <v>Wear</v>
      </c>
      <c r="N112" s="42" t="str">
        <f>IF(NOT(ISNUMBER(tblChanges[[#This Row],[Life achieved]])),"",IF(tblChanges[[#This Row],[Life achieved]]&gt;=TargetLife,"On target",IF(tblChanges[[#This Row],[Life achieved]]&gt;=TargetLife*(1-0.05),"Near target","Below target")))</f>
        <v>Below target</v>
      </c>
      <c r="O112" s="43">
        <f>IF(tblChanges[[#This Row],[Date]]="","",IF(AND(tblChanges[[#This Row],[Date]]&gt;=FFrom,tblChanges[[#This Row],[Date]]&lt;=FTo,OR(DashMachine="",tblChanges[[#This Row],[Machine]]=DashMachine)),tblChanges[[#This Row],[Date]],""))</f>
        <v>46294</v>
      </c>
      <c r="P11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2" s="28" t="s">
        <v>158</v>
      </c>
    </row>
    <row r="113" spans="2:17" x14ac:dyDescent="0.25">
      <c r="B113" s="38">
        <v>46295</v>
      </c>
      <c r="C113" s="28" t="s">
        <v>92</v>
      </c>
      <c r="D113" s="28" t="s">
        <v>112</v>
      </c>
      <c r="E113" s="28" t="s">
        <v>157</v>
      </c>
      <c r="F113" s="34">
        <v>260</v>
      </c>
      <c r="G113" s="28" t="s">
        <v>125</v>
      </c>
      <c r="H113" s="39">
        <f>IF(tblChanges[[#This Row],[Date]]="","",IFERROR(INDEX(tblTools[Standard life (parts)],MATCH(tblChanges[[#This Row],[Tool ID]],tblTools[Tool ID],0)),""))</f>
        <v>260</v>
      </c>
      <c r="I113" s="35">
        <f>IF(tblChanges[[#This Row],[Date]]="","",IFERROR(INDEX(tblTools[Cost per life],MATCH(tblChanges[[#This Row],[Tool ID]],tblTools[Tool ID],0)),""))</f>
        <v>38.6666666666667</v>
      </c>
      <c r="J113" s="35">
        <f>IF(tblChanges[[#This Row],[Date]]="","",IF(OR(tblChanges[[#This Row],[Life cost]]="",tblChanges[[#This Row],[Standard life (parts)]]=""),"",tblChanges[[#This Row],[Parts made]]*tblChanges[[#This Row],[Life cost]]/tblChanges[[#This Row],[Standard life (parts)]]))</f>
        <v>38.6666666666667</v>
      </c>
      <c r="K113" s="40">
        <f>IF(tblChanges[[#This Row],[Date]]="","",IF(OR(tblChanges[[#This Row],[Standard life (parts)]]="",tblChanges[[#This Row],[Parts made]]=""),"",tblChanges[[#This Row],[Parts made]]/tblChanges[[#This Row],[Standard life (parts)]]))</f>
        <v>1</v>
      </c>
      <c r="L113" s="36">
        <f>IF(tblChanges[[#This Row],[Date]]="","",IF(OR(tblChanges[[#This Row],[Life cost]]="",N(tblChanges[[#This Row],[Parts made]])=0),"",tblChanges[[#This Row],[Life cost]]/tblChanges[[#This Row],[Parts made]]))</f>
        <v>0.148717948717949</v>
      </c>
      <c r="M113" s="41" t="str">
        <f>IF(tblChanges[[#This Row],[Date]]="","",IFERROR(INDEX(tblReasons[Category],MATCH(tblChanges[[#This Row],[Reason]],tblReasons[Reason],0)),""))</f>
        <v>Planned</v>
      </c>
      <c r="N113" s="42" t="str">
        <f>IF(NOT(ISNUMBER(tblChanges[[#This Row],[Life achieved]])),"",IF(tblChanges[[#This Row],[Life achieved]]&gt;=TargetLife,"On target",IF(tblChanges[[#This Row],[Life achieved]]&gt;=TargetLife*(1-0.05),"Near target","Below target")))</f>
        <v>On target</v>
      </c>
      <c r="O113" s="43">
        <f>IF(tblChanges[[#This Row],[Date]]="","",IF(AND(tblChanges[[#This Row],[Date]]&gt;=FFrom,tblChanges[[#This Row],[Date]]&lt;=FTo,OR(DashMachine="",tblChanges[[#This Row],[Machine]]=DashMachine)),tblChanges[[#This Row],[Date]],""))</f>
        <v>46295</v>
      </c>
      <c r="P113"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3" s="28" t="s">
        <v>158</v>
      </c>
    </row>
    <row r="114" spans="2:17" x14ac:dyDescent="0.25">
      <c r="B114" s="38">
        <v>46295</v>
      </c>
      <c r="C114" s="28" t="s">
        <v>97</v>
      </c>
      <c r="D114" s="28" t="s">
        <v>109</v>
      </c>
      <c r="E114" s="28" t="s">
        <v>162</v>
      </c>
      <c r="F114" s="34">
        <v>90</v>
      </c>
      <c r="G114" s="28" t="s">
        <v>125</v>
      </c>
      <c r="H114" s="39">
        <f>IF(tblChanges[[#This Row],[Date]]="","",IFERROR(INDEX(tblTools[Standard life (parts)],MATCH(tblChanges[[#This Row],[Tool ID]],tblTools[Tool ID],0)),""))</f>
        <v>90</v>
      </c>
      <c r="I114" s="35">
        <f>IF(tblChanges[[#This Row],[Date]]="","",IFERROR(INDEX(tblTools[Cost per life],MATCH(tblChanges[[#This Row],[Tool ID]],tblTools[Tool ID],0)),""))</f>
        <v>26</v>
      </c>
      <c r="J114" s="35">
        <f>IF(tblChanges[[#This Row],[Date]]="","",IF(OR(tblChanges[[#This Row],[Life cost]]="",tblChanges[[#This Row],[Standard life (parts)]]=""),"",tblChanges[[#This Row],[Parts made]]*tblChanges[[#This Row],[Life cost]]/tblChanges[[#This Row],[Standard life (parts)]]))</f>
        <v>26</v>
      </c>
      <c r="K114" s="40">
        <f>IF(tblChanges[[#This Row],[Date]]="","",IF(OR(tblChanges[[#This Row],[Standard life (parts)]]="",tblChanges[[#This Row],[Parts made]]=""),"",tblChanges[[#This Row],[Parts made]]/tblChanges[[#This Row],[Standard life (parts)]]))</f>
        <v>1</v>
      </c>
      <c r="L114" s="36">
        <f>IF(tblChanges[[#This Row],[Date]]="","",IF(OR(tblChanges[[#This Row],[Life cost]]="",N(tblChanges[[#This Row],[Parts made]])=0),"",tblChanges[[#This Row],[Life cost]]/tblChanges[[#This Row],[Parts made]]))</f>
        <v>0.288888888888889</v>
      </c>
      <c r="M114" s="41" t="str">
        <f>IF(tblChanges[[#This Row],[Date]]="","",IFERROR(INDEX(tblReasons[Category],MATCH(tblChanges[[#This Row],[Reason]],tblReasons[Reason],0)),""))</f>
        <v>Planned</v>
      </c>
      <c r="N114" s="42" t="str">
        <f>IF(NOT(ISNUMBER(tblChanges[[#This Row],[Life achieved]])),"",IF(tblChanges[[#This Row],[Life achieved]]&gt;=TargetLife,"On target",IF(tblChanges[[#This Row],[Life achieved]]&gt;=TargetLife*(1-0.05),"Near target","Below target")))</f>
        <v>On target</v>
      </c>
      <c r="O114" s="43">
        <f>IF(tblChanges[[#This Row],[Date]]="","",IF(AND(tblChanges[[#This Row],[Date]]&gt;=FFrom,tblChanges[[#This Row],[Date]]&lt;=FTo,OR(DashMachine="",tblChanges[[#This Row],[Machine]]=DashMachine)),tblChanges[[#This Row],[Date]],""))</f>
        <v>46295</v>
      </c>
      <c r="P114"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4" s="28" t="s">
        <v>158</v>
      </c>
    </row>
    <row r="115" spans="2:17" x14ac:dyDescent="0.25">
      <c r="B115" s="38">
        <v>46296</v>
      </c>
      <c r="C115" s="28" t="s">
        <v>87</v>
      </c>
      <c r="D115" s="28" t="s">
        <v>101</v>
      </c>
      <c r="E115" s="28" t="s">
        <v>159</v>
      </c>
      <c r="F115" s="34">
        <v>120</v>
      </c>
      <c r="G115" s="28" t="s">
        <v>125</v>
      </c>
      <c r="H115" s="39">
        <f>IF(tblChanges[[#This Row],[Date]]="","",IFERROR(INDEX(tblTools[Standard life (parts)],MATCH(tblChanges[[#This Row],[Tool ID]],tblTools[Tool ID],0)),""))</f>
        <v>120</v>
      </c>
      <c r="I115" s="35">
        <f>IF(tblChanges[[#This Row],[Date]]="","",IFERROR(INDEX(tblTools[Cost per life],MATCH(tblChanges[[#This Row],[Tool ID]],tblTools[Tool ID],0)),""))</f>
        <v>3.7</v>
      </c>
      <c r="J115" s="35">
        <f>IF(tblChanges[[#This Row],[Date]]="","",IF(OR(tblChanges[[#This Row],[Life cost]]="",tblChanges[[#This Row],[Standard life (parts)]]=""),"",tblChanges[[#This Row],[Parts made]]*tblChanges[[#This Row],[Life cost]]/tblChanges[[#This Row],[Standard life (parts)]]))</f>
        <v>3.7</v>
      </c>
      <c r="K115" s="40">
        <f>IF(tblChanges[[#This Row],[Date]]="","",IF(OR(tblChanges[[#This Row],[Standard life (parts)]]="",tblChanges[[#This Row],[Parts made]]=""),"",tblChanges[[#This Row],[Parts made]]/tblChanges[[#This Row],[Standard life (parts)]]))</f>
        <v>1</v>
      </c>
      <c r="L115" s="36">
        <f>IF(tblChanges[[#This Row],[Date]]="","",IF(OR(tblChanges[[#This Row],[Life cost]]="",N(tblChanges[[#This Row],[Parts made]])=0),"",tblChanges[[#This Row],[Life cost]]/tblChanges[[#This Row],[Parts made]]))</f>
        <v>0.0308333333333333</v>
      </c>
      <c r="M115" s="41" t="str">
        <f>IF(tblChanges[[#This Row],[Date]]="","",IFERROR(INDEX(tblReasons[Category],MATCH(tblChanges[[#This Row],[Reason]],tblReasons[Reason],0)),""))</f>
        <v>Planned</v>
      </c>
      <c r="N115" s="42" t="str">
        <f>IF(NOT(ISNUMBER(tblChanges[[#This Row],[Life achieved]])),"",IF(tblChanges[[#This Row],[Life achieved]]&gt;=TargetLife,"On target",IF(tblChanges[[#This Row],[Life achieved]]&gt;=TargetLife*(1-0.05),"Near target","Below target")))</f>
        <v>On target</v>
      </c>
      <c r="O115" s="43">
        <f>IF(tblChanges[[#This Row],[Date]]="","",IF(AND(tblChanges[[#This Row],[Date]]&gt;=FFrom,tblChanges[[#This Row],[Date]]&lt;=FTo,OR(DashMachine="",tblChanges[[#This Row],[Machine]]=DashMachine)),tblChanges[[#This Row],[Date]],""))</f>
        <v>46296</v>
      </c>
      <c r="P115"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5" s="28" t="s">
        <v>158</v>
      </c>
    </row>
    <row r="116" spans="2:17" x14ac:dyDescent="0.25">
      <c r="B116" s="38">
        <v>46296</v>
      </c>
      <c r="C116" s="28" t="s">
        <v>87</v>
      </c>
      <c r="D116" s="28" t="s">
        <v>104</v>
      </c>
      <c r="E116" s="28" t="s">
        <v>159</v>
      </c>
      <c r="F116" s="34">
        <v>160</v>
      </c>
      <c r="G116" s="28" t="s">
        <v>125</v>
      </c>
      <c r="H116" s="39">
        <f>IF(tblChanges[[#This Row],[Date]]="","",IFERROR(INDEX(tblTools[Standard life (parts)],MATCH(tblChanges[[#This Row],[Tool ID]],tblTools[Tool ID],0)),""))</f>
        <v>160</v>
      </c>
      <c r="I116" s="35">
        <f>IF(tblChanges[[#This Row],[Date]]="","",IFERROR(INDEX(tblTools[Cost per life],MATCH(tblChanges[[#This Row],[Tool ID]],tblTools[Tool ID],0)),""))</f>
        <v>4.05</v>
      </c>
      <c r="J116" s="35">
        <f>IF(tblChanges[[#This Row],[Date]]="","",IF(OR(tblChanges[[#This Row],[Life cost]]="",tblChanges[[#This Row],[Standard life (parts)]]=""),"",tblChanges[[#This Row],[Parts made]]*tblChanges[[#This Row],[Life cost]]/tblChanges[[#This Row],[Standard life (parts)]]))</f>
        <v>4.05</v>
      </c>
      <c r="K116" s="40">
        <f>IF(tblChanges[[#This Row],[Date]]="","",IF(OR(tblChanges[[#This Row],[Standard life (parts)]]="",tblChanges[[#This Row],[Parts made]]=""),"",tblChanges[[#This Row],[Parts made]]/tblChanges[[#This Row],[Standard life (parts)]]))</f>
        <v>1</v>
      </c>
      <c r="L116" s="36">
        <f>IF(tblChanges[[#This Row],[Date]]="","",IF(OR(tblChanges[[#This Row],[Life cost]]="",N(tblChanges[[#This Row],[Parts made]])=0),"",tblChanges[[#This Row],[Life cost]]/tblChanges[[#This Row],[Parts made]]))</f>
        <v>0.0253125</v>
      </c>
      <c r="M116" s="41" t="str">
        <f>IF(tblChanges[[#This Row],[Date]]="","",IFERROR(INDEX(tblReasons[Category],MATCH(tblChanges[[#This Row],[Reason]],tblReasons[Reason],0)),""))</f>
        <v>Planned</v>
      </c>
      <c r="N116" s="42" t="str">
        <f>IF(NOT(ISNUMBER(tblChanges[[#This Row],[Life achieved]])),"",IF(tblChanges[[#This Row],[Life achieved]]&gt;=TargetLife,"On target",IF(tblChanges[[#This Row],[Life achieved]]&gt;=TargetLife*(1-0.05),"Near target","Below target")))</f>
        <v>On target</v>
      </c>
      <c r="O116" s="43">
        <f>IF(tblChanges[[#This Row],[Date]]="","",IF(AND(tblChanges[[#This Row],[Date]]&gt;=FFrom,tblChanges[[#This Row],[Date]]&lt;=FTo,OR(DashMachine="",tblChanges[[#This Row],[Machine]]=DashMachine)),tblChanges[[#This Row],[Date]],""))</f>
        <v>46296</v>
      </c>
      <c r="P116"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6" s="28" t="s">
        <v>158</v>
      </c>
    </row>
    <row r="117" spans="2:17" x14ac:dyDescent="0.25">
      <c r="B117" s="38">
        <v>46296</v>
      </c>
      <c r="C117" s="28" t="s">
        <v>87</v>
      </c>
      <c r="D117" s="28" t="s">
        <v>106</v>
      </c>
      <c r="E117" s="28" t="s">
        <v>159</v>
      </c>
      <c r="F117" s="34">
        <v>150</v>
      </c>
      <c r="G117" s="28" t="s">
        <v>125</v>
      </c>
      <c r="H117" s="39">
        <f>IF(tblChanges[[#This Row],[Date]]="","",IFERROR(INDEX(tblTools[Standard life (parts)],MATCH(tblChanges[[#This Row],[Tool ID]],tblTools[Tool ID],0)),""))</f>
        <v>150</v>
      </c>
      <c r="I117" s="35">
        <f>IF(tblChanges[[#This Row],[Date]]="","",IFERROR(INDEX(tblTools[Cost per life],MATCH(tblChanges[[#This Row],[Tool ID]],tblTools[Tool ID],0)),""))</f>
        <v>9.75</v>
      </c>
      <c r="J117" s="35">
        <f>IF(tblChanges[[#This Row],[Date]]="","",IF(OR(tblChanges[[#This Row],[Life cost]]="",tblChanges[[#This Row],[Standard life (parts)]]=""),"",tblChanges[[#This Row],[Parts made]]*tblChanges[[#This Row],[Life cost]]/tblChanges[[#This Row],[Standard life (parts)]]))</f>
        <v>9.75</v>
      </c>
      <c r="K117" s="40">
        <f>IF(tblChanges[[#This Row],[Date]]="","",IF(OR(tblChanges[[#This Row],[Standard life (parts)]]="",tblChanges[[#This Row],[Parts made]]=""),"",tblChanges[[#This Row],[Parts made]]/tblChanges[[#This Row],[Standard life (parts)]]))</f>
        <v>1</v>
      </c>
      <c r="L117" s="36">
        <f>IF(tblChanges[[#This Row],[Date]]="","",IF(OR(tblChanges[[#This Row],[Life cost]]="",N(tblChanges[[#This Row],[Parts made]])=0),"",tblChanges[[#This Row],[Life cost]]/tblChanges[[#This Row],[Parts made]]))</f>
        <v>0.065</v>
      </c>
      <c r="M117" s="41" t="str">
        <f>IF(tblChanges[[#This Row],[Date]]="","",IFERROR(INDEX(tblReasons[Category],MATCH(tblChanges[[#This Row],[Reason]],tblReasons[Reason],0)),""))</f>
        <v>Planned</v>
      </c>
      <c r="N117" s="42" t="str">
        <f>IF(NOT(ISNUMBER(tblChanges[[#This Row],[Life achieved]])),"",IF(tblChanges[[#This Row],[Life achieved]]&gt;=TargetLife,"On target",IF(tblChanges[[#This Row],[Life achieved]]&gt;=TargetLife*(1-0.05),"Near target","Below target")))</f>
        <v>On target</v>
      </c>
      <c r="O117" s="43">
        <f>IF(tblChanges[[#This Row],[Date]]="","",IF(AND(tblChanges[[#This Row],[Date]]&gt;=FFrom,tblChanges[[#This Row],[Date]]&lt;=FTo,OR(DashMachine="",tblChanges[[#This Row],[Machine]]=DashMachine)),tblChanges[[#This Row],[Date]],""))</f>
        <v>46296</v>
      </c>
      <c r="P117"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7" s="28" t="s">
        <v>158</v>
      </c>
    </row>
    <row r="118" spans="2:17" x14ac:dyDescent="0.25">
      <c r="B118" s="38">
        <v>46296</v>
      </c>
      <c r="C118" s="28" t="s">
        <v>90</v>
      </c>
      <c r="D118" s="28" t="s">
        <v>106</v>
      </c>
      <c r="E118" s="28" t="s">
        <v>163</v>
      </c>
      <c r="F118" s="34">
        <v>128</v>
      </c>
      <c r="G118" s="28" t="s">
        <v>128</v>
      </c>
      <c r="H118" s="39">
        <f>IF(tblChanges[[#This Row],[Date]]="","",IFERROR(INDEX(tblTools[Standard life (parts)],MATCH(tblChanges[[#This Row],[Tool ID]],tblTools[Tool ID],0)),""))</f>
        <v>150</v>
      </c>
      <c r="I118" s="35">
        <f>IF(tblChanges[[#This Row],[Date]]="","",IFERROR(INDEX(tblTools[Cost per life],MATCH(tblChanges[[#This Row],[Tool ID]],tblTools[Tool ID],0)),""))</f>
        <v>9.75</v>
      </c>
      <c r="J118" s="35">
        <f>IF(tblChanges[[#This Row],[Date]]="","",IF(OR(tblChanges[[#This Row],[Life cost]]="",tblChanges[[#This Row],[Standard life (parts)]]=""),"",tblChanges[[#This Row],[Parts made]]*tblChanges[[#This Row],[Life cost]]/tblChanges[[#This Row],[Standard life (parts)]]))</f>
        <v>8.32</v>
      </c>
      <c r="K118" s="40">
        <f>IF(tblChanges[[#This Row],[Date]]="","",IF(OR(tblChanges[[#This Row],[Standard life (parts)]]="",tblChanges[[#This Row],[Parts made]]=""),"",tblChanges[[#This Row],[Parts made]]/tblChanges[[#This Row],[Standard life (parts)]]))</f>
        <v>0.853333333333333</v>
      </c>
      <c r="L118" s="36">
        <f>IF(tblChanges[[#This Row],[Date]]="","",IF(OR(tblChanges[[#This Row],[Life cost]]="",N(tblChanges[[#This Row],[Parts made]])=0),"",tblChanges[[#This Row],[Life cost]]/tblChanges[[#This Row],[Parts made]]))</f>
        <v>0.076171875</v>
      </c>
      <c r="M118" s="41" t="str">
        <f>IF(tblChanges[[#This Row],[Date]]="","",IFERROR(INDEX(tblReasons[Category],MATCH(tblChanges[[#This Row],[Reason]],tblReasons[Reason],0)),""))</f>
        <v>Wear</v>
      </c>
      <c r="N118" s="42" t="str">
        <f>IF(NOT(ISNUMBER(tblChanges[[#This Row],[Life achieved]])),"",IF(tblChanges[[#This Row],[Life achieved]]&gt;=TargetLife,"On target",IF(tblChanges[[#This Row],[Life achieved]]&gt;=TargetLife*(1-0.05),"Near target","Below target")))</f>
        <v>Below target</v>
      </c>
      <c r="O118" s="43">
        <f>IF(tblChanges[[#This Row],[Date]]="","",IF(AND(tblChanges[[#This Row],[Date]]&gt;=FFrom,tblChanges[[#This Row],[Date]]&lt;=FTo,OR(DashMachine="",tblChanges[[#This Row],[Machine]]=DashMachine)),tblChanges[[#This Row],[Date]],""))</f>
        <v>46296</v>
      </c>
      <c r="P118"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8" s="28" t="s">
        <v>158</v>
      </c>
    </row>
    <row r="119" spans="2:17" x14ac:dyDescent="0.25">
      <c r="B119" s="38">
        <v>46296</v>
      </c>
      <c r="C119" s="28" t="s">
        <v>92</v>
      </c>
      <c r="D119" s="28" t="s">
        <v>109</v>
      </c>
      <c r="E119" s="28" t="s">
        <v>157</v>
      </c>
      <c r="F119" s="34">
        <v>90</v>
      </c>
      <c r="G119" s="28" t="s">
        <v>125</v>
      </c>
      <c r="H119" s="39">
        <f>IF(tblChanges[[#This Row],[Date]]="","",IFERROR(INDEX(tblTools[Standard life (parts)],MATCH(tblChanges[[#This Row],[Tool ID]],tblTools[Tool ID],0)),""))</f>
        <v>90</v>
      </c>
      <c r="I119" s="35">
        <f>IF(tblChanges[[#This Row],[Date]]="","",IFERROR(INDEX(tblTools[Cost per life],MATCH(tblChanges[[#This Row],[Tool ID]],tblTools[Tool ID],0)),""))</f>
        <v>26</v>
      </c>
      <c r="J119" s="35">
        <f>IF(tblChanges[[#This Row],[Date]]="","",IF(OR(tblChanges[[#This Row],[Life cost]]="",tblChanges[[#This Row],[Standard life (parts)]]=""),"",tblChanges[[#This Row],[Parts made]]*tblChanges[[#This Row],[Life cost]]/tblChanges[[#This Row],[Standard life (parts)]]))</f>
        <v>26</v>
      </c>
      <c r="K119" s="40">
        <f>IF(tblChanges[[#This Row],[Date]]="","",IF(OR(tblChanges[[#This Row],[Standard life (parts)]]="",tblChanges[[#This Row],[Parts made]]=""),"",tblChanges[[#This Row],[Parts made]]/tblChanges[[#This Row],[Standard life (parts)]]))</f>
        <v>1</v>
      </c>
      <c r="L119" s="36">
        <f>IF(tblChanges[[#This Row],[Date]]="","",IF(OR(tblChanges[[#This Row],[Life cost]]="",N(tblChanges[[#This Row],[Parts made]])=0),"",tblChanges[[#This Row],[Life cost]]/tblChanges[[#This Row],[Parts made]]))</f>
        <v>0.288888888888889</v>
      </c>
      <c r="M119" s="41" t="str">
        <f>IF(tblChanges[[#This Row],[Date]]="","",IFERROR(INDEX(tblReasons[Category],MATCH(tblChanges[[#This Row],[Reason]],tblReasons[Reason],0)),""))</f>
        <v>Planned</v>
      </c>
      <c r="N119" s="42" t="str">
        <f>IF(NOT(ISNUMBER(tblChanges[[#This Row],[Life achieved]])),"",IF(tblChanges[[#This Row],[Life achieved]]&gt;=TargetLife,"On target",IF(tblChanges[[#This Row],[Life achieved]]&gt;=TargetLife*(1-0.05),"Near target","Below target")))</f>
        <v>On target</v>
      </c>
      <c r="O119" s="43">
        <f>IF(tblChanges[[#This Row],[Date]]="","",IF(AND(tblChanges[[#This Row],[Date]]&gt;=FFrom,tblChanges[[#This Row],[Date]]&lt;=FTo,OR(DashMachine="",tblChanges[[#This Row],[Machine]]=DashMachine)),tblChanges[[#This Row],[Date]],""))</f>
        <v>46296</v>
      </c>
      <c r="P119"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19" s="28" t="s">
        <v>158</v>
      </c>
    </row>
    <row r="120" spans="2:17" x14ac:dyDescent="0.25">
      <c r="B120" s="38">
        <v>46296</v>
      </c>
      <c r="C120" s="28" t="s">
        <v>95</v>
      </c>
      <c r="D120" s="28" t="s">
        <v>112</v>
      </c>
      <c r="E120" s="28" t="s">
        <v>161</v>
      </c>
      <c r="F120" s="34">
        <v>260</v>
      </c>
      <c r="G120" s="28" t="s">
        <v>125</v>
      </c>
      <c r="H120" s="39">
        <f>IF(tblChanges[[#This Row],[Date]]="","",IFERROR(INDEX(tblTools[Standard life (parts)],MATCH(tblChanges[[#This Row],[Tool ID]],tblTools[Tool ID],0)),""))</f>
        <v>260</v>
      </c>
      <c r="I120" s="35">
        <f>IF(tblChanges[[#This Row],[Date]]="","",IFERROR(INDEX(tblTools[Cost per life],MATCH(tblChanges[[#This Row],[Tool ID]],tblTools[Tool ID],0)),""))</f>
        <v>38.6666666666667</v>
      </c>
      <c r="J120" s="35">
        <f>IF(tblChanges[[#This Row],[Date]]="","",IF(OR(tblChanges[[#This Row],[Life cost]]="",tblChanges[[#This Row],[Standard life (parts)]]=""),"",tblChanges[[#This Row],[Parts made]]*tblChanges[[#This Row],[Life cost]]/tblChanges[[#This Row],[Standard life (parts)]]))</f>
        <v>38.6666666666667</v>
      </c>
      <c r="K120" s="40">
        <f>IF(tblChanges[[#This Row],[Date]]="","",IF(OR(tblChanges[[#This Row],[Standard life (parts)]]="",tblChanges[[#This Row],[Parts made]]=""),"",tblChanges[[#This Row],[Parts made]]/tblChanges[[#This Row],[Standard life (parts)]]))</f>
        <v>1</v>
      </c>
      <c r="L120" s="36">
        <f>IF(tblChanges[[#This Row],[Date]]="","",IF(OR(tblChanges[[#This Row],[Life cost]]="",N(tblChanges[[#This Row],[Parts made]])=0),"",tblChanges[[#This Row],[Life cost]]/tblChanges[[#This Row],[Parts made]]))</f>
        <v>0.148717948717949</v>
      </c>
      <c r="M120" s="41" t="str">
        <f>IF(tblChanges[[#This Row],[Date]]="","",IFERROR(INDEX(tblReasons[Category],MATCH(tblChanges[[#This Row],[Reason]],tblReasons[Reason],0)),""))</f>
        <v>Planned</v>
      </c>
      <c r="N120" s="42" t="str">
        <f>IF(NOT(ISNUMBER(tblChanges[[#This Row],[Life achieved]])),"",IF(tblChanges[[#This Row],[Life achieved]]&gt;=TargetLife,"On target",IF(tblChanges[[#This Row],[Life achieved]]&gt;=TargetLife*(1-0.05),"Near target","Below target")))</f>
        <v>On target</v>
      </c>
      <c r="O120" s="43">
        <f>IF(tblChanges[[#This Row],[Date]]="","",IF(AND(tblChanges[[#This Row],[Date]]&gt;=FFrom,tblChanges[[#This Row],[Date]]&lt;=FTo,OR(DashMachine="",tblChanges[[#This Row],[Machine]]=DashMachine)),tblChanges[[#This Row],[Date]],""))</f>
        <v>46296</v>
      </c>
      <c r="P120"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20" s="28" t="s">
        <v>158</v>
      </c>
    </row>
    <row r="121" spans="2:17" x14ac:dyDescent="0.25">
      <c r="B121" s="38">
        <v>46297</v>
      </c>
      <c r="C121" s="28" t="s">
        <v>90</v>
      </c>
      <c r="D121" s="28" t="s">
        <v>101</v>
      </c>
      <c r="E121" s="28" t="s">
        <v>163</v>
      </c>
      <c r="F121" s="34">
        <v>120</v>
      </c>
      <c r="G121" s="28" t="s">
        <v>125</v>
      </c>
      <c r="H121" s="39">
        <f>IF(tblChanges[[#This Row],[Date]]="","",IFERROR(INDEX(tblTools[Standard life (parts)],MATCH(tblChanges[[#This Row],[Tool ID]],tblTools[Tool ID],0)),""))</f>
        <v>120</v>
      </c>
      <c r="I121" s="35">
        <f>IF(tblChanges[[#This Row],[Date]]="","",IFERROR(INDEX(tblTools[Cost per life],MATCH(tblChanges[[#This Row],[Tool ID]],tblTools[Tool ID],0)),""))</f>
        <v>3.7</v>
      </c>
      <c r="J121" s="35">
        <f>IF(tblChanges[[#This Row],[Date]]="","",IF(OR(tblChanges[[#This Row],[Life cost]]="",tblChanges[[#This Row],[Standard life (parts)]]=""),"",tblChanges[[#This Row],[Parts made]]*tblChanges[[#This Row],[Life cost]]/tblChanges[[#This Row],[Standard life (parts)]]))</f>
        <v>3.7</v>
      </c>
      <c r="K121" s="40">
        <f>IF(tblChanges[[#This Row],[Date]]="","",IF(OR(tblChanges[[#This Row],[Standard life (parts)]]="",tblChanges[[#This Row],[Parts made]]=""),"",tblChanges[[#This Row],[Parts made]]/tblChanges[[#This Row],[Standard life (parts)]]))</f>
        <v>1</v>
      </c>
      <c r="L121" s="36">
        <f>IF(tblChanges[[#This Row],[Date]]="","",IF(OR(tblChanges[[#This Row],[Life cost]]="",N(tblChanges[[#This Row],[Parts made]])=0),"",tblChanges[[#This Row],[Life cost]]/tblChanges[[#This Row],[Parts made]]))</f>
        <v>0.0308333333333333</v>
      </c>
      <c r="M121" s="41" t="str">
        <f>IF(tblChanges[[#This Row],[Date]]="","",IFERROR(INDEX(tblReasons[Category],MATCH(tblChanges[[#This Row],[Reason]],tblReasons[Reason],0)),""))</f>
        <v>Planned</v>
      </c>
      <c r="N121" s="42" t="str">
        <f>IF(NOT(ISNUMBER(tblChanges[[#This Row],[Life achieved]])),"",IF(tblChanges[[#This Row],[Life achieved]]&gt;=TargetLife,"On target",IF(tblChanges[[#This Row],[Life achieved]]&gt;=TargetLife*(1-0.05),"Near target","Below target")))</f>
        <v>On target</v>
      </c>
      <c r="O121" s="43">
        <f>IF(tblChanges[[#This Row],[Date]]="","",IF(AND(tblChanges[[#This Row],[Date]]&gt;=FFrom,tblChanges[[#This Row],[Date]]&lt;=FTo,OR(DashMachine="",tblChanges[[#This Row],[Machine]]=DashMachine)),tblChanges[[#This Row],[Date]],""))</f>
        <v>46297</v>
      </c>
      <c r="P121"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21" s="28" t="s">
        <v>158</v>
      </c>
    </row>
    <row r="122" spans="2:17" x14ac:dyDescent="0.25">
      <c r="B122" s="38">
        <v>46297</v>
      </c>
      <c r="C122" s="28" t="s">
        <v>90</v>
      </c>
      <c r="D122" s="28" t="s">
        <v>101</v>
      </c>
      <c r="E122" s="28" t="s">
        <v>163</v>
      </c>
      <c r="F122" s="34">
        <v>32</v>
      </c>
      <c r="G122" s="28" t="s">
        <v>137</v>
      </c>
      <c r="H122" s="39">
        <f>IF(tblChanges[[#This Row],[Date]]="","",IFERROR(INDEX(tblTools[Standard life (parts)],MATCH(tblChanges[[#This Row],[Tool ID]],tblTools[Tool ID],0)),""))</f>
        <v>120</v>
      </c>
      <c r="I122" s="35">
        <f>IF(tblChanges[[#This Row],[Date]]="","",IFERROR(INDEX(tblTools[Cost per life],MATCH(tblChanges[[#This Row],[Tool ID]],tblTools[Tool ID],0)),""))</f>
        <v>3.7</v>
      </c>
      <c r="J122" s="35">
        <f>IF(tblChanges[[#This Row],[Date]]="","",IF(OR(tblChanges[[#This Row],[Life cost]]="",tblChanges[[#This Row],[Standard life (parts)]]=""),"",tblChanges[[#This Row],[Parts made]]*tblChanges[[#This Row],[Life cost]]/tblChanges[[#This Row],[Standard life (parts)]]))</f>
        <v>0.986666666666667</v>
      </c>
      <c r="K122" s="40">
        <f>IF(tblChanges[[#This Row],[Date]]="","",IF(OR(tblChanges[[#This Row],[Standard life (parts)]]="",tblChanges[[#This Row],[Parts made]]=""),"",tblChanges[[#This Row],[Parts made]]/tblChanges[[#This Row],[Standard life (parts)]]))</f>
        <v>0.266666666666667</v>
      </c>
      <c r="L122" s="36">
        <f>IF(tblChanges[[#This Row],[Date]]="","",IF(OR(tblChanges[[#This Row],[Life cost]]="",N(tblChanges[[#This Row],[Parts made]])=0),"",tblChanges[[#This Row],[Life cost]]/tblChanges[[#This Row],[Parts made]]))</f>
        <v>0.115625</v>
      </c>
      <c r="M122" s="41" t="str">
        <f>IF(tblChanges[[#This Row],[Date]]="","",IFERROR(INDEX(tblReasons[Category],MATCH(tblChanges[[#This Row],[Reason]],tblReasons[Reason],0)),""))</f>
        <v>Premature failure</v>
      </c>
      <c r="N122" s="42" t="str">
        <f>IF(NOT(ISNUMBER(tblChanges[[#This Row],[Life achieved]])),"",IF(tblChanges[[#This Row],[Life achieved]]&gt;=TargetLife,"On target",IF(tblChanges[[#This Row],[Life achieved]]&gt;=TargetLife*(1-0.05),"Near target","Below target")))</f>
        <v>Below target</v>
      </c>
      <c r="O122" s="43">
        <f>IF(tblChanges[[#This Row],[Date]]="","",IF(AND(tblChanges[[#This Row],[Date]]&gt;=FFrom,tblChanges[[#This Row],[Date]]&lt;=FTo,OR(DashMachine="",tblChanges[[#This Row],[Machine]]=DashMachine)),tblChanges[[#This Row],[Date]],""))</f>
        <v>46297</v>
      </c>
      <c r="P122" s="44" t="str">
        <f>IF(tblChanges[[#This Row],[Date]]="","",IF(tblChanges[[#This Row],[Machine]]="","Missing machine",IF(tblChanges[[#This Row],[Tool ID]]="","Missing tool id",IF(tblChanges[[#This Row],[Parts made]]="","Missing parts made",IF(tblChanges[[#This Row],[Reason]]="","Missing reason",IF(tblChanges[[#This Row],[Standard life (parts)]]="","Tool not on Setup list",IF(tblChanges[[#This Row],[Category]]="","Reason not on Setup list",IF(tblChanges[[#This Row],[Parts made]]&gt;3*tblChanges[[#This Row],[Standard life (parts)]],"Parts above 3x standard: check count",IF(AND(tblChanges[[#This Row],[Category]]="Planned",tblChanges[[#This Row],[Parts made]]&lt;0.8*tblChanges[[#This Row],[Standard life (parts)]]),"Planned change below 80% of standard","OK")))))))))</f>
        <v>OK</v>
      </c>
      <c r="Q122" s="28" t="s">
        <v>164</v>
      </c>
    </row>
  </sheetData>
  <mergeCells count="3">
    <mergeCell ref="A1:Q1"/>
    <mergeCell ref="B2:P2"/>
    <mergeCell ref="B4:Q4"/>
  </mergeCells>
  <conditionalFormatting sqref="K7:K622">
    <cfRule type="expression" dxfId="3" priority="1" stopIfTrue="1">
      <formula>AND(ISNUMBER(K7),K7&gt;=(TargetLife))</formula>
    </cfRule>
    <cfRule type="expression" dxfId="4" priority="2" stopIfTrue="1">
      <formula>AND(ISNUMBER(K7),K7&gt;=(TargetLife)*(1-0.05))</formula>
    </cfRule>
    <cfRule type="expression" dxfId="5" priority="3">
      <formula>ISNUMBER(K7)</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N7:N622">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P7:P622">
    <cfRule type="expression" dxfId="3" priority="25">
      <formula>$P7="OK"</formula>
    </cfRule>
    <cfRule type="expression" dxfId="1" priority="26">
      <formula>AND($P7&lt;&gt;"",$P7&lt;&gt;"OK")</formula>
    </cfRule>
  </conditionalFormatting>
  <dataValidations count="7">
    <dataValidation type="date" allowBlank="1" showInputMessage="1" showErrorMessage="1" errorTitle="Check this entry" error="Enter a date between 01 Jan 2000 and 31 Dec 2100." promptTitle="Date" prompt="Enter a date between 01 Jan 2000 and 31 Dec 2100." sqref="B7:B622">
      <formula1>36526</formula1>
      <formula2>73415</formula2>
    </dataValidation>
    <dataValidation type="list" allowBlank="1" showInputMessage="1" showErrorMessage="1" errorTitle="Check this entry" error="Pick from the list (edit the list on Setup: Machines)." promptTitle="Machine" prompt="Pick from the list (edit the list on Setup: Machines)." sqref="C7:C622">
      <formula1>Machines</formula1>
    </dataValidation>
    <dataValidation type="list" allowBlank="1" showInputMessage="1" showErrorMessage="1" errorTitle="Check this entry" error="Pick from the list (edit the list on Setup: Tools)." promptTitle="Tool ID" prompt="Pick from the list (edit the list on Setup: Tools)." sqref="D7:D622">
      <formula1>Tools</formula1>
    </dataValidation>
    <dataValidation type="textLength" allowBlank="1" showInputMessage="1" showErrorMessage="1" errorTitle="Check this entry" error="Text up to 40 characters." promptTitle="Part number" prompt="Job or part number the tool was cutting. Text up to 40 characters." sqref="E7:E622">
      <formula1>0</formula1>
      <formula2>40</formula2>
    </dataValidation>
    <dataValidation type="whole" allowBlank="1" showInputMessage="1" showErrorMessage="1" errorTitle="Check this entry" error="Enter a whole number from 0 to 10,000,000." promptTitle="Parts made" prompt="Parts cut on this edge or tool life, from the counter or the job traveller. Enter a whole number from 0 to 10,000,000." sqref="F7:F622">
      <formula1>0</formula1>
      <formula2>10000000</formula2>
    </dataValidation>
    <dataValidation type="list" allowBlank="1" showInputMessage="1" showErrorMessage="1" errorTitle="Check this entry" error="Pick from the list (edit the list on Setup: Reasons)." promptTitle="Reason" prompt="Pick from the list (edit the list on Setup: Reasons)." sqref="G7:G622">
      <formula1>Reasons</formula1>
    </dataValidation>
    <dataValidation type="textLength" allowBlank="1" showInputMessage="1" showErrorMessage="1" errorTitle="Check this entry" error="Text up to 255 characters." promptTitle="Notes" prompt="Text up to 255 characters." sqref="Q7:Q622">
      <formula1>0</formula1>
      <formula2>255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Cutting Tool Life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K7:K622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97"/>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62</v>
      </c>
      <c r="C4" s="28"/>
      <c r="D4" s="28"/>
      <c r="F4" s="27" t="s">
        <v>166</v>
      </c>
      <c r="G4" s="45"/>
      <c r="H4" s="45"/>
      <c r="J4" s="27" t="s">
        <v>167</v>
      </c>
      <c r="K4" s="45"/>
      <c r="L4" s="45"/>
    </row>
    <row r="5" spans="1:12" x14ac:dyDescent="0.25">
      <c r="B5" s="46" t="str">
        <f>"Showing "&amp;COUNTIFS(tblChanges[View date],"&gt;0")&amp;" tool changes. Leave the filters blank to include everything; dates are inclusive. Money in "&amp;Currency&amp;"."</f>
        <v>Showing 116 tool changes. Leave the filters blank to include everything; dates are inclusive. Money in USD.</v>
      </c>
      <c r="C5" s="46"/>
      <c r="D5" s="46"/>
      <c r="E5" s="46"/>
      <c r="F5" s="46"/>
      <c r="G5" s="46"/>
      <c r="H5" s="46"/>
      <c r="I5" s="46"/>
      <c r="J5" s="46"/>
      <c r="K5" s="46"/>
      <c r="L5" s="46"/>
    </row>
    <row r="7" spans="1:12" ht="18" customHeight="1" x14ac:dyDescent="0.25">
      <c r="B7" s="47" t="s">
        <v>168</v>
      </c>
      <c r="C7" s="47"/>
      <c r="D7" s="47" t="s">
        <v>169</v>
      </c>
      <c r="E7" s="47"/>
      <c r="F7" s="47"/>
      <c r="G7" s="47" t="str">
        <f>"TOOL SPEND ("&amp;Currency&amp;")"</f>
        <v>TOOL SPEND (USD)</v>
      </c>
      <c r="H7" s="47"/>
      <c r="I7" s="47"/>
      <c r="J7" s="47" t="str">
        <f>"SPEND ABOVE STANDARD ("&amp;Currency&amp;", EST.)"</f>
        <v>SPEND ABOVE STANDARD (USD, EST.)</v>
      </c>
      <c r="K7" s="47"/>
      <c r="L7" s="47"/>
    </row>
    <row r="8" spans="1:12" ht="21" customHeight="1" x14ac:dyDescent="0.25">
      <c r="B8" s="48">
        <f>IF((SUMIFS(tblChanges[Standard life (parts)],tblChanges[View date],"&gt;0"))=0,"",(SUMIFS(tblChanges[Parts made],tblChanges[View date],"&gt;0"))/(SUMIFS(tblChanges[Standard life (parts)],tblChanges[View date],"&gt;0")))</f>
        <v>0.879959616355376</v>
      </c>
      <c r="C8" s="48"/>
      <c r="D8" s="48">
        <f>IF((COUNTIFS(tblChanges[View date],"&gt;0"))=0,"",(COUNTIFS(tblChanges[Category],"Premature failure",tblChanges[View date],"&gt;0"))/(COUNTIFS(tblChanges[View date],"&gt;0")))</f>
        <v>0.163793103448276</v>
      </c>
      <c r="E8" s="48"/>
      <c r="F8" s="48"/>
      <c r="G8" s="49">
        <f>SUMIFS(tblChanges[Life cost],tblChanges[View date],"&gt;0")</f>
        <v>1812.41666666667</v>
      </c>
      <c r="H8" s="49"/>
      <c r="I8" s="49"/>
      <c r="J8" s="49">
        <f>SUMIFS(tblChanges[Life cost],tblChanges[View date],"&gt;0")-SUMIFS(tblChanges[Standard cost],tblChanges[View date],"&gt;0")</f>
        <v>153.949634081197</v>
      </c>
      <c r="K8" s="49"/>
      <c r="L8" s="49"/>
    </row>
    <row r="9" spans="1:12" ht="21" customHeight="1" x14ac:dyDescent="0.25">
      <c r="B9" s="48"/>
      <c r="C9" s="48"/>
      <c r="D9" s="48"/>
      <c r="E9" s="48"/>
      <c r="F9" s="48"/>
      <c r="G9" s="49"/>
      <c r="H9" s="49"/>
      <c r="I9" s="49"/>
      <c r="J9" s="49"/>
      <c r="K9" s="49"/>
      <c r="L9" s="49"/>
    </row>
    <row r="10" spans="1:12" x14ac:dyDescent="0.25">
      <c r="B10" s="50">
        <f>TargetLife</f>
        <v>0.9</v>
      </c>
      <c r="C10" s="50"/>
      <c r="D10" s="51">
        <f>PrematureLimit</f>
        <v>0.1</v>
      </c>
      <c r="E10" s="51"/>
      <c r="F10" s="51"/>
      <c r="G10" s="52" t="s">
        <v>170</v>
      </c>
      <c r="H10" s="52"/>
      <c r="I10" s="52"/>
      <c r="J10" s="52" t="s">
        <v>171</v>
      </c>
      <c r="K10" s="52"/>
      <c r="L10" s="52"/>
    </row>
    <row r="11" spans="1:12" ht="18" customHeight="1" x14ac:dyDescent="0.25">
      <c r="B11" s="53" t="str">
        <f>IF(NOT(ISNUMBER(KpiLife)),"No data",IF(KpiLife&gt;=(TargetLife),"On target",IF(KpiLife&gt;=(TargetLife)*(1-0.05),"Near target","Below target")))</f>
        <v>Near target</v>
      </c>
      <c r="C11" s="53"/>
      <c r="D11" s="53" t="str">
        <f>IF(NOT(ISNUMBER(KpiPrem)),"No data",IF(KpiPrem&lt;=(PrematureLimit),"On target",IF(KpiPrem&lt;=(PrematureLimit)*(1+0.05),"Near target","Above target")))</f>
        <v>Above target</v>
      </c>
      <c r="E11" s="53"/>
      <c r="F11" s="53"/>
      <c r="G11" s="53"/>
      <c r="H11" s="53"/>
      <c r="I11" s="53"/>
      <c r="J11" s="53"/>
      <c r="K11" s="53"/>
      <c r="L11" s="53"/>
    </row>
    <row r="29" spans="2:12" ht="18" customHeight="1" x14ac:dyDescent="0.25">
      <c r="B29" s="47" t="s">
        <v>172</v>
      </c>
      <c r="C29" s="47"/>
      <c r="D29" s="47" t="s">
        <v>173</v>
      </c>
      <c r="E29" s="47"/>
      <c r="F29" s="47"/>
      <c r="G29" s="47" t="s">
        <v>174</v>
      </c>
      <c r="H29" s="47"/>
      <c r="I29" s="47"/>
      <c r="J29" s="47" t="s">
        <v>175</v>
      </c>
      <c r="K29" s="47"/>
      <c r="L29" s="47"/>
    </row>
    <row r="30" spans="2:12" ht="21" customHeight="1" x14ac:dyDescent="0.25">
      <c r="B30" s="49">
        <f>COUNTIFS(tblChanges[View date],"&gt;0")</f>
        <v>116</v>
      </c>
      <c r="C30" s="49"/>
      <c r="D30" s="48">
        <f>IF((COUNTIFS(tblChanges[View date],"&gt;0"))=0,"",(COUNTIFS(tblChanges[Category],"Planned",tblChanges[View date],"&gt;0"))/(COUNTIFS(tblChanges[View date],"&gt;0")))</f>
        <v>0.663793103448276</v>
      </c>
      <c r="E30" s="48"/>
      <c r="F30" s="48"/>
      <c r="G30" s="54" t="str">
        <f>IF(COUNT($F$54:$F$61)=0,"None logged",INDEX($B$54:$B$61,MATCH(MIN($F$54:$F$61),$F$54:$F$61,0)))</f>
        <v>T-101</v>
      </c>
      <c r="H30" s="54"/>
      <c r="I30" s="54"/>
      <c r="J30" s="54" t="str">
        <f>IF(N(INDEX($E$85:$E$93,1))&gt;0,INDEX($C$85:$C$93,1),"None logged")</f>
        <v>Chipping</v>
      </c>
      <c r="K30" s="54"/>
      <c r="L30" s="54"/>
    </row>
    <row r="31" spans="2:12" ht="21" customHeight="1" x14ac:dyDescent="0.25">
      <c r="B31" s="49"/>
      <c r="C31" s="49"/>
      <c r="D31" s="48"/>
      <c r="E31" s="48"/>
      <c r="F31" s="48"/>
      <c r="G31" s="54"/>
      <c r="H31" s="54"/>
      <c r="I31" s="54"/>
      <c r="J31" s="54"/>
      <c r="K31" s="54"/>
      <c r="L31" s="54"/>
    </row>
    <row r="32" spans="2:12" x14ac:dyDescent="0.25">
      <c r="B32" s="52" t="s">
        <v>176</v>
      </c>
      <c r="C32" s="52"/>
      <c r="D32" s="52" t="s">
        <v>177</v>
      </c>
      <c r="E32" s="52"/>
      <c r="F32" s="52"/>
      <c r="G32" s="52" t="s">
        <v>178</v>
      </c>
      <c r="H32" s="52"/>
      <c r="I32" s="52"/>
      <c r="J32" s="52" t="s">
        <v>179</v>
      </c>
      <c r="K32" s="52"/>
      <c r="L32" s="52"/>
    </row>
    <row r="33" spans="2:12" ht="18" customHeight="1" x14ac:dyDescent="0.25">
      <c r="B33" s="53"/>
      <c r="C33" s="53"/>
      <c r="D33" s="53"/>
      <c r="E33" s="53"/>
      <c r="F33" s="53"/>
      <c r="G33" s="53"/>
      <c r="H33" s="53"/>
      <c r="I33" s="53"/>
      <c r="J33" s="53"/>
      <c r="K33" s="53"/>
      <c r="L33" s="53"/>
    </row>
    <row r="51" spans="2:11" x14ac:dyDescent="0.25">
      <c r="B51" s="30" t="s">
        <v>180</v>
      </c>
      <c r="C51" s="30"/>
      <c r="D51" s="30"/>
      <c r="E51" s="30"/>
      <c r="F51" s="30"/>
      <c r="G51" s="30"/>
      <c r="H51" s="30"/>
      <c r="I51" s="30"/>
      <c r="J51" s="30"/>
      <c r="K51" s="30"/>
    </row>
    <row r="52" spans="2:11" ht="32" customHeight="1" x14ac:dyDescent="0.25">
      <c r="B52" s="55" t="s">
        <v>181</v>
      </c>
      <c r="C52" s="31" t="s">
        <v>182</v>
      </c>
      <c r="D52" s="31" t="s">
        <v>148</v>
      </c>
      <c r="E52" s="31" t="s">
        <v>183</v>
      </c>
      <c r="F52" s="31" t="s">
        <v>151</v>
      </c>
      <c r="G52" s="31" t="s">
        <v>184</v>
      </c>
      <c r="H52" s="31" t="s">
        <v>185</v>
      </c>
      <c r="I52" s="31" t="s">
        <v>152</v>
      </c>
      <c r="J52" s="31" t="s">
        <v>72</v>
      </c>
      <c r="K52" s="31" t="s">
        <v>186</v>
      </c>
    </row>
    <row r="53" spans="2:11" ht="14" customHeight="1" x14ac:dyDescent="0.25">
      <c r="B53" s="32"/>
      <c r="C53" s="32"/>
      <c r="D53" s="32"/>
      <c r="E53" s="32"/>
      <c r="F53" s="32"/>
      <c r="G53" s="32"/>
      <c r="H53" s="32" t="str">
        <f>Currency</f>
        <v>USD</v>
      </c>
      <c r="I53" s="32" t="str">
        <f>Currency&amp;"/part"</f>
        <v>USD/part</v>
      </c>
      <c r="J53" s="32" t="str">
        <f>Currency&amp;"/part"</f>
        <v>USD/part</v>
      </c>
      <c r="K53" s="32" t="str">
        <f>Currency</f>
        <v>USD</v>
      </c>
    </row>
    <row r="54" spans="2:11" x14ac:dyDescent="0.25">
      <c r="B54" s="56" t="str">
        <f>IFERROR(INDEX(tblTools[Tool ID],1)&amp;"","")</f>
        <v>T-101</v>
      </c>
      <c r="C54" s="39">
        <f>IF($B$54="","",COUNTIFS(tblChanges[Tool ID],$B$54,tblChanges[View date],"&gt;0"))</f>
        <v>36</v>
      </c>
      <c r="D54" s="39">
        <f>IF($B$54="","",SUMIFS(tblChanges[Parts made],tblChanges[Tool ID],$B$54,tblChanges[View date],"&gt;0"))</f>
        <v>3143</v>
      </c>
      <c r="E54" s="39">
        <f>IF($B$54="","",COUNTIFS(tblChanges[Tool ID],$B$54,tblChanges[View date],"&gt;0",tblChanges[Category],"&lt;&gt;Planned"))</f>
        <v>18</v>
      </c>
      <c r="F54" s="40">
        <f>IF($B$54="","",IF((SUMIFS(tblChanges[Standard life (parts)],tblChanges[Tool ID],$B$54,tblChanges[View date],"&gt;0"))=0,"",(SUMIFS(tblChanges[Parts made],tblChanges[Tool ID],$B$54,tblChanges[View date],"&gt;0"))/(SUMIFS(tblChanges[Standard life (parts)],tblChanges[Tool ID],$B$54,tblChanges[View date],"&gt;0"))))</f>
        <v>0.727546296296296</v>
      </c>
      <c r="G54" s="57">
        <f>TargetLife</f>
        <v>0.9</v>
      </c>
      <c r="H54" s="39">
        <f>IF($B$54="","",SUMIFS(tblChanges[Life cost],tblChanges[Tool ID],$B$54,tblChanges[View date],"&gt;0"))</f>
        <v>133.2</v>
      </c>
      <c r="I54" s="36">
        <f>IF($B$54="","",IF((SUMIFS(tblChanges[Parts made],tblChanges[Tool ID],$B$54,tblChanges[View date],"&gt;0"))=0,"",(SUMIFS(tblChanges[Life cost],tblChanges[Tool ID],$B$54,tblChanges[View date],"&gt;0"))/(SUMIFS(tblChanges[Parts made],tblChanges[Tool ID],$B$54,tblChanges[View date],"&gt;0"))))</f>
        <v>0.042379891823099</v>
      </c>
      <c r="J54" s="36">
        <f>IF($B$54="","",IFERROR(INDEX(tblTools[Standard cost per part],MATCH($B$54,tblTools[Tool ID],0)),""))</f>
        <v>0.0308333333333333</v>
      </c>
      <c r="K54" s="39">
        <f>IF($B$54="","",SUMIFS(tblChanges[Life cost],tblChanges[Tool ID],$B$54,tblChanges[View date],"&gt;0")-SUMIFS(tblChanges[Standard cost],tblChanges[Tool ID],$B$54,tblChanges[View date],"&gt;0"))</f>
        <v>36.2908333333333</v>
      </c>
    </row>
    <row r="55" spans="2:11" x14ac:dyDescent="0.25">
      <c r="B55" s="56" t="str">
        <f>IFERROR(INDEX(tblTools[Tool ID],2)&amp;"","")</f>
        <v>T-102</v>
      </c>
      <c r="C55" s="39">
        <f>IF($B$55="","",COUNTIFS(tblChanges[Tool ID],$B$55,tblChanges[View date],"&gt;0"))</f>
        <v>11</v>
      </c>
      <c r="D55" s="39">
        <f>IF($B$55="","",SUMIFS(tblChanges[Parts made],tblChanges[Tool ID],$B$55,tblChanges[View date],"&gt;0"))</f>
        <v>1581</v>
      </c>
      <c r="E55" s="39">
        <f>IF($B$55="","",COUNTIFS(tblChanges[Tool ID],$B$55,tblChanges[View date],"&gt;0",tblChanges[Category],"&lt;&gt;Planned"))</f>
        <v>2</v>
      </c>
      <c r="F55" s="40">
        <f>IF($B$55="","",IF((SUMIFS(tblChanges[Standard life (parts)],tblChanges[Tool ID],$B$55,tblChanges[View date],"&gt;0"))=0,"",(SUMIFS(tblChanges[Parts made],tblChanges[Tool ID],$B$55,tblChanges[View date],"&gt;0"))/(SUMIFS(tblChanges[Standard life (parts)],tblChanges[Tool ID],$B$55,tblChanges[View date],"&gt;0"))))</f>
        <v>0.898295454545455</v>
      </c>
      <c r="G55" s="57">
        <f>TargetLife</f>
        <v>0.9</v>
      </c>
      <c r="H55" s="39">
        <f>IF($B$55="","",SUMIFS(tblChanges[Life cost],tblChanges[Tool ID],$B$55,tblChanges[View date],"&gt;0"))</f>
        <v>44.55</v>
      </c>
      <c r="I55" s="36">
        <f>IF($B$55="","",IF((SUMIFS(tblChanges[Parts made],tblChanges[Tool ID],$B$55,tblChanges[View date],"&gt;0"))=0,"",(SUMIFS(tblChanges[Life cost],tblChanges[Tool ID],$B$55,tblChanges[View date],"&gt;0"))/(SUMIFS(tblChanges[Parts made],tblChanges[Tool ID],$B$55,tblChanges[View date],"&gt;0"))))</f>
        <v>0.0281783681214421</v>
      </c>
      <c r="J55" s="36">
        <f>IF($B$55="","",IFERROR(INDEX(tblTools[Standard cost per part],MATCH($B$55,tblTools[Tool ID],0)),""))</f>
        <v>0.0253125</v>
      </c>
      <c r="K55" s="39">
        <f>IF($B$55="","",SUMIFS(tblChanges[Life cost],tblChanges[Tool ID],$B$55,tblChanges[View date],"&gt;0")-SUMIFS(tblChanges[Standard cost],tblChanges[Tool ID],$B$55,tblChanges[View date],"&gt;0"))</f>
        <v>4.5309375</v>
      </c>
    </row>
    <row r="56" spans="2:11" x14ac:dyDescent="0.25">
      <c r="B56" s="56" t="str">
        <f>IFERROR(INDEX(tblTools[Tool ID],3)&amp;"","")</f>
        <v>T-103</v>
      </c>
      <c r="C56" s="39">
        <f>IF($B$56="","",COUNTIFS(tblChanges[Tool ID],$B$56,tblChanges[View date],"&gt;0"))</f>
        <v>24</v>
      </c>
      <c r="D56" s="39">
        <f>IF($B$56="","",SUMIFS(tblChanges[Parts made],tblChanges[Tool ID],$B$56,tblChanges[View date],"&gt;0"))</f>
        <v>3008</v>
      </c>
      <c r="E56" s="39">
        <f>IF($B$56="","",COUNTIFS(tblChanges[Tool ID],$B$56,tblChanges[View date],"&gt;0",tblChanges[Category],"&lt;&gt;Planned"))</f>
        <v>10</v>
      </c>
      <c r="F56" s="40">
        <f>IF($B$56="","",IF((SUMIFS(tblChanges[Standard life (parts)],tblChanges[Tool ID],$B$56,tblChanges[View date],"&gt;0"))=0,"",(SUMIFS(tblChanges[Parts made],tblChanges[Tool ID],$B$56,tblChanges[View date],"&gt;0"))/(SUMIFS(tblChanges[Standard life (parts)],tblChanges[Tool ID],$B$56,tblChanges[View date],"&gt;0"))))</f>
        <v>0.835555555555556</v>
      </c>
      <c r="G56" s="57">
        <f>TargetLife</f>
        <v>0.9</v>
      </c>
      <c r="H56" s="39">
        <f>IF($B$56="","",SUMIFS(tblChanges[Life cost],tblChanges[Tool ID],$B$56,tblChanges[View date],"&gt;0"))</f>
        <v>234</v>
      </c>
      <c r="I56" s="36">
        <f>IF($B$56="","",IF((SUMIFS(tblChanges[Parts made],tblChanges[Tool ID],$B$56,tblChanges[View date],"&gt;0"))=0,"",(SUMIFS(tblChanges[Life cost],tblChanges[Tool ID],$B$56,tblChanges[View date],"&gt;0"))/(SUMIFS(tblChanges[Parts made],tblChanges[Tool ID],$B$56,tblChanges[View date],"&gt;0"))))</f>
        <v>0.0777925531914894</v>
      </c>
      <c r="J56" s="36">
        <f>IF($B$56="","",IFERROR(INDEX(tblTools[Standard cost per part],MATCH($B$56,tblTools[Tool ID],0)),""))</f>
        <v>0.065</v>
      </c>
      <c r="K56" s="39">
        <f>IF($B$56="","",SUMIFS(tblChanges[Life cost],tblChanges[Tool ID],$B$56,tblChanges[View date],"&gt;0")-SUMIFS(tblChanges[Standard cost],tblChanges[Tool ID],$B$56,tblChanges[View date],"&gt;0"))</f>
        <v>38.48</v>
      </c>
    </row>
    <row r="57" spans="2:11" x14ac:dyDescent="0.25">
      <c r="B57" s="56" t="str">
        <f>IFERROR(INDEX(tblTools[Tool ID],4)&amp;"","")</f>
        <v>T-201</v>
      </c>
      <c r="C57" s="39">
        <f>IF($B$57="","",COUNTIFS(tblChanges[Tool ID],$B$57,tblChanges[View date],"&gt;0"))</f>
        <v>27</v>
      </c>
      <c r="D57" s="39">
        <f>IF($B$57="","",SUMIFS(tblChanges[Parts made],tblChanges[Tool ID],$B$57,tblChanges[View date],"&gt;0"))</f>
        <v>2288</v>
      </c>
      <c r="E57" s="39">
        <f>IF($B$57="","",COUNTIFS(tblChanges[Tool ID],$B$57,tblChanges[View date],"&gt;0",tblChanges[Category],"&lt;&gt;Planned"))</f>
        <v>6</v>
      </c>
      <c r="F57" s="40">
        <f>IF($B$57="","",IF((SUMIFS(tblChanges[Standard life (parts)],tblChanges[Tool ID],$B$57,tblChanges[View date],"&gt;0"))=0,"",(SUMIFS(tblChanges[Parts made],tblChanges[Tool ID],$B$57,tblChanges[View date],"&gt;0"))/(SUMIFS(tblChanges[Standard life (parts)],tblChanges[Tool ID],$B$57,tblChanges[View date],"&gt;0"))))</f>
        <v>0.94156378600823</v>
      </c>
      <c r="G57" s="57">
        <f>TargetLife</f>
        <v>0.9</v>
      </c>
      <c r="H57" s="39">
        <f>IF($B$57="","",SUMIFS(tblChanges[Life cost],tblChanges[Tool ID],$B$57,tblChanges[View date],"&gt;0"))</f>
        <v>702</v>
      </c>
      <c r="I57" s="36">
        <f>IF($B$57="","",IF((SUMIFS(tblChanges[Parts made],tblChanges[Tool ID],$B$57,tblChanges[View date],"&gt;0"))=0,"",(SUMIFS(tblChanges[Life cost],tblChanges[Tool ID],$B$57,tblChanges[View date],"&gt;0"))/(SUMIFS(tblChanges[Parts made],tblChanges[Tool ID],$B$57,tblChanges[View date],"&gt;0"))))</f>
        <v>0.306818181818182</v>
      </c>
      <c r="J57" s="36">
        <f>IF($B$57="","",IFERROR(INDEX(tblTools[Standard cost per part],MATCH($B$57,tblTools[Tool ID],0)),""))</f>
        <v>0.288888888888889</v>
      </c>
      <c r="K57" s="39">
        <f>IF($B$57="","",SUMIFS(tblChanges[Life cost],tblChanges[Tool ID],$B$57,tblChanges[View date],"&gt;0")-SUMIFS(tblChanges[Standard cost],tblChanges[Tool ID],$B$57,tblChanges[View date],"&gt;0"))</f>
        <v>41.0222222222222</v>
      </c>
    </row>
    <row r="58" spans="2:11" x14ac:dyDescent="0.25">
      <c r="B58" s="56" t="str">
        <f>IFERROR(INDEX(tblTools[Tool ID],5)&amp;"","")</f>
        <v>T-202</v>
      </c>
      <c r="C58" s="39">
        <f>IF($B$58="","",COUNTIFS(tblChanges[Tool ID],$B$58,tblChanges[View date],"&gt;0"))</f>
        <v>10</v>
      </c>
      <c r="D58" s="39">
        <f>IF($B$58="","",SUMIFS(tblChanges[Parts made],tblChanges[Tool ID],$B$58,tblChanges[View date],"&gt;0"))</f>
        <v>2412</v>
      </c>
      <c r="E58" s="39">
        <f>IF($B$58="","",COUNTIFS(tblChanges[Tool ID],$B$58,tblChanges[View date],"&gt;0",tblChanges[Category],"&lt;&gt;Planned"))</f>
        <v>2</v>
      </c>
      <c r="F58" s="40">
        <f>IF($B$58="","",IF((SUMIFS(tblChanges[Standard life (parts)],tblChanges[Tool ID],$B$58,tblChanges[View date],"&gt;0"))=0,"",(SUMIFS(tblChanges[Parts made],tblChanges[Tool ID],$B$58,tblChanges[View date],"&gt;0"))/(SUMIFS(tblChanges[Standard life (parts)],tblChanges[Tool ID],$B$58,tblChanges[View date],"&gt;0"))))</f>
        <v>0.927692307692308</v>
      </c>
      <c r="G58" s="57">
        <f>TargetLife</f>
        <v>0.9</v>
      </c>
      <c r="H58" s="39">
        <f>IF($B$58="","",SUMIFS(tblChanges[Life cost],tblChanges[Tool ID],$B$58,tblChanges[View date],"&gt;0"))</f>
        <v>386.666666666667</v>
      </c>
      <c r="I58" s="36">
        <f>IF($B$58="","",IF((SUMIFS(tblChanges[Parts made],tblChanges[Tool ID],$B$58,tblChanges[View date],"&gt;0"))=0,"",(SUMIFS(tblChanges[Life cost],tblChanges[Tool ID],$B$58,tblChanges[View date],"&gt;0"))/(SUMIFS(tblChanges[Parts made],tblChanges[Tool ID],$B$58,tblChanges[View date],"&gt;0"))))</f>
        <v>0.160309563294638</v>
      </c>
      <c r="J58" s="36">
        <f>IF($B$58="","",IFERROR(INDEX(tblTools[Standard cost per part],MATCH($B$58,tblTools[Tool ID],0)),""))</f>
        <v>0.148717948717949</v>
      </c>
      <c r="K58" s="39">
        <f>IF($B$58="","",SUMIFS(tblChanges[Life cost],tblChanges[Tool ID],$B$58,tblChanges[View date],"&gt;0")-SUMIFS(tblChanges[Standard cost],tblChanges[Tool ID],$B$58,tblChanges[View date],"&gt;0"))</f>
        <v>27.9589743589743</v>
      </c>
    </row>
    <row r="59" spans="2:11" x14ac:dyDescent="0.25">
      <c r="B59" s="56" t="str">
        <f>IFERROR(INDEX(tblTools[Tool ID],6)&amp;"","")</f>
        <v>T-203</v>
      </c>
      <c r="C59" s="39">
        <f>IF($B$59="","",COUNTIFS(tblChanges[Tool ID],$B$59,tblChanges[View date],"&gt;0"))</f>
        <v>4</v>
      </c>
      <c r="D59" s="39">
        <f>IF($B$59="","",SUMIFS(tblChanges[Parts made],tblChanges[Tool ID],$B$59,tblChanges[View date],"&gt;0"))</f>
        <v>2300</v>
      </c>
      <c r="E59" s="39">
        <f>IF($B$59="","",COUNTIFS(tblChanges[Tool ID],$B$59,tblChanges[View date],"&gt;0",tblChanges[Category],"&lt;&gt;Planned"))</f>
        <v>1</v>
      </c>
      <c r="F59" s="40">
        <f>IF($B$59="","",IF((SUMIFS(tblChanges[Standard life (parts)],tblChanges[Tool ID],$B$59,tblChanges[View date],"&gt;0"))=0,"",(SUMIFS(tblChanges[Parts made],tblChanges[Tool ID],$B$59,tblChanges[View date],"&gt;0"))/(SUMIFS(tblChanges[Standard life (parts)],tblChanges[Tool ID],$B$59,tblChanges[View date],"&gt;0"))))</f>
        <v>0.958333333333333</v>
      </c>
      <c r="G59" s="57">
        <f>TargetLife</f>
        <v>0.9</v>
      </c>
      <c r="H59" s="39">
        <f>IF($B$59="","",SUMIFS(tblChanges[Life cost],tblChanges[Tool ID],$B$59,tblChanges[View date],"&gt;0"))</f>
        <v>136</v>
      </c>
      <c r="I59" s="36">
        <f>IF($B$59="","",IF((SUMIFS(tblChanges[Parts made],tblChanges[Tool ID],$B$59,tblChanges[View date],"&gt;0"))=0,"",(SUMIFS(tblChanges[Life cost],tblChanges[Tool ID],$B$59,tblChanges[View date],"&gt;0"))/(SUMIFS(tblChanges[Parts made],tblChanges[Tool ID],$B$59,tblChanges[View date],"&gt;0"))))</f>
        <v>0.0591304347826087</v>
      </c>
      <c r="J59" s="36">
        <f>IF($B$59="","",IFERROR(INDEX(tblTools[Standard cost per part],MATCH($B$59,tblTools[Tool ID],0)),""))</f>
        <v>0.0566666666666667</v>
      </c>
      <c r="K59" s="39">
        <f>IF($B$59="","",SUMIFS(tblChanges[Life cost],tblChanges[Tool ID],$B$59,tblChanges[View date],"&gt;0")-SUMIFS(tblChanges[Standard cost],tblChanges[Tool ID],$B$59,tblChanges[View date],"&gt;0"))</f>
        <v>5.66666666666666</v>
      </c>
    </row>
    <row r="60" spans="2:11" x14ac:dyDescent="0.25">
      <c r="B60" s="56" t="str">
        <f>IFERROR(INDEX(tblTools[Tool ID],7)&amp;"","")</f>
        <v>T-204</v>
      </c>
      <c r="C60" s="39">
        <f>IF($B$60="","",COUNTIFS(tblChanges[Tool ID],$B$60,tblChanges[View date],"&gt;0"))</f>
        <v>2</v>
      </c>
      <c r="D60" s="39">
        <f>IF($B$60="","",SUMIFS(tblChanges[Parts made],tblChanges[Tool ID],$B$60,tblChanges[View date],"&gt;0"))</f>
        <v>1800</v>
      </c>
      <c r="E60" s="39">
        <f>IF($B$60="","",COUNTIFS(tblChanges[Tool ID],$B$60,tblChanges[View date],"&gt;0",tblChanges[Category],"&lt;&gt;Planned"))</f>
        <v>0</v>
      </c>
      <c r="F60" s="40">
        <f>IF($B$60="","",IF((SUMIFS(tblChanges[Standard life (parts)],tblChanges[Tool ID],$B$60,tblChanges[View date],"&gt;0"))=0,"",(SUMIFS(tblChanges[Parts made],tblChanges[Tool ID],$B$60,tblChanges[View date],"&gt;0"))/(SUMIFS(tblChanges[Standard life (parts)],tblChanges[Tool ID],$B$60,tblChanges[View date],"&gt;0"))))</f>
        <v>1</v>
      </c>
      <c r="G60" s="57">
        <f>TargetLife</f>
        <v>0.9</v>
      </c>
      <c r="H60" s="39">
        <f>IF($B$60="","",SUMIFS(tblChanges[Life cost],tblChanges[Tool ID],$B$60,tblChanges[View date],"&gt;0"))</f>
        <v>53</v>
      </c>
      <c r="I60" s="36">
        <f>IF($B$60="","",IF((SUMIFS(tblChanges[Parts made],tblChanges[Tool ID],$B$60,tblChanges[View date],"&gt;0"))=0,"",(SUMIFS(tblChanges[Life cost],tblChanges[Tool ID],$B$60,tblChanges[View date],"&gt;0"))/(SUMIFS(tblChanges[Parts made],tblChanges[Tool ID],$B$60,tblChanges[View date],"&gt;0"))))</f>
        <v>0.0294444444444444</v>
      </c>
      <c r="J60" s="36">
        <f>IF($B$60="","",IFERROR(INDEX(tblTools[Standard cost per part],MATCH($B$60,tblTools[Tool ID],0)),""))</f>
        <v>0.0294444444444444</v>
      </c>
      <c r="K60" s="39">
        <f>IF($B$60="","",SUMIFS(tblChanges[Life cost],tblChanges[Tool ID],$B$60,tblChanges[View date],"&gt;0")-SUMIFS(tblChanges[Standard cost],tblChanges[Tool ID],$B$60,tblChanges[View date],"&gt;0"))</f>
        <v>0</v>
      </c>
    </row>
    <row r="61" spans="2:11" x14ac:dyDescent="0.25">
      <c r="B61" s="56" t="str">
        <f>IFERROR(INDEX(tblTools[Tool ID],8)&amp;"","")</f>
        <v>T-205</v>
      </c>
      <c r="C61" s="39">
        <f>IF($B$61="","",COUNTIFS(tblChanges[Tool ID],$B$61,tblChanges[View date],"&gt;0"))</f>
        <v>2</v>
      </c>
      <c r="D61" s="39">
        <f>IF($B$61="","",SUMIFS(tblChanges[Parts made],tblChanges[Tool ID],$B$61,tblChanges[View date],"&gt;0"))</f>
        <v>900</v>
      </c>
      <c r="E61" s="39">
        <f>IF($B$61="","",COUNTIFS(tblChanges[Tool ID],$B$61,tblChanges[View date],"&gt;0",tblChanges[Category],"&lt;&gt;Planned"))</f>
        <v>0</v>
      </c>
      <c r="F61" s="40">
        <f>IF($B$61="","",IF((SUMIFS(tblChanges[Standard life (parts)],tblChanges[Tool ID],$B$61,tblChanges[View date],"&gt;0"))=0,"",(SUMIFS(tblChanges[Parts made],tblChanges[Tool ID],$B$61,tblChanges[View date],"&gt;0"))/(SUMIFS(tblChanges[Standard life (parts)],tblChanges[Tool ID],$B$61,tblChanges[View date],"&gt;0"))))</f>
        <v>1</v>
      </c>
      <c r="G61" s="57">
        <f>TargetLife</f>
        <v>0.9</v>
      </c>
      <c r="H61" s="39">
        <f>IF($B$61="","",SUMIFS(tblChanges[Life cost],tblChanges[Tool ID],$B$61,tblChanges[View date],"&gt;0"))</f>
        <v>123</v>
      </c>
      <c r="I61" s="36">
        <f>IF($B$61="","",IF((SUMIFS(tblChanges[Parts made],tblChanges[Tool ID],$B$61,tblChanges[View date],"&gt;0"))=0,"",(SUMIFS(tblChanges[Life cost],tblChanges[Tool ID],$B$61,tblChanges[View date],"&gt;0"))/(SUMIFS(tblChanges[Parts made],tblChanges[Tool ID],$B$61,tblChanges[View date],"&gt;0"))))</f>
        <v>0.136666666666667</v>
      </c>
      <c r="J61" s="36">
        <f>IF($B$61="","",IFERROR(INDEX(tblTools[Standard cost per part],MATCH($B$61,tblTools[Tool ID],0)),""))</f>
        <v>0.136666666666667</v>
      </c>
      <c r="K61" s="39">
        <f>IF($B$61="","",SUMIFS(tblChanges[Life cost],tblChanges[Tool ID],$B$61,tblChanges[View date],"&gt;0")-SUMIFS(tblChanges[Standard cost],tblChanges[Tool ID],$B$61,tblChanges[View date],"&gt;0"))</f>
        <v>0</v>
      </c>
    </row>
    <row r="63" spans="2:11" x14ac:dyDescent="0.25">
      <c r="B63" s="30" t="s">
        <v>187</v>
      </c>
      <c r="C63" s="30"/>
      <c r="D63" s="30"/>
      <c r="E63" s="30"/>
      <c r="F63" s="30"/>
      <c r="G63" s="30"/>
      <c r="H63" s="30"/>
    </row>
    <row r="64" spans="2:11" ht="32" customHeight="1" x14ac:dyDescent="0.25">
      <c r="B64" s="55" t="s">
        <v>62</v>
      </c>
      <c r="C64" s="31" t="s">
        <v>182</v>
      </c>
      <c r="D64" s="31" t="s">
        <v>188</v>
      </c>
      <c r="E64" s="31" t="s">
        <v>189</v>
      </c>
      <c r="F64" s="31" t="s">
        <v>151</v>
      </c>
      <c r="G64" s="31" t="s">
        <v>185</v>
      </c>
      <c r="H64" s="31" t="s">
        <v>186</v>
      </c>
    </row>
    <row r="65" spans="2:8" ht="14" customHeight="1" x14ac:dyDescent="0.25">
      <c r="B65" s="32"/>
      <c r="C65" s="32"/>
      <c r="D65" s="32"/>
      <c r="E65" s="32"/>
      <c r="F65" s="32"/>
      <c r="G65" s="32" t="str">
        <f>Currency</f>
        <v>USD</v>
      </c>
      <c r="H65" s="32" t="str">
        <f>Currency</f>
        <v>USD</v>
      </c>
    </row>
    <row r="66" spans="2:8" x14ac:dyDescent="0.25">
      <c r="B66" s="56" t="str">
        <f>IFERROR(INDEX(tblMachines[Machine],1)&amp;"","")</f>
        <v>L-1</v>
      </c>
      <c r="C66" s="39">
        <f>IF($B$66="","",COUNTIFS(tblChanges[Machine],$B$66,tblChanges[View date],"&gt;0"))</f>
        <v>38</v>
      </c>
      <c r="D66" s="39">
        <f>IF($B$66="","",COUNTIFS(tblChanges[Machine],$B$66,tblChanges[View date],"&gt;0",tblChanges[Category],"Premature failure"))</f>
        <v>3</v>
      </c>
      <c r="E66" s="40">
        <f>IF($B$66="","",IF((COUNTIFS(tblChanges[Machine],$B$66,tblChanges[View date],"&gt;0"))=0,"",(COUNTIFS(tblChanges[Machine],$B$66,tblChanges[View date],"&gt;0",tblChanges[Category],"Premature failure"))/(COUNTIFS(tblChanges[Machine],$B$66,tblChanges[View date],"&gt;0"))))</f>
        <v>0.0789473684210526</v>
      </c>
      <c r="F66" s="40">
        <f>IF($B$66="","",IF((SUMIFS(tblChanges[Standard life (parts)],tblChanges[Machine],$B$66,tblChanges[View date],"&gt;0"))=0,"",(SUMIFS(tblChanges[Parts made],tblChanges[Machine],$B$66,tblChanges[View date],"&gt;0"))/(SUMIFS(tblChanges[Standard life (parts)],tblChanges[Machine],$B$66,tblChanges[View date],"&gt;0"))))</f>
        <v>0.885343228200371</v>
      </c>
      <c r="G66" s="39">
        <f>IF($B$66="","",SUMIFS(tblChanges[Life cost],tblChanges[Machine],$B$66,tblChanges[View date],"&gt;0"))</f>
        <v>223.1</v>
      </c>
      <c r="H66" s="39">
        <f>IF($B$66="","",SUMIFS(tblChanges[Life cost],tblChanges[Machine],$B$66,tblChanges[View date],"&gt;0")-SUMIFS(tblChanges[Standard cost],tblChanges[Machine],$B$66,tblChanges[View date],"&gt;0"))</f>
        <v>29.8201041666667</v>
      </c>
    </row>
    <row r="67" spans="2:8" x14ac:dyDescent="0.25">
      <c r="B67" s="56" t="str">
        <f>IFERROR(INDEX(tblMachines[Machine],2)&amp;"","")</f>
        <v>L-2</v>
      </c>
      <c r="C67" s="39">
        <f>IF($B$67="","",COUNTIFS(tblChanges[Machine],$B$67,tblChanges[View date],"&gt;0"))</f>
        <v>33</v>
      </c>
      <c r="D67" s="39">
        <f>IF($B$67="","",COUNTIFS(tblChanges[Machine],$B$67,tblChanges[View date],"&gt;0",tblChanges[Category],"Premature failure"))</f>
        <v>15</v>
      </c>
      <c r="E67" s="40">
        <f>IF($B$67="","",IF((COUNTIFS(tblChanges[Machine],$B$67,tblChanges[View date],"&gt;0"))=0,"",(COUNTIFS(tblChanges[Machine],$B$67,tblChanges[View date],"&gt;0",tblChanges[Category],"Premature failure"))/(COUNTIFS(tblChanges[Machine],$B$67,tblChanges[View date],"&gt;0"))))</f>
        <v>0.454545454545455</v>
      </c>
      <c r="F67" s="40">
        <f>IF($B$67="","",IF((SUMIFS(tblChanges[Standard life (parts)],tblChanges[Machine],$B$67,tblChanges[View date],"&gt;0"))=0,"",(SUMIFS(tblChanges[Parts made],tblChanges[Machine],$B$67,tblChanges[View date],"&gt;0"))/(SUMIFS(tblChanges[Standard life (parts)],tblChanges[Machine],$B$67,tblChanges[View date],"&gt;0"))))</f>
        <v>0.68997668997669</v>
      </c>
      <c r="G67" s="39">
        <f>IF($B$67="","",SUMIFS(tblChanges[Life cost],tblChanges[Machine],$B$67,tblChanges[View date],"&gt;0"))</f>
        <v>188.65</v>
      </c>
      <c r="H67" s="39">
        <f>IF($B$67="","",SUMIFS(tblChanges[Life cost],tblChanges[Machine],$B$67,tblChanges[View date],"&gt;0")-SUMIFS(tblChanges[Standard cost],tblChanges[Machine],$B$67,tblChanges[View date],"&gt;0"))</f>
        <v>49.4816666666667</v>
      </c>
    </row>
    <row r="68" spans="2:8" x14ac:dyDescent="0.25">
      <c r="B68" s="56" t="str">
        <f>IFERROR(INDEX(tblMachines[Machine],3)&amp;"","")</f>
        <v>V-1</v>
      </c>
      <c r="C68" s="39">
        <f>IF($B$68="","",COUNTIFS(tblChanges[Machine],$B$68,tblChanges[View date],"&gt;0"))</f>
        <v>24</v>
      </c>
      <c r="D68" s="39">
        <f>IF($B$68="","",COUNTIFS(tblChanges[Machine],$B$68,tblChanges[View date],"&gt;0",tblChanges[Category],"Premature failure"))</f>
        <v>0</v>
      </c>
      <c r="E68" s="40">
        <f>IF($B$68="","",IF((COUNTIFS(tblChanges[Machine],$B$68,tblChanges[View date],"&gt;0"))=0,"",(COUNTIFS(tblChanges[Machine],$B$68,tblChanges[View date],"&gt;0",tblChanges[Category],"Premature failure"))/(COUNTIFS(tblChanges[Machine],$B$68,tblChanges[View date],"&gt;0"))))</f>
        <v>0</v>
      </c>
      <c r="F68" s="40">
        <f>IF($B$68="","",IF((SUMIFS(tblChanges[Standard life (parts)],tblChanges[Machine],$B$68,tblChanges[View date],"&gt;0"))=0,"",(SUMIFS(tblChanges[Parts made],tblChanges[Machine],$B$68,tblChanges[View date],"&gt;0"))/(SUMIFS(tblChanges[Standard life (parts)],tblChanges[Machine],$B$68,tblChanges[View date],"&gt;0"))))</f>
        <v>0.944214876033058</v>
      </c>
      <c r="G68" s="39">
        <f>IF($B$68="","",SUMIFS(tblChanges[Life cost],tblChanges[Machine],$B$68,tblChanges[View date],"&gt;0"))</f>
        <v>703.833333333333</v>
      </c>
      <c r="H68" s="39">
        <f>IF($B$68="","",SUMIFS(tblChanges[Life cost],tblChanges[Machine],$B$68,tblChanges[View date],"&gt;0")-SUMIFS(tblChanges[Standard cost],tblChanges[Machine],$B$68,tblChanges[View date],"&gt;0"))</f>
        <v>49.1709401709402</v>
      </c>
    </row>
    <row r="69" spans="2:8" x14ac:dyDescent="0.25">
      <c r="B69" s="56" t="str">
        <f>IFERROR(INDEX(tblMachines[Machine],4)&amp;"","")</f>
        <v>V-2</v>
      </c>
      <c r="C69" s="39">
        <f>IF($B$69="","",COUNTIFS(tblChanges[Machine],$B$69,tblChanges[View date],"&gt;0"))</f>
        <v>8</v>
      </c>
      <c r="D69" s="39">
        <f>IF($B$69="","",COUNTIFS(tblChanges[Machine],$B$69,tblChanges[View date],"&gt;0",tblChanges[Category],"Premature failure"))</f>
        <v>1</v>
      </c>
      <c r="E69" s="40">
        <f>IF($B$69="","",IF((COUNTIFS(tblChanges[Machine],$B$69,tblChanges[View date],"&gt;0"))=0,"",(COUNTIFS(tblChanges[Machine],$B$69,tblChanges[View date],"&gt;0",tblChanges[Category],"Premature failure"))/(COUNTIFS(tblChanges[Machine],$B$69,tblChanges[View date],"&gt;0"))))</f>
        <v>0.125</v>
      </c>
      <c r="F69" s="40">
        <f>IF($B$69="","",IF((SUMIFS(tblChanges[Standard life (parts)],tblChanges[Machine],$B$69,tblChanges[View date],"&gt;0"))=0,"",(SUMIFS(tblChanges[Parts made],tblChanges[Machine],$B$69,tblChanges[View date],"&gt;0"))/(SUMIFS(tblChanges[Standard life (parts)],tblChanges[Machine],$B$69,tblChanges[View date],"&gt;0"))))</f>
        <v>0.956470588235294</v>
      </c>
      <c r="G69" s="39">
        <f>IF($B$69="","",SUMIFS(tblChanges[Life cost],tblChanges[Machine],$B$69,tblChanges[View date],"&gt;0"))</f>
        <v>287.833333333333</v>
      </c>
      <c r="H69" s="39">
        <f>IF($B$69="","",SUMIFS(tblChanges[Life cost],tblChanges[Machine],$B$69,tblChanges[View date],"&gt;0")-SUMIFS(tblChanges[Standard cost],tblChanges[Machine],$B$69,tblChanges[View date],"&gt;0"))</f>
        <v>22.0102564102564</v>
      </c>
    </row>
    <row r="70" spans="2:8" x14ac:dyDescent="0.25">
      <c r="B70" s="56" t="str">
        <f>IFERROR(INDEX(tblMachines[Machine],5)&amp;"","")</f>
        <v>H-1</v>
      </c>
      <c r="C70" s="39">
        <f>IF($B$70="","",COUNTIFS(tblChanges[Machine],$B$70,tblChanges[View date],"&gt;0"))</f>
        <v>13</v>
      </c>
      <c r="D70" s="39">
        <f>IF($B$70="","",COUNTIFS(tblChanges[Machine],$B$70,tblChanges[View date],"&gt;0",tblChanges[Category],"Premature failure"))</f>
        <v>0</v>
      </c>
      <c r="E70" s="40">
        <f>IF($B$70="","",IF((COUNTIFS(tblChanges[Machine],$B$70,tblChanges[View date],"&gt;0"))=0,"",(COUNTIFS(tblChanges[Machine],$B$70,tblChanges[View date],"&gt;0",tblChanges[Category],"Premature failure"))/(COUNTIFS(tblChanges[Machine],$B$70,tblChanges[View date],"&gt;0"))))</f>
        <v>0</v>
      </c>
      <c r="F70" s="40">
        <f>IF($B$70="","",IF((SUMIFS(tblChanges[Standard life (parts)],tblChanges[Machine],$B$70,tblChanges[View date],"&gt;0"))=0,"",(SUMIFS(tblChanges[Parts made],tblChanges[Machine],$B$70,tblChanges[View date],"&gt;0"))/(SUMIFS(tblChanges[Standard life (parts)],tblChanges[Machine],$B$70,tblChanges[View date],"&gt;0"))))</f>
        <v>0.993650793650794</v>
      </c>
      <c r="G70" s="39">
        <f>IF($B$70="","",SUMIFS(tblChanges[Life cost],tblChanges[Machine],$B$70,tblChanges[View date],"&gt;0"))</f>
        <v>409</v>
      </c>
      <c r="H70" s="39">
        <f>IF($B$70="","",SUMIFS(tblChanges[Life cost],tblChanges[Machine],$B$70,tblChanges[View date],"&gt;0")-SUMIFS(tblChanges[Standard cost],tblChanges[Machine],$B$70,tblChanges[View date],"&gt;0"))</f>
        <v>3.46666666666664</v>
      </c>
    </row>
    <row r="72" spans="2:8" x14ac:dyDescent="0.25">
      <c r="B72" s="30" t="s">
        <v>190</v>
      </c>
      <c r="C72" s="30"/>
      <c r="D72" s="30"/>
      <c r="E72" s="30"/>
      <c r="F72" s="30"/>
      <c r="G72" s="30"/>
      <c r="H72" s="30"/>
    </row>
    <row r="73" spans="2:8" ht="32" customHeight="1" x14ac:dyDescent="0.25">
      <c r="B73" s="55" t="s">
        <v>191</v>
      </c>
      <c r="C73" s="31" t="s">
        <v>182</v>
      </c>
      <c r="D73" s="31" t="s">
        <v>188</v>
      </c>
      <c r="E73" s="31" t="s">
        <v>151</v>
      </c>
      <c r="F73" s="31" t="s">
        <v>192</v>
      </c>
      <c r="G73" s="31" t="s">
        <v>193</v>
      </c>
      <c r="H73" s="31" t="s">
        <v>185</v>
      </c>
    </row>
    <row r="74" spans="2:8" ht="14" customHeight="1" x14ac:dyDescent="0.25">
      <c r="B74" s="32"/>
      <c r="C74" s="32"/>
      <c r="D74" s="32"/>
      <c r="E74" s="32"/>
      <c r="F74" s="32" t="str">
        <f>Currency</f>
        <v>USD</v>
      </c>
      <c r="G74" s="32" t="str">
        <f>Currency</f>
        <v>USD</v>
      </c>
      <c r="H74" s="32" t="str">
        <f>Currency</f>
        <v>USD</v>
      </c>
    </row>
    <row r="75" spans="2:8" x14ac:dyDescent="0.25">
      <c r="B75" s="58">
        <f>IF($B$76="","",IF($B$76-1&lt;MIN(tblChanges[View date]),"",$B$76-7))</f>
        <v>46258</v>
      </c>
      <c r="C75" s="39">
        <f>IF($B$75="","",COUNTIFS(tblChanges[View date],"&gt;="&amp;$B$75,tblChanges[View date],"&lt;"&amp;$B$75+7))</f>
        <v>15</v>
      </c>
      <c r="D75" s="39">
        <f>IF($B$75="","",COUNTIFS(tblChanges[View date],"&gt;="&amp;$B$75,tblChanges[View date],"&lt;"&amp;$B$75+7,tblChanges[Category],"Premature failure"))</f>
        <v>2</v>
      </c>
      <c r="E75" s="40">
        <f>IF($B$75="","",IF((SUMIFS(tblChanges[Standard life (parts)],tblChanges[View date],"&gt;="&amp;$B$75,tblChanges[View date],"&lt;"&amp;$B$75+7))=0,"",(SUMIFS(tblChanges[Parts made],tblChanges[View date],"&gt;="&amp;$B$75,tblChanges[View date],"&lt;"&amp;$B$75+7))/(SUMIFS(tblChanges[Standard life (parts)],tblChanges[View date],"&gt;="&amp;$B$75,tblChanges[View date],"&lt;"&amp;$B$75+7))))</f>
        <v>0.77363184079602</v>
      </c>
      <c r="F75" s="39">
        <f>IF($B$75="","",SUMIFS(tblChanges[Standard cost],tblChanges[View date],"&gt;="&amp;$B$75,tblChanges[View date],"&lt;"&amp;$B$75+7))</f>
        <v>156.875854700855</v>
      </c>
      <c r="G75" s="39">
        <f>IF($B$75="","",SUMIFS(tblChanges[Life cost],tblChanges[View date],"&gt;="&amp;$B$75,tblChanges[View date],"&lt;"&amp;$B$75+7)-SUMIFS(tblChanges[Standard cost],tblChanges[View date],"&gt;="&amp;$B$75,tblChanges[View date],"&lt;"&amp;$B$75+7))</f>
        <v>53.390811965812</v>
      </c>
      <c r="H75" s="39">
        <f>IF($B$75="","",SUMIFS(tblChanges[Life cost],tblChanges[View date],"&gt;="&amp;$B$75,tblChanges[View date],"&lt;"&amp;$B$75+7))</f>
        <v>210.266666666667</v>
      </c>
    </row>
    <row r="76" spans="2:8" x14ac:dyDescent="0.25">
      <c r="B76" s="58">
        <f>IF($B$77="","",IF($B$77-1&lt;MIN(tblChanges[View date]),"",$B$77-7))</f>
        <v>46265</v>
      </c>
      <c r="C76" s="39">
        <f>IF($B$76="","",COUNTIFS(tblChanges[View date],"&gt;="&amp;$B$76,tblChanges[View date],"&lt;"&amp;$B$76+7))</f>
        <v>18</v>
      </c>
      <c r="D76" s="39">
        <f>IF($B$76="","",COUNTIFS(tblChanges[View date],"&gt;="&amp;$B$76,tblChanges[View date],"&lt;"&amp;$B$76+7,tblChanges[Category],"Premature failure"))</f>
        <v>0</v>
      </c>
      <c r="E76" s="40">
        <f>IF($B$76="","",IF((SUMIFS(tblChanges[Standard life (parts)],tblChanges[View date],"&gt;="&amp;$B$76,tblChanges[View date],"&lt;"&amp;$B$76+7))=0,"",(SUMIFS(tblChanges[Parts made],tblChanges[View date],"&gt;="&amp;$B$76,tblChanges[View date],"&lt;"&amp;$B$76+7))/(SUMIFS(tblChanges[Standard life (parts)],tblChanges[View date],"&gt;="&amp;$B$76,tblChanges[View date],"&lt;"&amp;$B$76+7))))</f>
        <v>0.95952380952381</v>
      </c>
      <c r="F76" s="39">
        <f>IF($B$76="","",SUMIFS(tblChanges[Standard cost],tblChanges[View date],"&gt;="&amp;$B$76,tblChanges[View date],"&lt;"&amp;$B$76+7))</f>
        <v>283.961666666667</v>
      </c>
      <c r="G76" s="39">
        <f>IF($B$76="","",SUMIFS(tblChanges[Life cost],tblChanges[View date],"&gt;="&amp;$B$76,tblChanges[View date],"&lt;"&amp;$B$76+7)-SUMIFS(tblChanges[Standard cost],tblChanges[View date],"&gt;="&amp;$B$76,tblChanges[View date],"&lt;"&amp;$B$76+7))</f>
        <v>13.2216666666667</v>
      </c>
      <c r="H76" s="39">
        <f>IF($B$76="","",SUMIFS(tblChanges[Life cost],tblChanges[View date],"&gt;="&amp;$B$76,tblChanges[View date],"&lt;"&amp;$B$76+7))</f>
        <v>297.183333333333</v>
      </c>
    </row>
    <row r="77" spans="2:8" x14ac:dyDescent="0.25">
      <c r="B77" s="58">
        <f>IF($B$78="","",IF($B$78-1&lt;MIN(tblChanges[View date]),"",$B$78-7))</f>
        <v>46272</v>
      </c>
      <c r="C77" s="39">
        <f>IF($B$77="","",COUNTIFS(tblChanges[View date],"&gt;="&amp;$B$77,tblChanges[View date],"&lt;"&amp;$B$77+7))</f>
        <v>21</v>
      </c>
      <c r="D77" s="39">
        <f>IF($B$77="","",COUNTIFS(tblChanges[View date],"&gt;="&amp;$B$77,tblChanges[View date],"&lt;"&amp;$B$77+7,tblChanges[Category],"Premature failure"))</f>
        <v>3</v>
      </c>
      <c r="E77" s="40">
        <f>IF($B$77="","",IF((SUMIFS(tblChanges[Standard life (parts)],tblChanges[View date],"&gt;="&amp;$B$77,tblChanges[View date],"&lt;"&amp;$B$77+7))=0,"",(SUMIFS(tblChanges[Parts made],tblChanges[View date],"&gt;="&amp;$B$77,tblChanges[View date],"&lt;"&amp;$B$77+7))/(SUMIFS(tblChanges[Standard life (parts)],tblChanges[View date],"&gt;="&amp;$B$77,tblChanges[View date],"&lt;"&amp;$B$77+7))))</f>
        <v>0.912394366197183</v>
      </c>
      <c r="F77" s="39">
        <f>IF($B$77="","",SUMIFS(tblChanges[Standard cost],tblChanges[View date],"&gt;="&amp;$B$77,tblChanges[View date],"&lt;"&amp;$B$77+7))</f>
        <v>326.794166666667</v>
      </c>
      <c r="G77" s="39">
        <f>IF($B$77="","",SUMIFS(tblChanges[Life cost],tblChanges[View date],"&gt;="&amp;$B$77,tblChanges[View date],"&lt;"&amp;$B$77+7)-SUMIFS(tblChanges[Standard cost],tblChanges[View date],"&gt;="&amp;$B$77,tblChanges[View date],"&lt;"&amp;$B$77+7))</f>
        <v>16.4225</v>
      </c>
      <c r="H77" s="39">
        <f>IF($B$77="","",SUMIFS(tblChanges[Life cost],tblChanges[View date],"&gt;="&amp;$B$77,tblChanges[View date],"&lt;"&amp;$B$77+7))</f>
        <v>343.216666666667</v>
      </c>
    </row>
    <row r="78" spans="2:8" x14ac:dyDescent="0.25">
      <c r="B78" s="58">
        <f>IF($B$79="","",IF($B$79-1&lt;MIN(tblChanges[View date]),"",$B$79-7))</f>
        <v>46279</v>
      </c>
      <c r="C78" s="39">
        <f>IF($B$78="","",COUNTIFS(tblChanges[View date],"&gt;="&amp;$B$78,tblChanges[View date],"&lt;"&amp;$B$78+7))</f>
        <v>21</v>
      </c>
      <c r="D78" s="39">
        <f>IF($B$78="","",COUNTIFS(tblChanges[View date],"&gt;="&amp;$B$78,tblChanges[View date],"&lt;"&amp;$B$78+7,tblChanges[Category],"Premature failure"))</f>
        <v>4</v>
      </c>
      <c r="E78" s="40">
        <f>IF($B$78="","",IF((SUMIFS(tblChanges[Standard life (parts)],tblChanges[View date],"&gt;="&amp;$B$78,tblChanges[View date],"&lt;"&amp;$B$78+7))=0,"",(SUMIFS(tblChanges[Parts made],tblChanges[View date],"&gt;="&amp;$B$78,tblChanges[View date],"&lt;"&amp;$B$78+7))/(SUMIFS(tblChanges[Standard life (parts)],tblChanges[View date],"&gt;="&amp;$B$78,tblChanges[View date],"&lt;"&amp;$B$78+7))))</f>
        <v>0.901339285714286</v>
      </c>
      <c r="F78" s="39">
        <f>IF($B$78="","",SUMIFS(tblChanges[Standard cost],tblChanges[View date],"&gt;="&amp;$B$78,tblChanges[View date],"&lt;"&amp;$B$78+7))</f>
        <v>284.204895833333</v>
      </c>
      <c r="G78" s="39">
        <f>IF($B$78="","",SUMIFS(tblChanges[Life cost],tblChanges[View date],"&gt;="&amp;$B$78,tblChanges[View date],"&lt;"&amp;$B$78+7)-SUMIFS(tblChanges[Standard cost],tblChanges[View date],"&gt;="&amp;$B$78,tblChanges[View date],"&lt;"&amp;$B$78+7))</f>
        <v>23.4784375</v>
      </c>
      <c r="H78" s="39">
        <f>IF($B$78="","",SUMIFS(tblChanges[Life cost],tblChanges[View date],"&gt;="&amp;$B$78,tblChanges[View date],"&lt;"&amp;$B$78+7))</f>
        <v>307.683333333333</v>
      </c>
    </row>
    <row r="79" spans="2:8" x14ac:dyDescent="0.25">
      <c r="B79" s="58">
        <f>IF($B$80="","",IF($B$80-1&lt;MIN(tblChanges[View date]),"",$B$80-7))</f>
        <v>46286</v>
      </c>
      <c r="C79" s="39">
        <f>IF($B$79="","",COUNTIFS(tblChanges[View date],"&gt;="&amp;$B$79,tblChanges[View date],"&lt;"&amp;$B$79+7))</f>
        <v>21</v>
      </c>
      <c r="D79" s="39">
        <f>IF($B$79="","",COUNTIFS(tblChanges[View date],"&gt;="&amp;$B$79,tblChanges[View date],"&lt;"&amp;$B$79+7,tblChanges[Category],"Premature failure"))</f>
        <v>6</v>
      </c>
      <c r="E79" s="40">
        <f>IF($B$79="","",IF((SUMIFS(tblChanges[Standard life (parts)],tblChanges[View date],"&gt;="&amp;$B$79,tblChanges[View date],"&lt;"&amp;$B$79+7))=0,"",(SUMIFS(tblChanges[Parts made],tblChanges[View date],"&gt;="&amp;$B$79,tblChanges[View date],"&lt;"&amp;$B$79+7))/(SUMIFS(tblChanges[Standard life (parts)],tblChanges[View date],"&gt;="&amp;$B$79,tblChanges[View date],"&lt;"&amp;$B$79+7))))</f>
        <v>0.844963144963145</v>
      </c>
      <c r="F79" s="39">
        <f>IF($B$79="","",SUMIFS(tblChanges[Standard cost],tblChanges[View date],"&gt;="&amp;$B$79,tblChanges[View date],"&lt;"&amp;$B$79+7))</f>
        <v>366.169615384615</v>
      </c>
      <c r="G79" s="39">
        <f>IF($B$79="","",SUMIFS(tblChanges[Life cost],tblChanges[View date],"&gt;="&amp;$B$79,tblChanges[View date],"&lt;"&amp;$B$79+7)-SUMIFS(tblChanges[Standard cost],tblChanges[View date],"&gt;="&amp;$B$79,tblChanges[View date],"&lt;"&amp;$B$79+7))</f>
        <v>29.8637179487179</v>
      </c>
      <c r="H79" s="39">
        <f>IF($B$79="","",SUMIFS(tblChanges[Life cost],tblChanges[View date],"&gt;="&amp;$B$79,tblChanges[View date],"&lt;"&amp;$B$79+7))</f>
        <v>396.033333333333</v>
      </c>
    </row>
    <row r="80" spans="2:8" x14ac:dyDescent="0.25">
      <c r="B80" s="58">
        <f>IF(COUNT(tblChanges[View date])=0,"",MAX(tblChanges[View date])-WEEKDAY(MAX(tblChanges[View date]),2)+1)</f>
        <v>46293</v>
      </c>
      <c r="C80" s="39">
        <f>IF($B$80="","",COUNTIFS(tblChanges[View date],"&gt;="&amp;$B$80,tblChanges[View date],"&lt;"&amp;$B$80+7))</f>
        <v>20</v>
      </c>
      <c r="D80" s="39">
        <f>IF($B$80="","",COUNTIFS(tblChanges[View date],"&gt;="&amp;$B$80,tblChanges[View date],"&lt;"&amp;$B$80+7,tblChanges[Category],"Premature failure"))</f>
        <v>4</v>
      </c>
      <c r="E80" s="40">
        <f>IF($B$80="","",IF((SUMIFS(tblChanges[Standard life (parts)],tblChanges[View date],"&gt;="&amp;$B$80,tblChanges[View date],"&lt;"&amp;$B$80+7))=0,"",(SUMIFS(tblChanges[Parts made],tblChanges[View date],"&gt;="&amp;$B$80,tblChanges[View date],"&lt;"&amp;$B$80+7))/(SUMIFS(tblChanges[Standard life (parts)],tblChanges[View date],"&gt;="&amp;$B$80,tblChanges[View date],"&lt;"&amp;$B$80+7))))</f>
        <v>0.847826086956522</v>
      </c>
      <c r="F80" s="39">
        <f>IF($B$80="","",SUMIFS(tblChanges[Standard cost],tblChanges[View date],"&gt;="&amp;$B$80,tblChanges[View date],"&lt;"&amp;$B$80+7))</f>
        <v>240.460833333333</v>
      </c>
      <c r="G80" s="39">
        <f>IF($B$80="","",SUMIFS(tblChanges[Life cost],tblChanges[View date],"&gt;="&amp;$B$80,tblChanges[View date],"&lt;"&amp;$B$80+7)-SUMIFS(tblChanges[Standard cost],tblChanges[View date],"&gt;="&amp;$B$80,tblChanges[View date],"&lt;"&amp;$B$80+7))</f>
        <v>17.5725</v>
      </c>
      <c r="H80" s="39">
        <f>IF($B$80="","",SUMIFS(tblChanges[Life cost],tblChanges[View date],"&gt;="&amp;$B$80,tblChanges[View date],"&lt;"&amp;$B$80+7))</f>
        <v>258.033333333333</v>
      </c>
    </row>
    <row r="82" spans="2:43" x14ac:dyDescent="0.25">
      <c r="B82" s="30" t="s">
        <v>194</v>
      </c>
      <c r="C82" s="30"/>
      <c r="D82" s="30"/>
      <c r="E82" s="30"/>
      <c r="F82" s="30"/>
      <c r="G82" s="30"/>
    </row>
    <row r="83" spans="2:43" ht="20" customHeight="1" x14ac:dyDescent="0.25">
      <c r="B83" s="31" t="s">
        <v>195</v>
      </c>
      <c r="C83" s="55" t="s">
        <v>73</v>
      </c>
      <c r="D83" s="55"/>
      <c r="E83" s="31" t="s">
        <v>182</v>
      </c>
      <c r="F83" s="31" t="s">
        <v>196</v>
      </c>
      <c r="G83" s="31" t="s">
        <v>197</v>
      </c>
      <c r="AO83" s="7" t="s">
        <v>198</v>
      </c>
      <c r="AP83" s="7" t="s">
        <v>199</v>
      </c>
      <c r="AQ83" s="7" t="s">
        <v>200</v>
      </c>
    </row>
    <row r="84" spans="2:43" x14ac:dyDescent="0.25">
      <c r="B84" s="32"/>
      <c r="C84" s="32"/>
      <c r="D84" s="32"/>
      <c r="E84" s="32" t="s">
        <v>201</v>
      </c>
      <c r="F84" s="32" t="s">
        <v>202</v>
      </c>
      <c r="G84" s="32" t="s">
        <v>202</v>
      </c>
    </row>
    <row r="85" spans="2:43" x14ac:dyDescent="0.25">
      <c r="B85" s="59">
        <v>1</v>
      </c>
      <c r="C85" s="41" t="str">
        <f>IF(INDEX($AP$85:$AP$93,MATCH(1,$AQ$85:$AQ$93,0))&lt;0,"",INDEX($AO$85:$AO$93,MATCH(1,$AQ$85:$AQ$93,0)))</f>
        <v>Chipping</v>
      </c>
      <c r="D85" s="41"/>
      <c r="E85" s="39">
        <f>IF($C$85="","",INDEX($AP$85:$AP$93,MATCH(1,$AQ$85:$AQ$93,0)))</f>
        <v>15</v>
      </c>
      <c r="F85" s="60">
        <f>IF(OR($C$85="",$E$94=0),"",$E$85/$E$94)</f>
        <v>0.384615384615385</v>
      </c>
      <c r="G85" s="60">
        <f>IF(OR($C$85="",$E$94=0),"",SUM($E$85:$E$85)/$E$94)</f>
        <v>0.384615384615385</v>
      </c>
      <c r="AO85" s="11" t="str">
        <f>IFERROR(INDEX(tblReasons[Reason],1)&amp;"","")</f>
        <v>Life limit reached</v>
      </c>
      <c r="AP85" s="61">
        <f>IF($AO$85="",-1,COUNTIFS(tblChanges[Reason],$AO$85,tblChanges[Category],"&lt;&gt;Planned",tblChanges[View date],"&gt;0"))</f>
        <v>0</v>
      </c>
      <c r="AQ85" s="61">
        <f>COUNTIF($AP$85:$AP$93,"&gt;"&amp;$AP$85)+COUNTIF($AP$85:$AP$85,$AP$85)</f>
        <v>9</v>
      </c>
    </row>
    <row r="86" spans="2:43" x14ac:dyDescent="0.25">
      <c r="B86" s="59">
        <v>2</v>
      </c>
      <c r="C86" s="41" t="str">
        <f>IF(INDEX($AP$85:$AP$93,MATCH(2,$AQ$85:$AQ$93,0))&lt;0,"",INDEX($AO$85:$AO$93,MATCH(2,$AQ$85:$AQ$93,0)))</f>
        <v>Flank wear</v>
      </c>
      <c r="D86" s="41"/>
      <c r="E86" s="39">
        <f>IF($C$86="","",INDEX($AP$85:$AP$93,MATCH(2,$AQ$85:$AQ$93,0)))</f>
        <v>8</v>
      </c>
      <c r="F86" s="60">
        <f>IF(OR($C$86="",$E$94=0),"",$E$86/$E$94)</f>
        <v>0.205128205128205</v>
      </c>
      <c r="G86" s="60">
        <f>IF(OR($C$86="",$E$94=0),"",SUM($E$85:$E$86)/$E$94)</f>
        <v>0.58974358974359</v>
      </c>
      <c r="AO86" s="11" t="str">
        <f>IFERROR(INDEX(tblReasons[Reason],2)&amp;"","")</f>
        <v>Flank wear</v>
      </c>
      <c r="AP86" s="61">
        <f>IF($AO$86="",-1,COUNTIFS(tblChanges[Reason],$AO$86,tblChanges[Category],"&lt;&gt;Planned",tblChanges[View date],"&gt;0"))</f>
        <v>8</v>
      </c>
      <c r="AQ86" s="61">
        <f>COUNTIF($AP$85:$AP$93,"&gt;"&amp;$AP$86)+COUNTIF($AP$85:$AP$86,$AP$86)</f>
        <v>2</v>
      </c>
    </row>
    <row r="87" spans="2:43" x14ac:dyDescent="0.25">
      <c r="B87" s="59">
        <v>3</v>
      </c>
      <c r="C87" s="41" t="str">
        <f>IF(INDEX($AP$85:$AP$93,MATCH(3,$AQ$85:$AQ$93,0))&lt;0,"",INDEX($AO$85:$AO$93,MATCH(3,$AQ$85:$AQ$93,0)))</f>
        <v>Size or finish drift</v>
      </c>
      <c r="D87" s="41"/>
      <c r="E87" s="39">
        <f>IF($C$87="","",INDEX($AP$85:$AP$93,MATCH(3,$AQ$85:$AQ$93,0)))</f>
        <v>6</v>
      </c>
      <c r="F87" s="60">
        <f>IF(OR($C$87="",$E$94=0),"",$E$87/$E$94)</f>
        <v>0.153846153846154</v>
      </c>
      <c r="G87" s="60">
        <f>IF(OR($C$87="",$E$94=0),"",SUM($E$85:$E$87)/$E$94)</f>
        <v>0.743589743589744</v>
      </c>
      <c r="AO87" s="11" t="str">
        <f>IFERROR(INDEX(tblReasons[Reason],3)&amp;"","")</f>
        <v>Crater wear</v>
      </c>
      <c r="AP87" s="61">
        <f>IF($AO$87="",-1,COUNTIFS(tblChanges[Reason],$AO$87,tblChanges[Category],"&lt;&gt;Planned",tblChanges[View date],"&gt;0"))</f>
        <v>2</v>
      </c>
      <c r="AQ87" s="61">
        <f>COUNTIF($AP$85:$AP$93,"&gt;"&amp;$AP$87)+COUNTIF($AP$85:$AP$87,$AP$87)</f>
        <v>5</v>
      </c>
    </row>
    <row r="88" spans="2:43" x14ac:dyDescent="0.25">
      <c r="B88" s="59">
        <v>4</v>
      </c>
      <c r="C88" s="41" t="str">
        <f>IF(INDEX($AP$85:$AP$93,MATCH(4,$AQ$85:$AQ$93,0))&lt;0,"",INDEX($AO$85:$AO$93,MATCH(4,$AQ$85:$AQ$93,0)))</f>
        <v>Built-up edge</v>
      </c>
      <c r="D88" s="41"/>
      <c r="E88" s="39">
        <f>IF($C$88="","",INDEX($AP$85:$AP$93,MATCH(4,$AQ$85:$AQ$93,0)))</f>
        <v>3</v>
      </c>
      <c r="F88" s="60">
        <f>IF(OR($C$88="",$E$94=0),"",$E$88/$E$94)</f>
        <v>0.0769230769230769</v>
      </c>
      <c r="G88" s="60">
        <f>IF(OR($C$88="",$E$94=0),"",SUM($E$85:$E$88)/$E$94)</f>
        <v>0.820512820512821</v>
      </c>
      <c r="AO88" s="11" t="str">
        <f>IFERROR(INDEX(tblReasons[Reason],4)&amp;"","")</f>
        <v>Size or finish drift</v>
      </c>
      <c r="AP88" s="61">
        <f>IF($AO$88="",-1,COUNTIFS(tblChanges[Reason],$AO$88,tblChanges[Category],"&lt;&gt;Planned",tblChanges[View date],"&gt;0"))</f>
        <v>6</v>
      </c>
      <c r="AQ88" s="61">
        <f>COUNTIF($AP$85:$AP$93,"&gt;"&amp;$AP$88)+COUNTIF($AP$85:$AP$88,$AP$88)</f>
        <v>3</v>
      </c>
    </row>
    <row r="89" spans="2:43" x14ac:dyDescent="0.25">
      <c r="B89" s="59">
        <v>5</v>
      </c>
      <c r="C89" s="41" t="str">
        <f>IF(INDEX($AP$85:$AP$93,MATCH(5,$AQ$85:$AQ$93,0))&lt;0,"",INDEX($AO$85:$AO$93,MATCH(5,$AQ$85:$AQ$93,0)))</f>
        <v>Crater wear</v>
      </c>
      <c r="D89" s="41"/>
      <c r="E89" s="39">
        <f>IF($C$89="","",INDEX($AP$85:$AP$93,MATCH(5,$AQ$85:$AQ$93,0)))</f>
        <v>2</v>
      </c>
      <c r="F89" s="60">
        <f>IF(OR($C$89="",$E$94=0),"",$E$89/$E$94)</f>
        <v>0.0512820512820513</v>
      </c>
      <c r="G89" s="60">
        <f>IF(OR($C$89="",$E$94=0),"",SUM($E$85:$E$89)/$E$94)</f>
        <v>0.871794871794872</v>
      </c>
      <c r="AO89" s="11" t="str">
        <f>IFERROR(INDEX(tblReasons[Reason],5)&amp;"","")</f>
        <v>Built-up edge</v>
      </c>
      <c r="AP89" s="61">
        <f>IF($AO$89="",-1,COUNTIFS(tblChanges[Reason],$AO$89,tblChanges[Category],"&lt;&gt;Planned",tblChanges[View date],"&gt;0"))</f>
        <v>3</v>
      </c>
      <c r="AQ89" s="61">
        <f>COUNTIF($AP$85:$AP$93,"&gt;"&amp;$AP$89)+COUNTIF($AP$85:$AP$89,$AP$89)</f>
        <v>4</v>
      </c>
    </row>
    <row r="90" spans="2:43" x14ac:dyDescent="0.25">
      <c r="B90" s="59">
        <v>6</v>
      </c>
      <c r="C90" s="41" t="str">
        <f>IF(INDEX($AP$85:$AP$93,MATCH(6,$AQ$85:$AQ$93,0))&lt;0,"",INDEX($AO$85:$AO$93,MATCH(6,$AQ$85:$AQ$93,0)))</f>
        <v>Breakage</v>
      </c>
      <c r="D90" s="41"/>
      <c r="E90" s="39">
        <f>IF($C$90="","",INDEX($AP$85:$AP$93,MATCH(6,$AQ$85:$AQ$93,0)))</f>
        <v>2</v>
      </c>
      <c r="F90" s="60">
        <f>IF(OR($C$90="",$E$94=0),"",$E$90/$E$94)</f>
        <v>0.0512820512820513</v>
      </c>
      <c r="G90" s="60">
        <f>IF(OR($C$90="",$E$94=0),"",SUM($E$85:$E$90)/$E$94)</f>
        <v>0.923076923076923</v>
      </c>
      <c r="AO90" s="11" t="str">
        <f>IFERROR(INDEX(tblReasons[Reason],6)&amp;"","")</f>
        <v>Chipping</v>
      </c>
      <c r="AP90" s="61">
        <f>IF($AO$90="",-1,COUNTIFS(tblChanges[Reason],$AO$90,tblChanges[Category],"&lt;&gt;Planned",tblChanges[View date],"&gt;0"))</f>
        <v>15</v>
      </c>
      <c r="AQ90" s="61">
        <f>COUNTIF($AP$85:$AP$93,"&gt;"&amp;$AP$90)+COUNTIF($AP$85:$AP$90,$AP$90)</f>
        <v>1</v>
      </c>
    </row>
    <row r="91" spans="2:43" x14ac:dyDescent="0.25">
      <c r="B91" s="59">
        <v>7</v>
      </c>
      <c r="C91" s="41" t="str">
        <f>IF(INDEX($AP$85:$AP$93,MATCH(7,$AQ$85:$AQ$93,0))&lt;0,"",INDEX($AO$85:$AO$93,MATCH(7,$AQ$85:$AQ$93,0)))</f>
        <v>Crash or collision</v>
      </c>
      <c r="D91" s="41"/>
      <c r="E91" s="39">
        <f>IF($C$91="","",INDEX($AP$85:$AP$93,MATCH(7,$AQ$85:$AQ$93,0)))</f>
        <v>2</v>
      </c>
      <c r="F91" s="60">
        <f>IF(OR($C$91="",$E$94=0),"",$E$91/$E$94)</f>
        <v>0.0512820512820513</v>
      </c>
      <c r="G91" s="60">
        <f>IF(OR($C$91="",$E$94=0),"",SUM($E$85:$E$91)/$E$94)</f>
        <v>0.974358974358974</v>
      </c>
      <c r="AO91" s="11" t="str">
        <f>IFERROR(INDEX(tblReasons[Reason],7)&amp;"","")</f>
        <v>Breakage</v>
      </c>
      <c r="AP91" s="61">
        <f>IF($AO$91="",-1,COUNTIFS(tblChanges[Reason],$AO$91,tblChanges[Category],"&lt;&gt;Planned",tblChanges[View date],"&gt;0"))</f>
        <v>2</v>
      </c>
      <c r="AQ91" s="61">
        <f>COUNTIF($AP$85:$AP$93,"&gt;"&amp;$AP$91)+COUNTIF($AP$85:$AP$91,$AP$91)</f>
        <v>6</v>
      </c>
    </row>
    <row r="92" spans="2:43" x14ac:dyDescent="0.25">
      <c r="B92" s="59">
        <v>8</v>
      </c>
      <c r="C92" s="41" t="str">
        <f>IF(INDEX($AP$85:$AP$93,MATCH(8,$AQ$85:$AQ$93,0))&lt;0,"",INDEX($AO$85:$AO$93,MATCH(8,$AQ$85:$AQ$93,0)))</f>
        <v>Other</v>
      </c>
      <c r="D92" s="41"/>
      <c r="E92" s="39">
        <f>IF($C$92="","",INDEX($AP$85:$AP$93,MATCH(8,$AQ$85:$AQ$93,0)))</f>
        <v>1</v>
      </c>
      <c r="F92" s="60">
        <f>IF(OR($C$92="",$E$94=0),"",$E$92/$E$94)</f>
        <v>0.0256410256410256</v>
      </c>
      <c r="G92" s="60">
        <f>IF(OR($C$92="",$E$94=0),"",SUM($E$85:$E$92)/$E$94)</f>
        <v>1</v>
      </c>
      <c r="AO92" s="11" t="str">
        <f>IFERROR(INDEX(tblReasons[Reason],8)&amp;"","")</f>
        <v>Crash or collision</v>
      </c>
      <c r="AP92" s="61">
        <f>IF($AO$92="",-1,COUNTIFS(tblChanges[Reason],$AO$92,tblChanges[Category],"&lt;&gt;Planned",tblChanges[View date],"&gt;0"))</f>
        <v>2</v>
      </c>
      <c r="AQ92" s="61">
        <f>COUNTIF($AP$85:$AP$93,"&gt;"&amp;$AP$92)+COUNTIF($AP$85:$AP$92,$AP$92)</f>
        <v>7</v>
      </c>
    </row>
    <row r="93" spans="2:43" x14ac:dyDescent="0.25">
      <c r="B93" s="59">
        <v>9</v>
      </c>
      <c r="C93" s="41" t="str">
        <f>IF(INDEX($AP$85:$AP$93,MATCH(9,$AQ$85:$AQ$93,0))&lt;0,"",INDEX($AO$85:$AO$93,MATCH(9,$AQ$85:$AQ$93,0)))</f>
        <v>Life limit reached</v>
      </c>
      <c r="D93" s="41"/>
      <c r="E93" s="39">
        <f>IF($C$93="","",INDEX($AP$85:$AP$93,MATCH(9,$AQ$85:$AQ$93,0)))</f>
        <v>0</v>
      </c>
      <c r="F93" s="60">
        <f>IF(OR($C$93="",$E$94=0),"",$E$93/$E$94)</f>
        <v>0</v>
      </c>
      <c r="G93" s="60">
        <f>IF(OR($C$93="",$E$94=0),"",SUM($E$85:$E$93)/$E$94)</f>
        <v>1</v>
      </c>
      <c r="AO93" s="11" t="str">
        <f>IFERROR(INDEX(tblReasons[Reason],9)&amp;"","")</f>
        <v>Other</v>
      </c>
      <c r="AP93" s="61">
        <f>IF($AO$93="",-1,COUNTIFS(tblChanges[Reason],$AO$93,tblChanges[Category],"&lt;&gt;Planned",tblChanges[View date],"&gt;0"))</f>
        <v>1</v>
      </c>
      <c r="AQ93" s="61">
        <f>COUNTIF($AP$85:$AP$93,"&gt;"&amp;$AP$93)+COUNTIF($AP$85:$AP$93,$AP$93)</f>
        <v>8</v>
      </c>
    </row>
    <row r="94" spans="2:43" x14ac:dyDescent="0.25">
      <c r="B94" s="62"/>
      <c r="C94" s="62" t="s">
        <v>203</v>
      </c>
      <c r="D94" s="62"/>
      <c r="E94" s="63">
        <f>SUMIF($AP$85:$AP$93,"&gt;0")</f>
        <v>39</v>
      </c>
      <c r="F94" s="62"/>
      <c r="G94" s="62"/>
    </row>
    <row r="95" spans="2:43" ht="8" customHeight="1" x14ac:dyDescent="0.25"/>
    <row r="96" spans="2:43" ht="26.76" customHeight="1" x14ac:dyDescent="0.25">
      <c r="B96" s="21" t="s">
        <v>204</v>
      </c>
      <c r="C96" s="21"/>
      <c r="D96" s="21"/>
      <c r="E96" s="21"/>
      <c r="F96" s="21"/>
      <c r="G96" s="21"/>
      <c r="H96" s="21"/>
      <c r="I96" s="21"/>
      <c r="J96" s="21"/>
      <c r="K96" s="21"/>
      <c r="L96" s="21"/>
    </row>
    <row r="97" spans="2:12" x14ac:dyDescent="0.25">
      <c r="B97" s="64">
        <f>IF(OR(COUNTA(tblTools[Tool ID])&gt;8,COUNTA(tblMachines[Machine])&gt;5,COUNTA(tblReasons[Reason])&gt;9),"Setup lists are longer than the Dashboard blocks: some tools, machines or reasons are not shown.","")</f>
        <v/>
      </c>
      <c r="C97" s="64"/>
      <c r="D97" s="64"/>
      <c r="E97" s="64"/>
      <c r="F97" s="64"/>
      <c r="G97" s="64"/>
      <c r="H97" s="64"/>
      <c r="I97" s="64"/>
      <c r="J97" s="64"/>
      <c r="K97" s="64"/>
      <c r="L97" s="64"/>
    </row>
  </sheetData>
  <sheetProtection sheet="1" formatColumns="0" formatRows="0"/>
  <mergeCells count="57">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K51"/>
    <mergeCell ref="B63:H63"/>
    <mergeCell ref="B72:H72"/>
    <mergeCell ref="B82:G82"/>
    <mergeCell ref="C83:D83"/>
    <mergeCell ref="C84:D84"/>
    <mergeCell ref="C85:D85"/>
    <mergeCell ref="C86:D86"/>
    <mergeCell ref="C87:D87"/>
    <mergeCell ref="C88:D88"/>
    <mergeCell ref="C89:D89"/>
    <mergeCell ref="C90:D90"/>
    <mergeCell ref="C91:D91"/>
    <mergeCell ref="C92:D92"/>
    <mergeCell ref="C93:D93"/>
    <mergeCell ref="C94:D94"/>
    <mergeCell ref="B96:L96"/>
    <mergeCell ref="B97:L97"/>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66:E70">
    <cfRule type="expression" dxfId="3" priority="44" stopIfTrue="1">
      <formula>AND(ISNUMBER(E66),E66&lt;=(PrematureLimit))</formula>
    </cfRule>
    <cfRule type="expression" dxfId="4" priority="45" stopIfTrue="1">
      <formula>AND(ISNUMBER(E66),E66&lt;=(PrematureLimit)*(1+0.05))</formula>
    </cfRule>
    <cfRule type="expression" dxfId="5" priority="46">
      <formula>ISNUMBER(E66)</formula>
    </cfRule>
  </conditionalFormatting>
  <conditionalFormatting sqref="E75:E80">
    <cfRule type="expression" dxfId="3" priority="50" stopIfTrue="1">
      <formula>AND(ISNUMBER(E75),E75&gt;=(TargetLife))</formula>
    </cfRule>
    <cfRule type="expression" dxfId="4" priority="51" stopIfTrue="1">
      <formula>AND(ISNUMBER(E75),E75&gt;=(TargetLife)*(1-0.05))</formula>
    </cfRule>
    <cfRule type="expression" dxfId="5" priority="52">
      <formula>ISNUMBER(E75)</formula>
    </cfRule>
  </conditionalFormatting>
  <conditionalFormatting sqref="E85:E93">
    <cfRule type="dataBar" priority="53">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F54:F61">
    <cfRule type="expression" dxfId="3" priority="41" stopIfTrue="1">
      <formula>AND(ISNUMBER(F54),F54&gt;=(TargetLife))</formula>
    </cfRule>
    <cfRule type="expression" dxfId="4" priority="42" stopIfTrue="1">
      <formula>AND(ISNUMBER(F54),F54&gt;=(TargetLife)*(1-0.05))</formula>
    </cfRule>
    <cfRule type="expression" dxfId="5" priority="43">
      <formula>ISNUMBER(F54)</formula>
    </cfRule>
  </conditionalFormatting>
  <conditionalFormatting sqref="F66:F70">
    <cfRule type="expression" dxfId="3" priority="47" stopIfTrue="1">
      <formula>AND(ISNUMBER(F66),F66&gt;=(TargetLife))</formula>
    </cfRule>
    <cfRule type="expression" dxfId="4" priority="48" stopIfTrue="1">
      <formula>AND(ISNUMBER(F66),F66&gt;=(TargetLife)*(1-0.05))</formula>
    </cfRule>
    <cfRule type="expression" dxfId="5" priority="49">
      <formula>ISNUMBER(F66)</formula>
    </cfRule>
  </conditionalFormatting>
  <dataValidations count="3">
    <dataValidation type="list" allowBlank="1" showInputMessage="1" showErrorMessage="1" errorTitle="Check this entry" error="Pick from the list (edit the list on Setup: Machines)." promptTitle="Machine" prompt="Leave blank for all machines. Pick from the list (edit the list on Setup: Machines)." sqref="C4">
      <formula1>Machines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Cutting Tool Life Tracker&amp;R&amp;8&amp;A</oddHeader>
    <oddFooter>&amp;L&amp;8mfgcalcs.com - free manufacturing templates&amp;R&amp;8Page &amp;P of &amp;N</oddFooter>
  </headerFooter>
  <rowBreaks count="3" manualBreakCount="3">
    <brk id="28" max="16383" man="1"/>
    <brk id="50" max="16383" man="1"/>
    <brk id="71"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E85:E93</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205</v>
      </c>
      <c r="C4" s="8"/>
      <c r="D4" s="8"/>
    </row>
    <row r="5" spans="1:4" ht="5" customHeight="1"/>
    <row r="6" spans="1:4" ht="55.8" customHeight="1">
      <c r="B6" s="10" t="s">
        <v>206</v>
      </c>
      <c r="C6" s="10"/>
      <c r="D6" s="10"/>
    </row>
    <row r="8" spans="1:4" ht="21" customHeight="1">
      <c r="B8" s="8" t="s">
        <v>207</v>
      </c>
      <c r="C8" s="8"/>
      <c r="D8" s="8"/>
    </row>
    <row r="9" spans="1:4" ht="5" customHeight="1"/>
    <row r="10" spans="1:4" ht="20" customHeight="1">
      <c r="B10" s="55" t="s">
        <v>208</v>
      </c>
      <c r="C10" s="55" t="s">
        <v>209</v>
      </c>
      <c r="D10" s="31" t="s">
        <v>210</v>
      </c>
    </row>
    <row r="11" spans="1:4" ht="30.4" customHeight="1">
      <c r="B11" s="65" t="s">
        <v>211</v>
      </c>
      <c r="C11" s="66" t="s">
        <v>212</v>
      </c>
      <c r="D11" s="67" t="s">
        <v>213</v>
      </c>
    </row>
    <row r="12" spans="1:4" ht="30.4" customHeight="1">
      <c r="B12" s="65" t="s">
        <v>214</v>
      </c>
      <c r="C12" s="66" t="s">
        <v>215</v>
      </c>
      <c r="D12" s="67" t="s">
        <v>216</v>
      </c>
    </row>
    <row r="13" spans="1:4" ht="30.4" customHeight="1">
      <c r="B13" s="65" t="s">
        <v>217</v>
      </c>
      <c r="C13" s="66" t="s">
        <v>218</v>
      </c>
      <c r="D13" s="67" t="s">
        <v>219</v>
      </c>
    </row>
    <row r="14" spans="1:4" ht="30.4" customHeight="1">
      <c r="B14" s="65" t="s">
        <v>151</v>
      </c>
      <c r="C14" s="66" t="s">
        <v>220</v>
      </c>
      <c r="D14" s="67" t="s">
        <v>202</v>
      </c>
    </row>
    <row r="15" spans="1:4" ht="43.6" customHeight="1">
      <c r="B15" s="65" t="s">
        <v>152</v>
      </c>
      <c r="C15" s="66" t="s">
        <v>221</v>
      </c>
      <c r="D15" s="67" t="s">
        <v>216</v>
      </c>
    </row>
    <row r="16" spans="1:4" ht="30.4" customHeight="1">
      <c r="B16" s="65" t="s">
        <v>150</v>
      </c>
      <c r="C16" s="66" t="s">
        <v>222</v>
      </c>
      <c r="D16" s="67" t="s">
        <v>223</v>
      </c>
    </row>
    <row r="17" spans="2:4" ht="17.2" customHeight="1">
      <c r="B17" s="65" t="s">
        <v>185</v>
      </c>
      <c r="C17" s="66" t="s">
        <v>224</v>
      </c>
      <c r="D17" s="67" t="s">
        <v>223</v>
      </c>
    </row>
    <row r="18" spans="2:4" ht="30.4" customHeight="1">
      <c r="B18" s="65" t="s">
        <v>225</v>
      </c>
      <c r="C18" s="66" t="s">
        <v>226</v>
      </c>
      <c r="D18" s="67" t="s">
        <v>223</v>
      </c>
    </row>
    <row r="19" spans="2:4" ht="30.4" customHeight="1">
      <c r="B19" s="65" t="s">
        <v>227</v>
      </c>
      <c r="C19" s="66" t="s">
        <v>228</v>
      </c>
      <c r="D19" s="67" t="s">
        <v>202</v>
      </c>
    </row>
    <row r="20" spans="2:4" ht="43.6" customHeight="1">
      <c r="B20" s="65" t="s">
        <v>183</v>
      </c>
      <c r="C20" s="66" t="s">
        <v>229</v>
      </c>
      <c r="D20" s="67" t="s">
        <v>201</v>
      </c>
    </row>
    <row r="21" spans="2:4" ht="30.4" customHeight="1">
      <c r="B21" s="65" t="s">
        <v>230</v>
      </c>
      <c r="C21" s="66" t="s">
        <v>231</v>
      </c>
      <c r="D21" s="67" t="s">
        <v>232</v>
      </c>
    </row>
    <row r="23" spans="2:4" ht="21" customHeight="1">
      <c r="B23" s="8" t="s">
        <v>233</v>
      </c>
      <c r="C23" s="8"/>
      <c r="D23" s="8"/>
    </row>
    <row r="24" spans="2:4" ht="5" customHeight="1"/>
    <row r="25" spans="2:4" ht="29.4" customHeight="1">
      <c r="B25" s="26" t="s">
        <v>55</v>
      </c>
      <c r="C25" s="10" t="s">
        <v>234</v>
      </c>
      <c r="D25" s="10"/>
    </row>
    <row r="26" spans="2:4" ht="16.2" customHeight="1">
      <c r="B26" s="26" t="s">
        <v>55</v>
      </c>
      <c r="C26" s="10" t="s">
        <v>235</v>
      </c>
      <c r="D26" s="10"/>
    </row>
    <row r="27" spans="2:4" ht="29.4" customHeight="1">
      <c r="B27" s="26" t="s">
        <v>55</v>
      </c>
      <c r="C27" s="10" t="s">
        <v>236</v>
      </c>
      <c r="D27" s="10"/>
    </row>
    <row r="28" spans="2:4" ht="29.4" customHeight="1">
      <c r="B28" s="26" t="s">
        <v>55</v>
      </c>
      <c r="C28" s="10" t="s">
        <v>237</v>
      </c>
      <c r="D28" s="10"/>
    </row>
    <row r="30" spans="2:4" ht="21" customHeight="1">
      <c r="B30" s="8" t="s">
        <v>238</v>
      </c>
      <c r="C30" s="8"/>
      <c r="D30" s="8"/>
    </row>
    <row r="31" spans="2:4" ht="5" customHeight="1"/>
    <row r="32" spans="2:4" ht="29.4" customHeight="1">
      <c r="B32" s="26" t="s">
        <v>55</v>
      </c>
      <c r="C32" s="10" t="s">
        <v>239</v>
      </c>
      <c r="D32" s="10"/>
    </row>
    <row r="33" spans="2:4" ht="29.4" customHeight="1">
      <c r="B33" s="26" t="s">
        <v>55</v>
      </c>
      <c r="C33" s="10" t="s">
        <v>240</v>
      </c>
      <c r="D33" s="10"/>
    </row>
    <row r="34" spans="2:4" ht="29.4" customHeight="1">
      <c r="B34" s="26" t="s">
        <v>55</v>
      </c>
      <c r="C34" s="10" t="s">
        <v>241</v>
      </c>
      <c r="D34" s="10"/>
    </row>
    <row r="35" spans="2:4" ht="16.2" customHeight="1">
      <c r="B35" s="26" t="s">
        <v>55</v>
      </c>
      <c r="C35" s="10" t="s">
        <v>242</v>
      </c>
      <c r="D35" s="10"/>
    </row>
    <row r="37" spans="2:4" ht="21" customHeight="1">
      <c r="B37" s="8" t="s">
        <v>243</v>
      </c>
      <c r="C37" s="8"/>
      <c r="D37" s="8"/>
    </row>
    <row r="38" spans="2:4" ht="5" customHeight="1"/>
    <row r="39" spans="2:4" ht="69" customHeight="1">
      <c r="B39" s="10" t="s">
        <v>244</v>
      </c>
      <c r="C39" s="10"/>
      <c r="D39" s="10"/>
    </row>
    <row r="40" spans="2:4">
      <c r="B40" s="24" t="s">
        <v>245</v>
      </c>
      <c r="C40" s="24"/>
      <c r="D40" s="24"/>
    </row>
    <row r="42" spans="2:4" ht="21" customHeight="1">
      <c r="B42" s="8" t="s">
        <v>42</v>
      </c>
      <c r="C42" s="8"/>
      <c r="D42" s="8"/>
    </row>
    <row r="43" spans="2:4" ht="5" customHeight="1"/>
    <row r="44" spans="2:4" ht="42.6" customHeight="1">
      <c r="B44" s="10" t="s">
        <v>246</v>
      </c>
      <c r="C44" s="10"/>
      <c r="D44" s="10"/>
    </row>
    <row r="46" spans="2:4" ht="21" customHeight="1">
      <c r="B46" s="8" t="s">
        <v>247</v>
      </c>
      <c r="C46" s="8"/>
      <c r="D46" s="8"/>
    </row>
    <row r="47" spans="2:4" ht="5" customHeight="1"/>
    <row r="48" spans="2:4" ht="29.4" customHeight="1">
      <c r="B48" s="26" t="s">
        <v>55</v>
      </c>
      <c r="C48" s="10" t="s">
        <v>248</v>
      </c>
      <c r="D48" s="10"/>
    </row>
    <row r="49" spans="2:4" ht="16.2" customHeight="1">
      <c r="B49" s="26" t="s">
        <v>55</v>
      </c>
      <c r="C49" s="10" t="s">
        <v>249</v>
      </c>
      <c r="D49" s="10"/>
    </row>
    <row r="50" spans="2:4" ht="29.4" customHeight="1">
      <c r="B50" s="26" t="s">
        <v>55</v>
      </c>
      <c r="C50" s="10" t="s">
        <v>250</v>
      </c>
      <c r="D50" s="10"/>
    </row>
    <row r="51" spans="2:4">
      <c r="B51" s="21" t="s">
        <v>251</v>
      </c>
      <c r="C51" s="21"/>
      <c r="D51" s="21"/>
    </row>
    <row r="53" spans="2:4" ht="21" customHeight="1">
      <c r="B53" s="8" t="s">
        <v>252</v>
      </c>
      <c r="C53" s="8"/>
      <c r="D53" s="8"/>
    </row>
    <row r="54" spans="2:4" ht="5" customHeight="1"/>
    <row r="55" spans="2:4">
      <c r="B55" s="55" t="s">
        <v>50</v>
      </c>
      <c r="C55" s="55" t="s">
        <v>253</v>
      </c>
      <c r="D55" s="31" t="s">
        <v>146</v>
      </c>
    </row>
    <row r="56" spans="2:4" ht="16.2" customHeight="1">
      <c r="B56" s="68" t="s">
        <v>254</v>
      </c>
      <c r="C56" s="69" t="s">
        <v>255</v>
      </c>
      <c r="D56" s="70" t="s">
        <v>256</v>
      </c>
    </row>
    <row r="58" spans="2:4">
      <c r="B58" s="21" t="s">
        <v>61</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Cutting Tool Life Tracker&amp;R&amp;8&amp;A</oddHeader>
    <oddFooter>&amp;L&amp;8mfgcalcs.com - free manufacturing templates&amp;R&amp;8Page &amp;P of &amp;N</oddFooter>
  </headerFooter>
  <rowBreaks count="2" manualBreakCount="2">
    <brk id="22"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Q62"/>
  <sheetViews>
    <sheetView showGridLines="0" workbookViewId="0"/>
  </sheetViews>
  <sheetFormatPr defaultRowHeight="15"/>
  <cols>
    <col min="1" max="1" width="2.7109375" customWidth="1"/>
    <col min="2" max="19" width="12.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28</v>
      </c>
      <c r="C2" s="2"/>
      <c r="D2" s="2"/>
      <c r="E2" s="2"/>
      <c r="F2" s="2"/>
      <c r="G2" s="2"/>
      <c r="H2" s="2"/>
      <c r="I2" s="2"/>
      <c r="J2" s="2"/>
      <c r="K2" s="2"/>
      <c r="L2" s="2"/>
      <c r="M2" s="2"/>
      <c r="N2" s="2"/>
      <c r="O2" s="2"/>
      <c r="P2" s="2"/>
      <c r="Q2" s="3" t="s">
        <v>2</v>
      </c>
    </row>
    <row r="3" spans="1:17" ht="6" customHeight="1"/>
    <row r="4" spans="1:17" ht="30" customHeight="1">
      <c r="B4" s="71" t="s">
        <v>257</v>
      </c>
      <c r="C4" s="71"/>
      <c r="D4" s="22" t="str">
        <f>IF(COUNTIF($K$11:$K$36,"PASS")=26,"PASS","FAIL")</f>
        <v>PASS</v>
      </c>
      <c r="E4" s="22"/>
      <c r="F4" s="23" t="str">
        <f>COUNTIF($K$11:$K$36,"PASS")&amp;" of 26 checks pass"</f>
        <v>26 of 26 checks pass</v>
      </c>
      <c r="G4" s="23"/>
      <c r="H4" s="23"/>
      <c r="I4" s="23"/>
      <c r="J4" s="23"/>
    </row>
    <row r="6" spans="1:17" ht="29.4" customHeight="1">
      <c r="B6" s="10" t="s">
        <v>258</v>
      </c>
      <c r="C6" s="10"/>
      <c r="D6" s="10"/>
      <c r="E6" s="10"/>
      <c r="F6" s="10"/>
      <c r="G6" s="10"/>
      <c r="H6" s="10"/>
      <c r="I6" s="10"/>
      <c r="J6" s="10"/>
      <c r="K6" s="10"/>
      <c r="L6" s="10"/>
    </row>
    <row r="8" spans="1:17" ht="21" customHeight="1">
      <c r="B8" s="8" t="s">
        <v>259</v>
      </c>
      <c r="C8" s="8"/>
      <c r="D8" s="8"/>
      <c r="E8" s="8"/>
      <c r="F8" s="8"/>
      <c r="G8" s="8"/>
      <c r="H8" s="8"/>
      <c r="I8" s="8"/>
      <c r="J8" s="8"/>
      <c r="K8" s="8"/>
      <c r="L8" s="8"/>
    </row>
    <row r="9" spans="1:17" ht="5" customHeight="1"/>
    <row r="10" spans="1:17" ht="30" customHeight="1">
      <c r="B10" s="31" t="s">
        <v>260</v>
      </c>
      <c r="C10" s="55" t="s">
        <v>155</v>
      </c>
      <c r="D10" s="55"/>
      <c r="E10" s="55"/>
      <c r="F10" s="55"/>
      <c r="G10" s="31" t="s">
        <v>261</v>
      </c>
      <c r="H10" s="31" t="s">
        <v>262</v>
      </c>
      <c r="I10" s="31" t="s">
        <v>263</v>
      </c>
      <c r="J10" s="31" t="s">
        <v>264</v>
      </c>
      <c r="K10" s="31" t="s">
        <v>265</v>
      </c>
    </row>
    <row r="11" spans="1:17" ht="16.2" customHeight="1">
      <c r="B11" s="59">
        <v>1</v>
      </c>
      <c r="C11" s="69" t="s">
        <v>266</v>
      </c>
      <c r="D11" s="69"/>
      <c r="E11" s="69"/>
      <c r="F11" s="69"/>
      <c r="G11" s="72">
        <v>4.5</v>
      </c>
      <c r="H11" s="36">
        <f>$I$51</f>
        <v>4.5</v>
      </c>
      <c r="I11" s="73">
        <f>IF(AND(ISNUMBER($G$11),ISNUMBER($H$11)),ABS($H$11-$G$11),"")</f>
        <v>0</v>
      </c>
      <c r="J11" s="74">
        <v>1E-09</v>
      </c>
      <c r="K11" s="42" t="str">
        <f>IF(AND(ISNUMBER($G$11),ISNUMBER($H$11)),IF(ABS($H$11-$G$11)&lt;=$J$11,"PASS","FAIL"),"FAIL")</f>
        <v>PASS</v>
      </c>
    </row>
    <row r="12" spans="1:17" ht="16.2" customHeight="1">
      <c r="B12" s="59">
        <v>2</v>
      </c>
      <c r="C12" s="69" t="s">
        <v>267</v>
      </c>
      <c r="D12" s="69"/>
      <c r="E12" s="69"/>
      <c r="F12" s="69"/>
      <c r="G12" s="72">
        <v>0.075</v>
      </c>
      <c r="H12" s="36">
        <f>$J$51</f>
        <v>0.075</v>
      </c>
      <c r="I12" s="73">
        <f>IF(AND(ISNUMBER($G$12),ISNUMBER($H$12)),ABS($H$12-$G$12),"")</f>
        <v>0</v>
      </c>
      <c r="J12" s="74">
        <v>1E-09</v>
      </c>
      <c r="K12" s="42" t="str">
        <f>IF(AND(ISNUMBER($G$12),ISNUMBER($H$12)),IF(ABS($H$12-$G$12)&lt;=$J$12,"PASS","FAIL"),"FAIL")</f>
        <v>PASS</v>
      </c>
    </row>
    <row r="13" spans="1:17" ht="16.2" customHeight="1">
      <c r="B13" s="59">
        <v>3</v>
      </c>
      <c r="C13" s="69" t="s">
        <v>268</v>
      </c>
      <c r="D13" s="69"/>
      <c r="E13" s="69"/>
      <c r="F13" s="69"/>
      <c r="G13" s="72">
        <v>38.66666666666666</v>
      </c>
      <c r="H13" s="36">
        <f>$I$52</f>
        <v>38.6666666666667</v>
      </c>
      <c r="I13" s="73">
        <f>IF(AND(ISNUMBER($G$13),ISNUMBER($H$13)),ABS($H$13-$G$13),"")</f>
        <v>0</v>
      </c>
      <c r="J13" s="74">
        <v>1E-09</v>
      </c>
      <c r="K13" s="42" t="str">
        <f>IF(AND(ISNUMBER($G$13),ISNUMBER($H$13)),IF(ABS($H$13-$G$13)&lt;=$J$13,"PASS","FAIL"),"FAIL")</f>
        <v>PASS</v>
      </c>
    </row>
    <row r="14" spans="1:17" ht="16.2" customHeight="1">
      <c r="B14" s="59">
        <v>4</v>
      </c>
      <c r="C14" s="69" t="s">
        <v>269</v>
      </c>
      <c r="D14" s="69"/>
      <c r="E14" s="69"/>
      <c r="F14" s="69"/>
      <c r="G14" s="72">
        <v>0.1487179487179487</v>
      </c>
      <c r="H14" s="36">
        <f>$J$52</f>
        <v>0.148717948717949</v>
      </c>
      <c r="I14" s="73">
        <f>IF(AND(ISNUMBER($G$14),ISNUMBER($H$14)),ABS($H$14-$G$14),"")</f>
        <v>0</v>
      </c>
      <c r="J14" s="74">
        <v>1E-09</v>
      </c>
      <c r="K14" s="42" t="str">
        <f>IF(AND(ISNUMBER($G$14),ISNUMBER($H$14)),IF(ABS($H$14-$G$14)&lt;=$J$14,"PASS","FAIL"),"FAIL")</f>
        <v>PASS</v>
      </c>
    </row>
    <row r="15" spans="1:17" ht="16.2" customHeight="1">
      <c r="B15" s="59">
        <v>5</v>
      </c>
      <c r="C15" s="69" t="s">
        <v>270</v>
      </c>
      <c r="D15" s="69"/>
      <c r="E15" s="69"/>
      <c r="F15" s="69"/>
      <c r="G15" s="72">
        <v>26.5</v>
      </c>
      <c r="H15" s="36">
        <f>$I$53</f>
        <v>26.5</v>
      </c>
      <c r="I15" s="73">
        <f>IF(AND(ISNUMBER($G$15),ISNUMBER($H$15)),ABS($H$15-$G$15),"")</f>
        <v>0</v>
      </c>
      <c r="J15" s="74">
        <v>1E-09</v>
      </c>
      <c r="K15" s="42" t="str">
        <f>IF(AND(ISNUMBER($G$15),ISNUMBER($H$15)),IF(ABS($H$15-$G$15)&lt;=$J$15,"PASS","FAIL"),"FAIL")</f>
        <v>PASS</v>
      </c>
    </row>
    <row r="16" spans="1:17" ht="16.2" customHeight="1">
      <c r="B16" s="59">
        <v>6</v>
      </c>
      <c r="C16" s="69" t="s">
        <v>271</v>
      </c>
      <c r="D16" s="69"/>
      <c r="E16" s="69"/>
      <c r="F16" s="69"/>
      <c r="G16" s="72">
        <v>0.02944444444444444</v>
      </c>
      <c r="H16" s="36">
        <f>$J$53</f>
        <v>0.0294444444444444</v>
      </c>
      <c r="I16" s="73">
        <f>IF(AND(ISNUMBER($G$16),ISNUMBER($H$16)),ABS($H$16-$G$16),"")</f>
        <v>0</v>
      </c>
      <c r="J16" s="74">
        <v>1E-09</v>
      </c>
      <c r="K16" s="42" t="str">
        <f>IF(AND(ISNUMBER($G$16),ISNUMBER($H$16)),IF(ABS($H$16-$G$16)&lt;=$J$16,"PASS","FAIL"),"FAIL")</f>
        <v>PASS</v>
      </c>
    </row>
    <row r="17" spans="2:11" ht="16.2" customHeight="1">
      <c r="B17" s="59">
        <v>7</v>
      </c>
      <c r="C17" s="69" t="s">
        <v>272</v>
      </c>
      <c r="D17" s="69"/>
      <c r="E17" s="69"/>
      <c r="F17" s="69"/>
      <c r="G17" s="75">
        <v>1</v>
      </c>
      <c r="H17" s="60">
        <f>$K$58</f>
        <v>1</v>
      </c>
      <c r="I17" s="73">
        <f>IF(AND(ISNUMBER($G$17),ISNUMBER($H$17)),ABS($H$17-$G$17),"")</f>
        <v>0</v>
      </c>
      <c r="J17" s="74">
        <v>1E-09</v>
      </c>
      <c r="K17" s="42" t="str">
        <f>IF(AND(ISNUMBER($G$17),ISNUMBER($H$17)),IF(ABS($H$17-$G$17)&lt;=$J$17,"PASS","FAIL"),"FAIL")</f>
        <v>PASS</v>
      </c>
    </row>
    <row r="18" spans="2:11" ht="16.2" customHeight="1">
      <c r="B18" s="59">
        <v>8</v>
      </c>
      <c r="C18" s="69" t="s">
        <v>273</v>
      </c>
      <c r="D18" s="69"/>
      <c r="E18" s="69"/>
      <c r="F18" s="69"/>
      <c r="G18" s="72">
        <v>4.5</v>
      </c>
      <c r="H18" s="36">
        <f>$J$58</f>
        <v>4.5</v>
      </c>
      <c r="I18" s="73">
        <f>IF(AND(ISNUMBER($G$18),ISNUMBER($H$18)),ABS($H$18-$G$18),"")</f>
        <v>0</v>
      </c>
      <c r="J18" s="74">
        <v>1E-09</v>
      </c>
      <c r="K18" s="42" t="str">
        <f>IF(AND(ISNUMBER($G$18),ISNUMBER($H$18)),IF(ABS($H$18-$G$18)&lt;=$J$18,"PASS","FAIL"),"FAIL")</f>
        <v>PASS</v>
      </c>
    </row>
    <row r="19" spans="2:11" ht="16.2" customHeight="1">
      <c r="B19" s="59">
        <v>9</v>
      </c>
      <c r="C19" s="69" t="s">
        <v>274</v>
      </c>
      <c r="D19" s="69"/>
      <c r="E19" s="69"/>
      <c r="F19" s="69"/>
      <c r="G19" s="72">
        <v>0.075</v>
      </c>
      <c r="H19" s="36">
        <f>$L$58</f>
        <v>0.075</v>
      </c>
      <c r="I19" s="73">
        <f>IF(AND(ISNUMBER($G$19),ISNUMBER($H$19)),ABS($H$19-$G$19),"")</f>
        <v>0</v>
      </c>
      <c r="J19" s="74">
        <v>1E-09</v>
      </c>
      <c r="K19" s="42" t="str">
        <f>IF(AND(ISNUMBER($G$19),ISNUMBER($H$19)),IF(ABS($H$19-$G$19)&lt;=$J$19,"PASS","FAIL"),"FAIL")</f>
        <v>PASS</v>
      </c>
    </row>
    <row r="20" spans="2:11" ht="16.2" customHeight="1">
      <c r="B20" s="59">
        <v>10</v>
      </c>
      <c r="C20" s="69" t="s">
        <v>275</v>
      </c>
      <c r="D20" s="69"/>
      <c r="E20" s="69"/>
      <c r="F20" s="69"/>
      <c r="G20" s="75">
        <v>0.7</v>
      </c>
      <c r="H20" s="60">
        <f>$K$59</f>
        <v>0.7</v>
      </c>
      <c r="I20" s="73">
        <f>IF(AND(ISNUMBER($G$20),ISNUMBER($H$20)),ABS($H$20-$G$20),"")</f>
        <v>0</v>
      </c>
      <c r="J20" s="74">
        <v>1E-09</v>
      </c>
      <c r="K20" s="42" t="str">
        <f>IF(AND(ISNUMBER($G$20),ISNUMBER($H$20)),IF(ABS($H$20-$G$20)&lt;=$J$20,"PASS","FAIL"),"FAIL")</f>
        <v>PASS</v>
      </c>
    </row>
    <row r="21" spans="2:11" ht="16.2" customHeight="1">
      <c r="B21" s="59">
        <v>11</v>
      </c>
      <c r="C21" s="69" t="s">
        <v>276</v>
      </c>
      <c r="D21" s="69"/>
      <c r="E21" s="69"/>
      <c r="F21" s="69"/>
      <c r="G21" s="72">
        <v>3.15</v>
      </c>
      <c r="H21" s="36">
        <f>$J$59</f>
        <v>3.15</v>
      </c>
      <c r="I21" s="73">
        <f>IF(AND(ISNUMBER($G$21),ISNUMBER($H$21)),ABS($H$21-$G$21),"")</f>
        <v>0</v>
      </c>
      <c r="J21" s="74">
        <v>1E-09</v>
      </c>
      <c r="K21" s="42" t="str">
        <f>IF(AND(ISNUMBER($G$21),ISNUMBER($H$21)),IF(ABS($H$21-$G$21)&lt;=$J$21,"PASS","FAIL"),"FAIL")</f>
        <v>PASS</v>
      </c>
    </row>
    <row r="22" spans="2:11" ht="16.2" customHeight="1">
      <c r="B22" s="59">
        <v>12</v>
      </c>
      <c r="C22" s="69" t="s">
        <v>277</v>
      </c>
      <c r="D22" s="69"/>
      <c r="E22" s="69"/>
      <c r="F22" s="69"/>
      <c r="G22" s="72">
        <v>0.1071428571428571</v>
      </c>
      <c r="H22" s="36">
        <f>$L$59</f>
        <v>0.107142857142857</v>
      </c>
      <c r="I22" s="73">
        <f>IF(AND(ISNUMBER($G$22),ISNUMBER($H$22)),ABS($H$22-$G$22),"")</f>
        <v>0</v>
      </c>
      <c r="J22" s="74">
        <v>1E-09</v>
      </c>
      <c r="K22" s="42" t="str">
        <f>IF(AND(ISNUMBER($G$22),ISNUMBER($H$22)),IF(ABS($H$22-$G$22)&lt;=$J$22,"PASS","FAIL"),"FAIL")</f>
        <v>PASS</v>
      </c>
    </row>
    <row r="23" spans="2:11" ht="16.2" customHeight="1">
      <c r="B23" s="59">
        <v>13</v>
      </c>
      <c r="C23" s="69" t="s">
        <v>278</v>
      </c>
      <c r="D23" s="69"/>
      <c r="E23" s="69"/>
      <c r="F23" s="69"/>
      <c r="G23" s="75">
        <v>0.8615384615384616</v>
      </c>
      <c r="H23" s="60">
        <f>$K$60</f>
        <v>0.861538461538462</v>
      </c>
      <c r="I23" s="73">
        <f>IF(AND(ISNUMBER($G$23),ISNUMBER($H$23)),ABS($H$23-$G$23),"")</f>
        <v>0</v>
      </c>
      <c r="J23" s="74">
        <v>1E-09</v>
      </c>
      <c r="K23" s="42" t="str">
        <f>IF(AND(ISNUMBER($G$23),ISNUMBER($H$23)),IF(ABS($H$23-$G$23)&lt;=$J$23,"PASS","FAIL"),"FAIL")</f>
        <v>PASS</v>
      </c>
    </row>
    <row r="24" spans="2:11" ht="16.2" customHeight="1">
      <c r="B24" s="59">
        <v>14</v>
      </c>
      <c r="C24" s="69" t="s">
        <v>279</v>
      </c>
      <c r="D24" s="69"/>
      <c r="E24" s="69"/>
      <c r="F24" s="69"/>
      <c r="G24" s="72">
        <v>33.31282051282051</v>
      </c>
      <c r="H24" s="36">
        <f>$J$60</f>
        <v>33.3128205128205</v>
      </c>
      <c r="I24" s="73">
        <f>IF(AND(ISNUMBER($G$24),ISNUMBER($H$24)),ABS($H$24-$G$24),"")</f>
        <v>0</v>
      </c>
      <c r="J24" s="74">
        <v>1E-09</v>
      </c>
      <c r="K24" s="42" t="str">
        <f>IF(AND(ISNUMBER($G$24),ISNUMBER($H$24)),IF(ABS($H$24-$G$24)&lt;=$J$24,"PASS","FAIL"),"FAIL")</f>
        <v>PASS</v>
      </c>
    </row>
    <row r="25" spans="2:11" ht="16.2" customHeight="1">
      <c r="B25" s="59">
        <v>15</v>
      </c>
      <c r="C25" s="69" t="s">
        <v>280</v>
      </c>
      <c r="D25" s="69"/>
      <c r="E25" s="69"/>
      <c r="F25" s="69"/>
      <c r="G25" s="72">
        <v>0.1726190476190476</v>
      </c>
      <c r="H25" s="36">
        <f>$L$60</f>
        <v>0.172619047619048</v>
      </c>
      <c r="I25" s="73">
        <f>IF(AND(ISNUMBER($G$25),ISNUMBER($H$25)),ABS($H$25-$G$25),"")</f>
        <v>0</v>
      </c>
      <c r="J25" s="74">
        <v>1E-09</v>
      </c>
      <c r="K25" s="42" t="str">
        <f>IF(AND(ISNUMBER($G$25),ISNUMBER($H$25)),IF(ABS($H$25-$G$25)&lt;=$J$25,"PASS","FAIL"),"FAIL")</f>
        <v>PASS</v>
      </c>
    </row>
    <row r="26" spans="2:11" ht="16.2" customHeight="1">
      <c r="B26" s="59">
        <v>16</v>
      </c>
      <c r="C26" s="69" t="s">
        <v>281</v>
      </c>
      <c r="D26" s="69"/>
      <c r="E26" s="69"/>
      <c r="F26" s="69"/>
      <c r="G26" s="75">
        <v>0</v>
      </c>
      <c r="H26" s="60">
        <f>$K$61</f>
        <v>0</v>
      </c>
      <c r="I26" s="73">
        <f>IF(AND(ISNUMBER($G$26),ISNUMBER($H$26)),ABS($H$26-$G$26),"")</f>
        <v>0</v>
      </c>
      <c r="J26" s="74">
        <v>1E-09</v>
      </c>
      <c r="K26" s="42" t="str">
        <f>IF(AND(ISNUMBER($G$26),ISNUMBER($H$26)),IF(ABS($H$26-$G$26)&lt;=$J$26,"PASS","FAIL"),"FAIL")</f>
        <v>PASS</v>
      </c>
    </row>
    <row r="27" spans="2:11" ht="16.2" customHeight="1">
      <c r="B27" s="59">
        <v>17</v>
      </c>
      <c r="C27" s="69" t="s">
        <v>282</v>
      </c>
      <c r="D27" s="69"/>
      <c r="E27" s="69"/>
      <c r="F27" s="69"/>
      <c r="G27" s="72">
        <v>0</v>
      </c>
      <c r="H27" s="36">
        <f>$J$61</f>
        <v>0</v>
      </c>
      <c r="I27" s="73">
        <f>IF(AND(ISNUMBER($G$27),ISNUMBER($H$27)),ABS($H$27-$G$27),"")</f>
        <v>0</v>
      </c>
      <c r="J27" s="74">
        <v>1E-09</v>
      </c>
      <c r="K27" s="42" t="str">
        <f>IF(AND(ISNUMBER($G$27),ISNUMBER($H$27)),IF(ABS($H$27-$G$27)&lt;=$J$27,"PASS","FAIL"),"FAIL")</f>
        <v>PASS</v>
      </c>
    </row>
    <row r="28" spans="2:11" ht="16.2" customHeight="1">
      <c r="B28" s="59">
        <v>18</v>
      </c>
      <c r="C28" s="69" t="s">
        <v>283</v>
      </c>
      <c r="D28" s="69"/>
      <c r="E28" s="69"/>
      <c r="F28" s="69"/>
      <c r="G28" s="68" t="s">
        <v>158</v>
      </c>
      <c r="H28" s="41">
        <f>$L$61</f>
        <v/>
      </c>
      <c r="I28" s="41"/>
      <c r="J28" s="70" t="s">
        <v>284</v>
      </c>
      <c r="K28" s="42" t="str">
        <f>IF($H$28&amp;""=$G$28&amp;"","PASS","FAIL")</f>
        <v>PASS</v>
      </c>
    </row>
    <row r="29" spans="2:11" ht="16.2" customHeight="1">
      <c r="B29" s="59">
        <v>19</v>
      </c>
      <c r="C29" s="69" t="s">
        <v>285</v>
      </c>
      <c r="D29" s="69"/>
      <c r="E29" s="69"/>
      <c r="F29" s="69"/>
      <c r="G29" s="68" t="s">
        <v>286</v>
      </c>
      <c r="H29" s="41" t="str">
        <f>$N$58</f>
        <v>On target</v>
      </c>
      <c r="I29" s="41"/>
      <c r="J29" s="70" t="s">
        <v>284</v>
      </c>
      <c r="K29" s="42" t="str">
        <f>IF($H$29&amp;""=$G$29&amp;"","PASS","FAIL")</f>
        <v>PASS</v>
      </c>
    </row>
    <row r="30" spans="2:11" ht="16.2" customHeight="1">
      <c r="B30" s="59">
        <v>20</v>
      </c>
      <c r="C30" s="69" t="s">
        <v>287</v>
      </c>
      <c r="D30" s="69"/>
      <c r="E30" s="69"/>
      <c r="F30" s="69"/>
      <c r="G30" s="68" t="s">
        <v>288</v>
      </c>
      <c r="H30" s="41" t="str">
        <f>$N$60</f>
        <v>Near target</v>
      </c>
      <c r="I30" s="41"/>
      <c r="J30" s="70" t="s">
        <v>284</v>
      </c>
      <c r="K30" s="42" t="str">
        <f>IF($H$30&amp;""=$G$30&amp;"","PASS","FAIL")</f>
        <v>PASS</v>
      </c>
    </row>
    <row r="31" spans="2:11" ht="16.2" customHeight="1">
      <c r="B31" s="59">
        <v>21</v>
      </c>
      <c r="C31" s="69" t="s">
        <v>289</v>
      </c>
      <c r="D31" s="69"/>
      <c r="E31" s="69"/>
      <c r="F31" s="69"/>
      <c r="G31" s="68" t="s">
        <v>290</v>
      </c>
      <c r="H31" s="41" t="str">
        <f>$N$59</f>
        <v>Below target</v>
      </c>
      <c r="I31" s="41"/>
      <c r="J31" s="70" t="s">
        <v>284</v>
      </c>
      <c r="K31" s="42" t="str">
        <f>IF($H$31&amp;""=$G$31&amp;"","PASS","FAIL")</f>
        <v>PASS</v>
      </c>
    </row>
    <row r="32" spans="2:11" ht="16.2" customHeight="1">
      <c r="B32" s="59">
        <v>22</v>
      </c>
      <c r="C32" s="69" t="s">
        <v>291</v>
      </c>
      <c r="D32" s="69"/>
      <c r="E32" s="69"/>
      <c r="F32" s="69"/>
      <c r="G32" s="68" t="s">
        <v>292</v>
      </c>
      <c r="H32" s="41" t="str">
        <f>$P$62</f>
        <v>Parts above 3x standard: check count</v>
      </c>
      <c r="I32" s="41"/>
      <c r="J32" s="70" t="s">
        <v>284</v>
      </c>
      <c r="K32" s="42" t="str">
        <f>IF($H$32&amp;""=$G$32&amp;"","PASS","FAIL")</f>
        <v>PASS</v>
      </c>
    </row>
    <row r="33" spans="2:12" ht="16.2" customHeight="1">
      <c r="B33" s="59">
        <v>23</v>
      </c>
      <c r="C33" s="69" t="s">
        <v>293</v>
      </c>
      <c r="D33" s="69"/>
      <c r="E33" s="69"/>
      <c r="F33" s="69"/>
      <c r="G33" s="75">
        <v>1.43394495412844</v>
      </c>
      <c r="H33" s="60">
        <f>IF((SUMIFS(tblVerifyChanges[Standard life (parts)],tblVerifyChanges[View date],"&gt;0"))=0,"",(SUMIFS(tblVerifyChanges[Parts made],tblVerifyChanges[View date],"&gt;0"))/(SUMIFS(tblVerifyChanges[Standard life (parts)],tblVerifyChanges[View date],"&gt;0")))</f>
        <v>1.43394495412844</v>
      </c>
      <c r="I33" s="73">
        <f>IF(AND(ISNUMBER($G$33),ISNUMBER($H$33)),ABS($H$33-$G$33),"")</f>
        <v>0</v>
      </c>
      <c r="J33" s="74">
        <v>1E-09</v>
      </c>
      <c r="K33" s="42" t="str">
        <f>IF(AND(ISNUMBER($G$33),ISNUMBER($H$33)),IF(ABS($H$33-$G$33)&lt;=$J$33,"PASS","FAIL"),"FAIL")</f>
        <v>PASS</v>
      </c>
    </row>
    <row r="34" spans="2:12" ht="16.2" customHeight="1">
      <c r="B34" s="59">
        <v>24</v>
      </c>
      <c r="C34" s="69" t="s">
        <v>294</v>
      </c>
      <c r="D34" s="69"/>
      <c r="E34" s="69"/>
      <c r="F34" s="69"/>
      <c r="G34" s="75">
        <v>0.4</v>
      </c>
      <c r="H34" s="60">
        <f>IF((COUNTIFS(tblVerifyChanges[View date],"&gt;0"))=0,"",(COUNTIFS(tblVerifyChanges[Category],"Premature failure",tblVerifyChanges[View date],"&gt;0"))/(COUNTIFS(tblVerifyChanges[View date],"&gt;0")))</f>
        <v>0.4</v>
      </c>
      <c r="I34" s="73">
        <f>IF(AND(ISNUMBER($G$34),ISNUMBER($H$34)),ABS($H$34-$G$34),"")</f>
        <v>0</v>
      </c>
      <c r="J34" s="74">
        <v>1E-09</v>
      </c>
      <c r="K34" s="42" t="str">
        <f>IF(AND(ISNUMBER($G$34),ISNUMBER($H$34)),IF(ABS($H$34-$G$34)&lt;=$J$34,"PASS","FAIL"),"FAIL")</f>
        <v>PASS</v>
      </c>
    </row>
    <row r="35" spans="2:12" ht="16.2" customHeight="1">
      <c r="B35" s="59">
        <v>25</v>
      </c>
      <c r="C35" s="69" t="s">
        <v>295</v>
      </c>
      <c r="D35" s="69"/>
      <c r="E35" s="69"/>
      <c r="F35" s="69"/>
      <c r="G35" s="72">
        <v>100.6666666666667</v>
      </c>
      <c r="H35" s="36">
        <f>SUMIFS(tblVerifyChanges[Life cost],tblVerifyChanges[View date],"&gt;0")</f>
        <v>100.666666666667</v>
      </c>
      <c r="I35" s="73">
        <f>IF(AND(ISNUMBER($G$35),ISNUMBER($H$35)),ABS($H$35-$G$35),"")</f>
        <v>0</v>
      </c>
      <c r="J35" s="74">
        <v>1E-09</v>
      </c>
      <c r="K35" s="42" t="str">
        <f>IF(AND(ISNUMBER($G$35),ISNUMBER($H$35)),IF(ABS($H$35-$G$35)&lt;=$J$35,"PASS","FAIL"),"FAIL")</f>
        <v>PASS</v>
      </c>
    </row>
    <row r="36" spans="2:12" ht="16.2" customHeight="1">
      <c r="B36" s="59">
        <v>26</v>
      </c>
      <c r="C36" s="69" t="s">
        <v>296</v>
      </c>
      <c r="D36" s="69"/>
      <c r="E36" s="69"/>
      <c r="F36" s="69"/>
      <c r="G36" s="72">
        <v>-22.7405982905983</v>
      </c>
      <c r="H36" s="36">
        <f>SUMIFS(tblVerifyChanges[Life cost],tblVerifyChanges[View date],"&gt;0")-SUMIFS(tblVerifyChanges[Standard cost],tblVerifyChanges[View date],"&gt;0")</f>
        <v>-22.7405982905983</v>
      </c>
      <c r="I36" s="73">
        <f>IF(AND(ISNUMBER($G$36),ISNUMBER($H$36)),ABS($H$36-$G$36),"")</f>
        <v>0</v>
      </c>
      <c r="J36" s="74">
        <v>1E-09</v>
      </c>
      <c r="K36" s="42" t="str">
        <f>IF(AND(ISNUMBER($G$36),ISNUMBER($H$36)),IF(ABS($H$36-$G$36)&lt;=$J$36,"PASS","FAIL"),"FAIL")</f>
        <v>PASS</v>
      </c>
    </row>
    <row r="38" spans="2:12" ht="21" customHeight="1">
      <c r="B38" s="8" t="s">
        <v>297</v>
      </c>
      <c r="C38" s="8"/>
      <c r="D38" s="8"/>
      <c r="E38" s="8"/>
      <c r="F38" s="8"/>
      <c r="G38" s="8"/>
      <c r="H38" s="8"/>
      <c r="I38" s="8"/>
      <c r="J38" s="8"/>
      <c r="K38" s="8"/>
      <c r="L38" s="8"/>
    </row>
    <row r="39" spans="2:12" ht="5" customHeight="1"/>
    <row r="40" spans="2:12">
      <c r="B40" s="21" t="s">
        <v>298</v>
      </c>
      <c r="C40" s="21"/>
      <c r="D40" s="21"/>
      <c r="E40" s="21"/>
      <c r="F40" s="21"/>
      <c r="G40" s="21"/>
      <c r="H40" s="21"/>
      <c r="I40" s="21"/>
      <c r="J40" s="21"/>
      <c r="K40" s="21"/>
      <c r="L40" s="21"/>
    </row>
    <row r="41" spans="2:12">
      <c r="B41" s="30" t="s">
        <v>299</v>
      </c>
      <c r="C41" s="30"/>
      <c r="D41" s="30"/>
      <c r="E41" s="30"/>
      <c r="F41" s="30"/>
    </row>
    <row r="42" spans="2:12">
      <c r="B42" s="27" t="s">
        <v>300</v>
      </c>
      <c r="C42" s="27"/>
      <c r="D42" s="27"/>
      <c r="E42" s="76">
        <v>0</v>
      </c>
      <c r="F42" s="7"/>
    </row>
    <row r="43" spans="2:12">
      <c r="B43" s="27" t="s">
        <v>301</v>
      </c>
      <c r="C43" s="27"/>
      <c r="D43" s="27"/>
      <c r="E43" s="76">
        <v>2958465</v>
      </c>
      <c r="F43" s="7"/>
    </row>
    <row r="44" spans="2:12">
      <c r="B44" s="27" t="s">
        <v>302</v>
      </c>
      <c r="C44" s="27"/>
      <c r="D44" s="27"/>
      <c r="E44" s="68" t="s">
        <v>158</v>
      </c>
      <c r="F44" s="68"/>
    </row>
    <row r="45" spans="2:12">
      <c r="B45" s="27" t="s">
        <v>81</v>
      </c>
      <c r="C45" s="27"/>
      <c r="D45" s="27"/>
      <c r="E45" s="75">
        <v>0.9</v>
      </c>
      <c r="F45" s="7"/>
    </row>
    <row r="46" spans="2:12">
      <c r="B46" s="27" t="s">
        <v>82</v>
      </c>
      <c r="C46" s="27"/>
      <c r="D46" s="27"/>
      <c r="E46" s="75">
        <v>0.1</v>
      </c>
      <c r="F46" s="7"/>
    </row>
    <row r="48" spans="2:12">
      <c r="B48" s="30" t="s">
        <v>303</v>
      </c>
      <c r="C48" s="30"/>
      <c r="D48" s="30"/>
      <c r="E48" s="30"/>
      <c r="F48" s="30"/>
      <c r="G48" s="30"/>
      <c r="H48" s="30"/>
      <c r="I48" s="30"/>
      <c r="J48" s="30"/>
      <c r="K48" s="30"/>
      <c r="L48" s="30"/>
    </row>
    <row r="49" spans="2:17" ht="14" customHeight="1">
      <c r="B49" s="32"/>
      <c r="C49" s="32"/>
      <c r="D49" s="32"/>
      <c r="E49" s="32" t="str">
        <f>Currency&amp;"/tool"</f>
        <v>USD/tool</v>
      </c>
      <c r="F49" s="32"/>
      <c r="G49" s="32" t="str">
        <f>Currency&amp;"/regrind"</f>
        <v>USD/regrind</v>
      </c>
      <c r="H49" s="32"/>
      <c r="I49" s="32" t="str">
        <f>Currency&amp;"/life"</f>
        <v>USD/life</v>
      </c>
      <c r="J49" s="32" t="str">
        <f>Currency&amp;"/part"</f>
        <v>USD/part</v>
      </c>
    </row>
    <row r="50" spans="2:17" ht="32" customHeight="1">
      <c r="B50" s="31" t="s">
        <v>65</v>
      </c>
      <c r="C50" s="31" t="s">
        <v>66</v>
      </c>
      <c r="D50" s="31" t="s">
        <v>63</v>
      </c>
      <c r="E50" s="31" t="s">
        <v>67</v>
      </c>
      <c r="F50" s="31" t="s">
        <v>68</v>
      </c>
      <c r="G50" s="31" t="s">
        <v>69</v>
      </c>
      <c r="H50" s="31" t="s">
        <v>70</v>
      </c>
      <c r="I50" s="31" t="s">
        <v>71</v>
      </c>
      <c r="J50" s="31" t="s">
        <v>72</v>
      </c>
    </row>
    <row r="51" spans="2:17">
      <c r="B51" s="68" t="s">
        <v>304</v>
      </c>
      <c r="C51" s="68" t="s">
        <v>305</v>
      </c>
      <c r="D51" s="68" t="s">
        <v>103</v>
      </c>
      <c r="E51" s="77">
        <v>18</v>
      </c>
      <c r="F51" s="76">
        <v>4</v>
      </c>
      <c r="G51" s="77">
        <v>0</v>
      </c>
      <c r="H51" s="76">
        <v>60</v>
      </c>
      <c r="I51" s="35">
        <f>IF(OR(tblVerifyTools[[#This Row],[Price]]="",tblVerifyTools[[#This Row],[Lives per tool]]=""),"",(tblVerifyTools[[#This Row],[Price]]+tblVerifyTools[[#This Row],[Regrind cost]]*(tblVerifyTools[[#This Row],[Lives per tool]]-1))/tblVerifyTools[[#This Row],[Lives per tool]])</f>
        <v>4.5</v>
      </c>
      <c r="J51" s="36">
        <f>IF(OR(tblVerifyTools[[#This Row],[Cost per life]]="",tblVerifyTools[[#This Row],[Standard life (parts)]]=""),"",tblVerifyTools[[#This Row],[Cost per life]]/tblVerifyTools[[#This Row],[Standard life (parts)]])</f>
        <v>0.075</v>
      </c>
    </row>
    <row r="52" spans="2:17">
      <c r="B52" s="68" t="s">
        <v>306</v>
      </c>
      <c r="C52" s="68" t="s">
        <v>307</v>
      </c>
      <c r="D52" s="68" t="s">
        <v>114</v>
      </c>
      <c r="E52" s="77">
        <v>72</v>
      </c>
      <c r="F52" s="76">
        <v>3</v>
      </c>
      <c r="G52" s="77">
        <v>22</v>
      </c>
      <c r="H52" s="76">
        <v>260</v>
      </c>
      <c r="I52" s="35">
        <f>IF(OR(tblVerifyTools[[#This Row],[Price]]="",tblVerifyTools[[#This Row],[Lives per tool]]=""),"",(tblVerifyTools[[#This Row],[Price]]+tblVerifyTools[[#This Row],[Regrind cost]]*(tblVerifyTools[[#This Row],[Lives per tool]]-1))/tblVerifyTools[[#This Row],[Lives per tool]])</f>
        <v>38.6666666666667</v>
      </c>
      <c r="J52" s="36">
        <f>IF(OR(tblVerifyTools[[#This Row],[Cost per life]]="",tblVerifyTools[[#This Row],[Standard life (parts)]]=""),"",tblVerifyTools[[#This Row],[Cost per life]]/tblVerifyTools[[#This Row],[Standard life (parts)]])</f>
        <v>0.148717948717949</v>
      </c>
    </row>
    <row r="53" spans="2:17">
      <c r="B53" s="68" t="s">
        <v>308</v>
      </c>
      <c r="C53" s="68" t="s">
        <v>309</v>
      </c>
      <c r="D53" s="68" t="s">
        <v>120</v>
      </c>
      <c r="E53" s="77">
        <v>26.5</v>
      </c>
      <c r="F53" s="76">
        <v>1</v>
      </c>
      <c r="G53" s="77">
        <v>0</v>
      </c>
      <c r="H53" s="76">
        <v>900</v>
      </c>
      <c r="I53" s="35">
        <f>IF(OR(tblVerifyTools[[#This Row],[Price]]="",tblVerifyTools[[#This Row],[Lives per tool]]=""),"",(tblVerifyTools[[#This Row],[Price]]+tblVerifyTools[[#This Row],[Regrind cost]]*(tblVerifyTools[[#This Row],[Lives per tool]]-1))/tblVerifyTools[[#This Row],[Lives per tool]])</f>
        <v>26.5</v>
      </c>
      <c r="J53" s="36">
        <f>IF(OR(tblVerifyTools[[#This Row],[Cost per life]]="",tblVerifyTools[[#This Row],[Standard life (parts)]]=""),"",tblVerifyTools[[#This Row],[Cost per life]]/tblVerifyTools[[#This Row],[Standard life (parts)]])</f>
        <v>0.0294444444444444</v>
      </c>
    </row>
    <row r="55" spans="2:17">
      <c r="B55" s="30" t="s">
        <v>310</v>
      </c>
      <c r="C55" s="30"/>
      <c r="D55" s="30"/>
      <c r="E55" s="30"/>
      <c r="F55" s="30"/>
      <c r="G55" s="30"/>
      <c r="H55" s="30"/>
      <c r="I55" s="30"/>
      <c r="J55" s="30"/>
      <c r="K55" s="30"/>
      <c r="L55" s="30"/>
    </row>
    <row r="56" spans="2:17" ht="14" customHeight="1">
      <c r="B56" s="32"/>
      <c r="C56" s="32"/>
      <c r="D56" s="32"/>
      <c r="E56" s="32"/>
      <c r="F56" s="32"/>
      <c r="G56" s="32"/>
      <c r="H56" s="32"/>
      <c r="I56" s="32" t="str">
        <f>Currency</f>
        <v>USD</v>
      </c>
      <c r="J56" s="32" t="str">
        <f>Currency</f>
        <v>USD</v>
      </c>
      <c r="K56" s="32"/>
      <c r="L56" s="32" t="str">
        <f>Currency&amp;"/part"</f>
        <v>USD/part</v>
      </c>
      <c r="M56" s="32"/>
      <c r="N56" s="32"/>
      <c r="O56" s="32"/>
      <c r="P56" s="32"/>
      <c r="Q56" s="32"/>
    </row>
    <row r="57" spans="2:17" ht="32" customHeight="1">
      <c r="B57" s="31" t="s">
        <v>146</v>
      </c>
      <c r="C57" s="31" t="s">
        <v>62</v>
      </c>
      <c r="D57" s="31" t="s">
        <v>65</v>
      </c>
      <c r="E57" s="31" t="s">
        <v>147</v>
      </c>
      <c r="F57" s="31" t="s">
        <v>148</v>
      </c>
      <c r="G57" s="31" t="s">
        <v>73</v>
      </c>
      <c r="H57" s="31" t="s">
        <v>70</v>
      </c>
      <c r="I57" s="31" t="s">
        <v>149</v>
      </c>
      <c r="J57" s="31" t="s">
        <v>150</v>
      </c>
      <c r="K57" s="31" t="s">
        <v>151</v>
      </c>
      <c r="L57" s="31" t="s">
        <v>152</v>
      </c>
      <c r="M57" s="31" t="s">
        <v>75</v>
      </c>
      <c r="N57" s="31" t="s">
        <v>153</v>
      </c>
      <c r="O57" s="31" t="s">
        <v>154</v>
      </c>
      <c r="P57" s="31" t="s">
        <v>155</v>
      </c>
      <c r="Q57" s="31" t="s">
        <v>64</v>
      </c>
    </row>
    <row r="58" spans="2:17">
      <c r="B58" s="78">
        <v>46027</v>
      </c>
      <c r="C58" s="68" t="s">
        <v>311</v>
      </c>
      <c r="D58" s="68" t="s">
        <v>304</v>
      </c>
      <c r="E58" s="68" t="s">
        <v>312</v>
      </c>
      <c r="F58" s="76">
        <v>60</v>
      </c>
      <c r="G58" s="68" t="s">
        <v>125</v>
      </c>
      <c r="H58" s="76">
        <v>60</v>
      </c>
      <c r="I58" s="77">
        <v>4.5</v>
      </c>
      <c r="J58" s="35">
        <f>IF(tblVerifyChanges[[#This Row],[Date]]="","",IF(OR(tblVerifyChanges[[#This Row],[Life cost]]="",tblVerifyChanges[[#This Row],[Standard life (parts)]]=""),"",tblVerifyChanges[[#This Row],[Parts made]]*tblVerifyChanges[[#This Row],[Life cost]]/tblVerifyChanges[[#This Row],[Standard life (parts)]]))</f>
        <v>4.5</v>
      </c>
      <c r="K58" s="40">
        <f>IF(tblVerifyChanges[[#This Row],[Date]]="","",IF(OR(tblVerifyChanges[[#This Row],[Standard life (parts)]]="",tblVerifyChanges[[#This Row],[Parts made]]=""),"",tblVerifyChanges[[#This Row],[Parts made]]/tblVerifyChanges[[#This Row],[Standard life (parts)]]))</f>
        <v>1</v>
      </c>
      <c r="L58" s="36">
        <f>IF(tblVerifyChanges[[#This Row],[Date]]="","",IF(OR(tblVerifyChanges[[#This Row],[Life cost]]="",N(tblVerifyChanges[[#This Row],[Parts made]])=0),"",tblVerifyChanges[[#This Row],[Life cost]]/tblVerifyChanges[[#This Row],[Parts made]]))</f>
        <v>0.075</v>
      </c>
      <c r="M58" s="68" t="s">
        <v>127</v>
      </c>
      <c r="N58" s="42" t="str">
        <f>IF(NOT(ISNUMBER(tblVerifyChanges[[#This Row],[Life achieved]])),"",IF(tblVerifyChanges[[#This Row],[Life achieved]]&gt;=$E$45,"On target",IF(tblVerifyChanges[[#This Row],[Life achieved]]&gt;=$E$45*(1-0.05),"Near target","Below target")))</f>
        <v>On target</v>
      </c>
      <c r="O58" s="43">
        <f>IF(tblVerifyChanges[[#This Row],[Date]]="","",IF(AND(tblVerifyChanges[[#This Row],[Date]]&gt;=$E$42,tblVerifyChanges[[#This Row],[Date]]&lt;=$E$43,OR($E$44="",tblVerifyChanges[[#This Row],[Machine]]=$E$44)),tblVerifyChanges[[#This Row],[Date]],""))</f>
        <v>46027</v>
      </c>
      <c r="P58" s="44" t="str">
        <f>IF(tblVerifyChanges[[#This Row],[Date]]="","",IF(tblVerifyChanges[[#This Row],[Machine]]="","Missing machine",IF(tblVerifyChanges[[#This Row],[Tool ID]]="","Missing tool id",IF(tblVerifyChanges[[#This Row],[Parts made]]="","Missing parts made",IF(tblVerifyChanges[[#This Row],[Reason]]="","Missing reason",IF(tblVerifyChanges[[#This Row],[Standard life (parts)]]="","Tool not on Setup list",IF(tblVerifyChanges[[#This Row],[Category]]="","Reason not on Setup list",IF(tblVerifyChanges[[#This Row],[Parts made]]&gt;3*tblVerifyChanges[[#This Row],[Standard life (parts)]],"Parts above 3x standard: check count",IF(AND(tblVerifyChanges[[#This Row],[Category]]="Planned",tblVerifyChanges[[#This Row],[Parts made]]&lt;0.8*tblVerifyChanges[[#This Row],[Standard life (parts)]]),"Planned change below 80% of standard","OK")))))))))</f>
        <v>OK</v>
      </c>
      <c r="Q58" s="68"/>
    </row>
    <row r="59" spans="2:17">
      <c r="B59" s="78">
        <v>46027</v>
      </c>
      <c r="C59" s="68" t="s">
        <v>311</v>
      </c>
      <c r="D59" s="68" t="s">
        <v>304</v>
      </c>
      <c r="E59" s="68" t="s">
        <v>312</v>
      </c>
      <c r="F59" s="76">
        <v>42</v>
      </c>
      <c r="G59" s="68" t="s">
        <v>137</v>
      </c>
      <c r="H59" s="76">
        <v>60</v>
      </c>
      <c r="I59" s="77">
        <v>4.5</v>
      </c>
      <c r="J59" s="35">
        <f>IF(tblVerifyChanges[[#This Row],[Date]]="","",IF(OR(tblVerifyChanges[[#This Row],[Life cost]]="",tblVerifyChanges[[#This Row],[Standard life (parts)]]=""),"",tblVerifyChanges[[#This Row],[Parts made]]*tblVerifyChanges[[#This Row],[Life cost]]/tblVerifyChanges[[#This Row],[Standard life (parts)]]))</f>
        <v>3.15</v>
      </c>
      <c r="K59" s="40">
        <f>IF(tblVerifyChanges[[#This Row],[Date]]="","",IF(OR(tblVerifyChanges[[#This Row],[Standard life (parts)]]="",tblVerifyChanges[[#This Row],[Parts made]]=""),"",tblVerifyChanges[[#This Row],[Parts made]]/tblVerifyChanges[[#This Row],[Standard life (parts)]]))</f>
        <v>0.7</v>
      </c>
      <c r="L59" s="36">
        <f>IF(tblVerifyChanges[[#This Row],[Date]]="","",IF(OR(tblVerifyChanges[[#This Row],[Life cost]]="",N(tblVerifyChanges[[#This Row],[Parts made]])=0),"",tblVerifyChanges[[#This Row],[Life cost]]/tblVerifyChanges[[#This Row],[Parts made]]))</f>
        <v>0.107142857142857</v>
      </c>
      <c r="M59" s="68" t="s">
        <v>139</v>
      </c>
      <c r="N59" s="42" t="str">
        <f>IF(NOT(ISNUMBER(tblVerifyChanges[[#This Row],[Life achieved]])),"",IF(tblVerifyChanges[[#This Row],[Life achieved]]&gt;=$E$45,"On target",IF(tblVerifyChanges[[#This Row],[Life achieved]]&gt;=$E$45*(1-0.05),"Near target","Below target")))</f>
        <v>Below target</v>
      </c>
      <c r="O59" s="43">
        <f>IF(tblVerifyChanges[[#This Row],[Date]]="","",IF(AND(tblVerifyChanges[[#This Row],[Date]]&gt;=$E$42,tblVerifyChanges[[#This Row],[Date]]&lt;=$E$43,OR($E$44="",tblVerifyChanges[[#This Row],[Machine]]=$E$44)),tblVerifyChanges[[#This Row],[Date]],""))</f>
        <v>46027</v>
      </c>
      <c r="P59" s="44" t="str">
        <f>IF(tblVerifyChanges[[#This Row],[Date]]="","",IF(tblVerifyChanges[[#This Row],[Machine]]="","Missing machine",IF(tblVerifyChanges[[#This Row],[Tool ID]]="","Missing tool id",IF(tblVerifyChanges[[#This Row],[Parts made]]="","Missing parts made",IF(tblVerifyChanges[[#This Row],[Reason]]="","Missing reason",IF(tblVerifyChanges[[#This Row],[Standard life (parts)]]="","Tool not on Setup list",IF(tblVerifyChanges[[#This Row],[Category]]="","Reason not on Setup list",IF(tblVerifyChanges[[#This Row],[Parts made]]&gt;3*tblVerifyChanges[[#This Row],[Standard life (parts)]],"Parts above 3x standard: check count",IF(AND(tblVerifyChanges[[#This Row],[Category]]="Planned",tblVerifyChanges[[#This Row],[Parts made]]&lt;0.8*tblVerifyChanges[[#This Row],[Standard life (parts)]]),"Planned change below 80% of standard","OK")))))))))</f>
        <v>OK</v>
      </c>
      <c r="Q59" s="68"/>
    </row>
    <row r="60" spans="2:17">
      <c r="B60" s="78">
        <v>46028</v>
      </c>
      <c r="C60" s="68" t="s">
        <v>313</v>
      </c>
      <c r="D60" s="68" t="s">
        <v>306</v>
      </c>
      <c r="E60" s="68" t="s">
        <v>314</v>
      </c>
      <c r="F60" s="76">
        <v>224</v>
      </c>
      <c r="G60" s="68" t="s">
        <v>128</v>
      </c>
      <c r="H60" s="76">
        <v>260</v>
      </c>
      <c r="I60" s="77">
        <v>38.66666666666666</v>
      </c>
      <c r="J60" s="35">
        <f>IF(tblVerifyChanges[[#This Row],[Date]]="","",IF(OR(tblVerifyChanges[[#This Row],[Life cost]]="",tblVerifyChanges[[#This Row],[Standard life (parts)]]=""),"",tblVerifyChanges[[#This Row],[Parts made]]*tblVerifyChanges[[#This Row],[Life cost]]/tblVerifyChanges[[#This Row],[Standard life (parts)]]))</f>
        <v>33.3128205128205</v>
      </c>
      <c r="K60" s="40">
        <f>IF(tblVerifyChanges[[#This Row],[Date]]="","",IF(OR(tblVerifyChanges[[#This Row],[Standard life (parts)]]="",tblVerifyChanges[[#This Row],[Parts made]]=""),"",tblVerifyChanges[[#This Row],[Parts made]]/tblVerifyChanges[[#This Row],[Standard life (parts)]]))</f>
        <v>0.861538461538462</v>
      </c>
      <c r="L60" s="36">
        <f>IF(tblVerifyChanges[[#This Row],[Date]]="","",IF(OR(tblVerifyChanges[[#This Row],[Life cost]]="",N(tblVerifyChanges[[#This Row],[Parts made]])=0),"",tblVerifyChanges[[#This Row],[Life cost]]/tblVerifyChanges[[#This Row],[Parts made]]))</f>
        <v>0.172619047619048</v>
      </c>
      <c r="M60" s="68" t="s">
        <v>130</v>
      </c>
      <c r="N60" s="42" t="str">
        <f>IF(NOT(ISNUMBER(tblVerifyChanges[[#This Row],[Life achieved]])),"",IF(tblVerifyChanges[[#This Row],[Life achieved]]&gt;=$E$45,"On target",IF(tblVerifyChanges[[#This Row],[Life achieved]]&gt;=$E$45*(1-0.05),"Near target","Below target")))</f>
        <v>Near target</v>
      </c>
      <c r="O60" s="43">
        <f>IF(tblVerifyChanges[[#This Row],[Date]]="","",IF(AND(tblVerifyChanges[[#This Row],[Date]]&gt;=$E$42,tblVerifyChanges[[#This Row],[Date]]&lt;=$E$43,OR($E$44="",tblVerifyChanges[[#This Row],[Machine]]=$E$44)),tblVerifyChanges[[#This Row],[Date]],""))</f>
        <v>46028</v>
      </c>
      <c r="P60" s="44" t="str">
        <f>IF(tblVerifyChanges[[#This Row],[Date]]="","",IF(tblVerifyChanges[[#This Row],[Machine]]="","Missing machine",IF(tblVerifyChanges[[#This Row],[Tool ID]]="","Missing tool id",IF(tblVerifyChanges[[#This Row],[Parts made]]="","Missing parts made",IF(tblVerifyChanges[[#This Row],[Reason]]="","Missing reason",IF(tblVerifyChanges[[#This Row],[Standard life (parts)]]="","Tool not on Setup list",IF(tblVerifyChanges[[#This Row],[Category]]="","Reason not on Setup list",IF(tblVerifyChanges[[#This Row],[Parts made]]&gt;3*tblVerifyChanges[[#This Row],[Standard life (parts)]],"Parts above 3x standard: check count",IF(AND(tblVerifyChanges[[#This Row],[Category]]="Planned",tblVerifyChanges[[#This Row],[Parts made]]&lt;0.8*tblVerifyChanges[[#This Row],[Standard life (parts)]]),"Planned change below 80% of standard","OK")))))))))</f>
        <v>OK</v>
      </c>
      <c r="Q60" s="68"/>
    </row>
    <row r="61" spans="2:17">
      <c r="B61" s="78">
        <v>46028</v>
      </c>
      <c r="C61" s="68" t="s">
        <v>313</v>
      </c>
      <c r="D61" s="68" t="s">
        <v>308</v>
      </c>
      <c r="E61" s="68" t="s">
        <v>314</v>
      </c>
      <c r="F61" s="76">
        <v>0</v>
      </c>
      <c r="G61" s="68" t="s">
        <v>140</v>
      </c>
      <c r="H61" s="76">
        <v>900</v>
      </c>
      <c r="I61" s="77">
        <v>26.5</v>
      </c>
      <c r="J61" s="35">
        <f>IF(tblVerifyChanges[[#This Row],[Date]]="","",IF(OR(tblVerifyChanges[[#This Row],[Life cost]]="",tblVerifyChanges[[#This Row],[Standard life (parts)]]=""),"",tblVerifyChanges[[#This Row],[Parts made]]*tblVerifyChanges[[#This Row],[Life cost]]/tblVerifyChanges[[#This Row],[Standard life (parts)]]))</f>
        <v>0</v>
      </c>
      <c r="K61" s="40">
        <f>IF(tblVerifyChanges[[#This Row],[Date]]="","",IF(OR(tblVerifyChanges[[#This Row],[Standard life (parts)]]="",tblVerifyChanges[[#This Row],[Parts made]]=""),"",tblVerifyChanges[[#This Row],[Parts made]]/tblVerifyChanges[[#This Row],[Standard life (parts)]]))</f>
        <v>0</v>
      </c>
      <c r="L61" s="36">
        <f>IF(tblVerifyChanges[[#This Row],[Date]]="","",IF(OR(tblVerifyChanges[[#This Row],[Life cost]]="",N(tblVerifyChanges[[#This Row],[Parts made]])=0),"",tblVerifyChanges[[#This Row],[Life cost]]/tblVerifyChanges[[#This Row],[Parts made]]))</f>
        <v/>
      </c>
      <c r="M61" s="68" t="s">
        <v>139</v>
      </c>
      <c r="N61" s="42" t="str">
        <f>IF(NOT(ISNUMBER(tblVerifyChanges[[#This Row],[Life achieved]])),"",IF(tblVerifyChanges[[#This Row],[Life achieved]]&gt;=$E$45,"On target",IF(tblVerifyChanges[[#This Row],[Life achieved]]&gt;=$E$45*(1-0.05),"Near target","Below target")))</f>
        <v>Below target</v>
      </c>
      <c r="O61" s="43">
        <f>IF(tblVerifyChanges[[#This Row],[Date]]="","",IF(AND(tblVerifyChanges[[#This Row],[Date]]&gt;=$E$42,tblVerifyChanges[[#This Row],[Date]]&lt;=$E$43,OR($E$44="",tblVerifyChanges[[#This Row],[Machine]]=$E$44)),tblVerifyChanges[[#This Row],[Date]],""))</f>
        <v>46028</v>
      </c>
      <c r="P61" s="44" t="str">
        <f>IF(tblVerifyChanges[[#This Row],[Date]]="","",IF(tblVerifyChanges[[#This Row],[Machine]]="","Missing machine",IF(tblVerifyChanges[[#This Row],[Tool ID]]="","Missing tool id",IF(tblVerifyChanges[[#This Row],[Parts made]]="","Missing parts made",IF(tblVerifyChanges[[#This Row],[Reason]]="","Missing reason",IF(tblVerifyChanges[[#This Row],[Standard life (parts)]]="","Tool not on Setup list",IF(tblVerifyChanges[[#This Row],[Category]]="","Reason not on Setup list",IF(tblVerifyChanges[[#This Row],[Parts made]]&gt;3*tblVerifyChanges[[#This Row],[Standard life (parts)]],"Parts above 3x standard: check count",IF(AND(tblVerifyChanges[[#This Row],[Category]]="Planned",tblVerifyChanges[[#This Row],[Parts made]]&lt;0.8*tblVerifyChanges[[#This Row],[Standard life (parts)]]),"Planned change below 80% of standard","OK")))))))))</f>
        <v>OK</v>
      </c>
      <c r="Q61" s="68"/>
    </row>
    <row r="62" spans="2:17">
      <c r="B62" s="78">
        <v>46029</v>
      </c>
      <c r="C62" s="68" t="s">
        <v>313</v>
      </c>
      <c r="D62" s="68" t="s">
        <v>308</v>
      </c>
      <c r="E62" s="68" t="s">
        <v>314</v>
      </c>
      <c r="F62" s="76">
        <v>2800</v>
      </c>
      <c r="G62" s="68" t="s">
        <v>125</v>
      </c>
      <c r="H62" s="76">
        <v>900</v>
      </c>
      <c r="I62" s="77">
        <v>26.5</v>
      </c>
      <c r="J62" s="35">
        <f>IF(tblVerifyChanges[[#This Row],[Date]]="","",IF(OR(tblVerifyChanges[[#This Row],[Life cost]]="",tblVerifyChanges[[#This Row],[Standard life (parts)]]=""),"",tblVerifyChanges[[#This Row],[Parts made]]*tblVerifyChanges[[#This Row],[Life cost]]/tblVerifyChanges[[#This Row],[Standard life (parts)]]))</f>
        <v>82.4444444444444</v>
      </c>
      <c r="K62" s="40">
        <f>IF(tblVerifyChanges[[#This Row],[Date]]="","",IF(OR(tblVerifyChanges[[#This Row],[Standard life (parts)]]="",tblVerifyChanges[[#This Row],[Parts made]]=""),"",tblVerifyChanges[[#This Row],[Parts made]]/tblVerifyChanges[[#This Row],[Standard life (parts)]]))</f>
        <v>3.11111111111111</v>
      </c>
      <c r="L62" s="36">
        <f>IF(tblVerifyChanges[[#This Row],[Date]]="","",IF(OR(tblVerifyChanges[[#This Row],[Life cost]]="",N(tblVerifyChanges[[#This Row],[Parts made]])=0),"",tblVerifyChanges[[#This Row],[Life cost]]/tblVerifyChanges[[#This Row],[Parts made]]))</f>
        <v>0.00946428571428572</v>
      </c>
      <c r="M62" s="68" t="s">
        <v>127</v>
      </c>
      <c r="N62" s="42" t="str">
        <f>IF(NOT(ISNUMBER(tblVerifyChanges[[#This Row],[Life achieved]])),"",IF(tblVerifyChanges[[#This Row],[Life achieved]]&gt;=$E$45,"On target",IF(tblVerifyChanges[[#This Row],[Life achieved]]&gt;=$E$45*(1-0.05),"Near target","Below target")))</f>
        <v>On target</v>
      </c>
      <c r="O62" s="43">
        <f>IF(tblVerifyChanges[[#This Row],[Date]]="","",IF(AND(tblVerifyChanges[[#This Row],[Date]]&gt;=$E$42,tblVerifyChanges[[#This Row],[Date]]&lt;=$E$43,OR($E$44="",tblVerifyChanges[[#This Row],[Machine]]=$E$44)),tblVerifyChanges[[#This Row],[Date]],""))</f>
        <v>46029</v>
      </c>
      <c r="P62" s="44" t="str">
        <f>IF(tblVerifyChanges[[#This Row],[Date]]="","",IF(tblVerifyChanges[[#This Row],[Machine]]="","Missing machine",IF(tblVerifyChanges[[#This Row],[Tool ID]]="","Missing tool id",IF(tblVerifyChanges[[#This Row],[Parts made]]="","Missing parts made",IF(tblVerifyChanges[[#This Row],[Reason]]="","Missing reason",IF(tblVerifyChanges[[#This Row],[Standard life (parts)]]="","Tool not on Setup list",IF(tblVerifyChanges[[#This Row],[Category]]="","Reason not on Setup list",IF(tblVerifyChanges[[#This Row],[Parts made]]&gt;3*tblVerifyChanges[[#This Row],[Standard life (parts)]],"Parts above 3x standard: check count",IF(AND(tblVerifyChanges[[#This Row],[Category]]="Planned",tblVerifyChanges[[#This Row],[Parts made]]&lt;0.8*tblVerifyChanges[[#This Row],[Standard life (parts)]]),"Planned change below 80% of standard","OK")))))))))</f>
        <v>Parts above 3x standard: check count</v>
      </c>
      <c r="Q62" s="68"/>
    </row>
  </sheetData>
  <sheetProtection sheet="1" formatColumns="0" formatRows="0"/>
  <mergeCells count="45">
    <mergeCell ref="A1:Q1"/>
    <mergeCell ref="B2:P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B38:L38"/>
    <mergeCell ref="B40:L40"/>
    <mergeCell ref="B41:F41"/>
    <mergeCell ref="B42:D42"/>
    <mergeCell ref="B43:D43"/>
    <mergeCell ref="B44:D44"/>
    <mergeCell ref="E44:F44"/>
    <mergeCell ref="B45:D45"/>
    <mergeCell ref="B46:D46"/>
    <mergeCell ref="B48:L48"/>
    <mergeCell ref="B55:L5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P58:P62">
    <cfRule type="expression" dxfId="3" priority="41">
      <formula>$P58="OK"</formula>
    </cfRule>
    <cfRule type="expression" dxfId="1" priority="42">
      <formula>AND($P58&lt;&gt;"",$P58&lt;&gt;"OK")</formula>
    </cfRule>
  </conditionalFormatting>
  <hyperlinks>
    <hyperlink ref="Q2" r:id="rId1" tooltip="Free manufacturing calculators and templates"/>
  </hyperlinks>
  <printOptions horizontalCentered="1"/>
  <pageMargins left="0.4" right="0.4" top="0.7" bottom="0.65" header="0.3" footer="0.3"/>
  <pageSetup fitToHeight="0" orientation="landscape"/>
  <headerFooter>
    <oddHeader>&amp;L&amp;8MFG Calcs - Cutting Tool Life Tracker&amp;R&amp;8&amp;A</oddHeader>
    <oddFooter>&amp;L&amp;8mfgcalcs.com - free manufacturing templates&amp;R&amp;8Page &amp;P of &amp;N</oddFooter>
  </headerFooter>
  <rowBreaks count="1" manualBreakCount="1">
    <brk id="40"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Start Here</vt:lpstr>
      <vt:lpstr>Setup</vt:lpstr>
      <vt:lpstr>Tool Change Log</vt:lpstr>
      <vt:lpstr>Dashboard</vt:lpstr>
      <vt:lpstr>Method</vt:lpstr>
      <vt:lpstr>Verify</vt:lpstr>
      <vt:lpstr>Currency</vt:lpstr>
      <vt:lpstr>DashFrom</vt:lpstr>
      <vt:lpstr>DashMachine</vt:lpstr>
      <vt:lpstr>DashTo</vt:lpstr>
      <vt:lpstr>KpiChanges</vt:lpstr>
      <vt:lpstr>KpiExcess</vt:lpstr>
      <vt:lpstr>KpiLife</vt:lpstr>
      <vt:lpstr>KpiLowTool</vt:lpstr>
      <vt:lpstr>KpiPlanned</vt:lpstr>
      <vt:lpstr>KpiPrem</vt:lpstr>
      <vt:lpstr>KpiSpend</vt:lpstr>
      <vt:lpstr>KpiTopReason</vt:lpstr>
      <vt:lpstr>PrematureLimit</vt:lpstr>
      <vt:lpstr>Dashboard!Print_Area</vt:lpstr>
      <vt:lpstr>Method!Print_Area</vt:lpstr>
      <vt:lpstr>Setup!Print_Area</vt:lpstr>
      <vt:lpstr>'Start Here'!Print_Area</vt:lpstr>
      <vt:lpstr>'Tool Change Log'!Print_Area</vt:lpstr>
      <vt:lpstr>Verify!Print_Area</vt:lpstr>
      <vt:lpstr>Method!Print_Titles</vt:lpstr>
      <vt:lpstr>'Tool Change Log'!Print_Titles</vt:lpstr>
      <vt:lpstr>SelfCheck</vt:lpstr>
      <vt:lpstr>SelfCheckSummary</vt:lpstr>
      <vt:lpstr>ShopName</vt:lpstr>
      <vt:lpstr>TargetLife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Cutting Tool Life Tracker - free Excel template from MFG Calcs</dc:title>
  <dc:subject>Log every edge and tool change with the parts it made and why it came off, and see life achieved, early failures and tool cost per part by tool and machine.</dc:subject>
  <dc:creator>MFG Calcs</dc:creator>
  <cp:keywords>tool life, cutting tools, insert cost per part, tool change log, tool wear, CNC, machine shop, tool crib</cp:keywords>
  <dc:description>https://www.mfgcalcs.com/templates/tool-life-tracker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tool-life-tracker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https://www.mfgcalcs.com/templates/tool-life-tracker</vt:lpwstr>
  </property>
  <property fmtid="{D5CDD505-2E9C-101B-9397-08002B2CF9AE}" pid="7" name="Template sheet roles">
    <vt:lpwstr>Start Here=start;Setup=setup;Tool Change Log=work;Dashboard=dashboard;Method=method;Verify=verify</vt:lpwstr>
  </property>
</Properties>
</file>