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CILT Standard" sheetId="3" r:id="rId3"/>
    <sheet name="Weekly Checks" sheetId="4" r:id="rId4"/>
    <sheet name="Abnormality Tags" sheetId="5" r:id="rId5"/>
    <sheet name="Dashboard" sheetId="6" r:id="rId6"/>
    <sheet name="Method" sheetId="7" r:id="rId7"/>
    <sheet name="Verify" sheetId="8" r:id="rId8"/>
  </sheets>
  <definedNames>
    <definedName name="AbnTypes">tblAbnTypes[Abnormality type]</definedName>
    <definedName name="AsOf">Setup!$C$7</definedName>
    <definedName name="DashFrom">Dashboard!$G$4</definedName>
    <definedName name="DashMachine">Dashboard!$C$4</definedName>
    <definedName name="DashTo">Dashboard!$K$4</definedName>
    <definedName name="FFrom">IF(DashFrom="",0,DashFrom)</definedName>
    <definedName name="Frequencies">tblFrequencies[Frequency]</definedName>
    <definedName name="FTo">IF(DashTo="",2958465,DashTo)</definedName>
    <definedName name="KpiAmMin">Dashboard!$G$30</definedName>
    <definedName name="KpiCompliance">Dashboard!$B$8</definedName>
    <definedName name="KpiFound">Dashboard!$B$30</definedName>
    <definedName name="KpiMissed">Dashboard!$D$8</definedName>
    <definedName name="KpiOnTime">Dashboard!$D$30</definedName>
    <definedName name="KpiOpenTags">Dashboard!$G$8</definedName>
    <definedName name="KpiOverdue">Dashboard!$J$8</definedName>
    <definedName name="KpiTopType">Dashboard!$J$30</definedName>
    <definedName name="Machines">tblMachines[Machine]</definedName>
    <definedName name="PlantName">Setup!$C$6</definedName>
    <definedName name="_xlnm.Print_Area" localSheetId="4">'Abnormality Tags'!$A$1:$Q$57</definedName>
    <definedName name="_xlnm.Print_Area" localSheetId="2">'CILT Standard'!$A$1:$M$44</definedName>
    <definedName name="_xlnm.Print_Area" localSheetId="5">Dashboard!$A$1:$L$68</definedName>
    <definedName name="_xlnm.Print_Area" localSheetId="6">Method!$A$1:$D$62</definedName>
    <definedName name="_xlnm.Print_Area" localSheetId="1">Setup!$A$1:$E$46</definedName>
    <definedName name="_xlnm.Print_Area" localSheetId="0">'Start Here'!$A$1:$F$58</definedName>
    <definedName name="_xlnm.Print_Area" localSheetId="7">Verify!$A$1:$Q$77</definedName>
    <definedName name="_xlnm.Print_Area" localSheetId="3">'Weekly Checks'!$A$1:$N$53</definedName>
    <definedName name="_xlnm.Print_Titles" localSheetId="4">'Abnormality Tags'!$1:$5</definedName>
    <definedName name="_xlnm.Print_Titles" localSheetId="2">'CILT Standard'!$1:$5</definedName>
    <definedName name="_xlnm.Print_Titles" localSheetId="6">Method!$1:$2</definedName>
    <definedName name="_xlnm.Print_Titles" localSheetId="3">'Weekly Checks'!$1:$5</definedName>
    <definedName name="SelfCheck">Verify!$D$4</definedName>
    <definedName name="SelfCheckSummary">Verify!$F$4</definedName>
    <definedName name="TagDueSoon">Setup!$C$9</definedName>
    <definedName name="TagTypes">tblTagTypes[Tag type]</definedName>
    <definedName name="TargetCompliance">Setup!$C$8</definedName>
  </definedNames>
  <calcPr calcId="124519" fullCalcOnLoad="1"/>
</workbook>
</file>

<file path=xl/sharedStrings.xml><?xml version="1.0" encoding="utf-8"?>
<sst xmlns="http://schemas.openxmlformats.org/spreadsheetml/2006/main" count="1390" uniqueCount="514">
  <si>
    <t>TPM Autonomous Maintenance Checklist</t>
  </si>
  <si>
    <t>Read this first: what the workbook does and how to use it.</t>
  </si>
  <si>
    <t>mfgcalcs.com</t>
  </si>
  <si>
    <t>Write each machine's clean, inspect, lubricate and tighten standard, track weekly check compliance, and follow every abnormality tag until it is fixed.</t>
  </si>
  <si>
    <t>For: Operators, team leaders, TPM coordinators and maintenance planners running autonomous maintenance (Jishu Hozen) on the shop floor.</t>
  </si>
  <si>
    <t>Version 1.0.0  ·  updated 15 October 2026</t>
  </si>
  <si>
    <t>Quick start</t>
  </si>
  <si>
    <t>1.</t>
  </si>
  <si>
    <t>On Setup, set the status date and your compliance target, then replace the example machines, frequencies, abnormality types and tag types.</t>
  </si>
  <si>
    <t>2.</t>
  </si>
  <si>
    <t>On CILT Standard, write one row per clean, inspect, lubricate or tighten point: where, what good looks like, how, how often and how long.</t>
  </si>
  <si>
    <t>3.</t>
  </si>
  <si>
    <t>Each week, on Weekly Checks, add one row per machine with the checks due and the checks done from the week's check sheets.</t>
  </si>
  <si>
    <t>4.</t>
  </si>
  <si>
    <t>On Abnormality Tags, log every tag when it is hung and close it when the problem is fixed; read each Check column.</t>
  </si>
  <si>
    <t>5.</t>
  </si>
  <si>
    <t>Move the status date forward, then open the Dashboard and filter by machine or dates.</t>
  </si>
  <si>
    <t>What is in this workbook</t>
  </si>
  <si>
    <t>Start Here</t>
  </si>
  <si>
    <t>Setup</t>
  </si>
  <si>
    <t>Status date, your compliance target, and the machine, frequency, abnormality type and tag type lists.</t>
  </si>
  <si>
    <t>CILT Standard</t>
  </si>
  <si>
    <t>The checklist: every clean, inspect, lubricate and tighten point per machine, how it is done and how often.</t>
  </si>
  <si>
    <t>Weekly Checks</t>
  </si>
  <si>
    <t>One row per machine per week: checks due and done from the week's check sheets. Compliance and missed checks are calculated.</t>
  </si>
  <si>
    <t>Abnormality Tags</t>
  </si>
  <si>
    <t>One row per abnormality tag from the day it is found to the day it is closed, with its due date and status.</t>
  </si>
  <si>
    <t>Dashboard</t>
  </si>
  <si>
    <t>Check compliance against your target, missed checks, and the abnormality tags found, open and overdue.</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</si>
  <si>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</si>
  <si>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</si>
  <si>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</si>
  <si>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</si>
  <si>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</si>
  <si>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</si>
  <si>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</si>
  <si>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</si>
  <si>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</si>
  <si>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</si>
  <si>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</si>
  <si>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</si>
  <si>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</si>
  <si>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</si>
  <si>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</si>
  <si>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</si>
  <si>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</si>
  <si>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</si>
  <si>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</si>
  <si>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</si>
  <si>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PM Compliance Rate Calculator on mfgcalcs.com</t>
  </si>
  <si>
    <t>Latest version</t>
  </si>
  <si>
    <t>mfgcalcs.com/templates/tpm-checklist</t>
  </si>
  <si>
    <t>More free templates</t>
  </si>
  <si>
    <t>mfgcalcs.com/templates</t>
  </si>
  <si>
    <t>Version</t>
  </si>
  <si>
    <t>1.0.0 (updated 15 October 2026)</t>
  </si>
  <si>
    <t>About the example data</t>
  </si>
  <si>
    <t>Every number already in this workbook is example data for Tarn Valley Packaging, a fictional business invented for this template, so the dashboard and charts show something meaningful on day one. It covers six machines on two shifts over eight weeks (17 August to 9 October 2026, status date 9 October),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</si>
  <si>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</si>
  <si>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</si>
  <si>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</si>
  <si>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</si>
  <si>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</si>
  <si>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</si>
  <si>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</si>
  <si>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</si>
  <si>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Machine</t>
  </si>
  <si>
    <t>Area</t>
  </si>
  <si>
    <t>Description</t>
  </si>
  <si>
    <t>Frequency</t>
  </si>
  <si>
    <t>Checks per week</t>
  </si>
  <si>
    <t>Meaning</t>
  </si>
  <si>
    <t>Abnormality type</t>
  </si>
  <si>
    <t>Usual tag</t>
  </si>
  <si>
    <t>Examples</t>
  </si>
  <si>
    <t>Tag type</t>
  </si>
  <si>
    <t>Target (days)</t>
  </si>
  <si>
    <t>Plant and targets</t>
  </si>
  <si>
    <t>Plant or line name</t>
  </si>
  <si>
    <t>Tarn Valley Packaging (example)</t>
  </si>
  <si>
    <t>Status date (as of)</t>
  </si>
  <si>
    <t>Check compliance target</t>
  </si>
  <si>
    <t>Tag due soon window</t>
  </si>
  <si>
    <t>days</t>
  </si>
  <si>
    <t>Targets are yours to set; nothing here assumes an industry benchmark. 'Near target' means within 5% of the target (90.25% to 95% against a 95% target).</t>
  </si>
  <si>
    <t>Lists that feed the dropdowns</t>
  </si>
  <si>
    <t>Edit, add or remove rows; the dropdowns on the other sheets read these lists. Checks per week turns a frequency into the checks and minutes it adds to the standard (set it for your shift pattern). Each tag type sets the days allowed to close a tag. Keep names unique: a renamed item stops matching old rows, and their Check column says so.</t>
  </si>
  <si>
    <t>Machines</t>
  </si>
  <si>
    <t>EX-1</t>
  </si>
  <si>
    <t>Extrusion</t>
  </si>
  <si>
    <t>Blown film extruder</t>
  </si>
  <si>
    <t>PR-1</t>
  </si>
  <si>
    <t>Printing</t>
  </si>
  <si>
    <t>Eight-colour flexo printer</t>
  </si>
  <si>
    <t>LM-1</t>
  </si>
  <si>
    <t>Converting</t>
  </si>
  <si>
    <t>Solventless laminator</t>
  </si>
  <si>
    <t>SL-1</t>
  </si>
  <si>
    <t>Slitter rewinder 1</t>
  </si>
  <si>
    <t>SL-2</t>
  </si>
  <si>
    <t>Slitter rewinder 2</t>
  </si>
  <si>
    <t>BM-1</t>
  </si>
  <si>
    <t>Bagging</t>
  </si>
  <si>
    <t>Side-seal bag maker</t>
  </si>
  <si>
    <t>Check frequencies</t>
  </si>
  <si>
    <t>Each shift</t>
  </si>
  <si>
    <t>Two shifts a day, five days a week</t>
  </si>
  <si>
    <t>Daily</t>
  </si>
  <si>
    <t>Once per production day</t>
  </si>
  <si>
    <t>Weekly</t>
  </si>
  <si>
    <t>Once per week</t>
  </si>
  <si>
    <t>Monthly</t>
  </si>
  <si>
    <t>About once every four weeks</t>
  </si>
  <si>
    <t>Abnormality types (what operators look for)</t>
  </si>
  <si>
    <t>Contamination source</t>
  </si>
  <si>
    <t>Operator tag</t>
  </si>
  <si>
    <t>Where dust, film trim, ink, oil or water comes from</t>
  </si>
  <si>
    <t>Minor flaw</t>
  </si>
  <si>
    <t>Dirt, wear, play, looseness, leaks, unusual noise, heat or vibration</t>
  </si>
  <si>
    <t>Basic condition missing</t>
  </si>
  <si>
    <t>Cleaning, lubrication or tightening not kept to standard</t>
  </si>
  <si>
    <t>Hard-to-reach place</t>
  </si>
  <si>
    <t>Maintenance tag</t>
  </si>
  <si>
    <t>A point that is difficult to clean, inspect, lubricate or adjust</t>
  </si>
  <si>
    <t>Quality defect source</t>
  </si>
  <si>
    <t>A machine condition that can make a defective product</t>
  </si>
  <si>
    <t>Unneeded item</t>
  </si>
  <si>
    <t>Tool, part or material that does not belong at the machine</t>
  </si>
  <si>
    <t>Unsafe place</t>
  </si>
  <si>
    <t>Safety tag</t>
  </si>
  <si>
    <t>Exposed moving part, trip hazard, missing guard or label</t>
  </si>
  <si>
    <t>Tag types and days to close</t>
  </si>
  <si>
    <t>The team can fix it with its own skills and tools</t>
  </si>
  <si>
    <t>Needs a technician, parts or a stop</t>
  </si>
  <si>
    <t>Make safe at once; fix within two days</t>
  </si>
  <si>
    <t>Item no.</t>
  </si>
  <si>
    <t>Task</t>
  </si>
  <si>
    <t>Point</t>
  </si>
  <si>
    <t>Standard (what good looks like)</t>
  </si>
  <si>
    <t>Method and tool</t>
  </si>
  <si>
    <t>Time (min)</t>
  </si>
  <si>
    <t>Done by</t>
  </si>
  <si>
    <t>Minutes per week</t>
  </si>
  <si>
    <t>Check</t>
  </si>
  <si>
    <t>Example standard for Tarn Valley Packaging (fictional). Write your own with the operators at the machine; to clear: select the example rows, right-click, Delete &gt; Table Rows. Print it per machine with a filter on Machine.</t>
  </si>
  <si>
    <t>Clean</t>
  </si>
  <si>
    <t>Die lip and air ring</t>
  </si>
  <si>
    <t>No carbon or gel build-up; no streaks in the film</t>
  </si>
  <si>
    <t>Brass scraper and lint-free cloth</t>
  </si>
  <si>
    <t>Operator</t>
  </si>
  <si>
    <t>Inspect</t>
  </si>
  <si>
    <t>Melt pressure gauge at the screen changer</t>
  </si>
  <si>
    <t>Needle inside the green band marked on the gauge</t>
  </si>
  <si>
    <t>Look</t>
  </si>
  <si>
    <t>Gearbox oil sight glass</t>
  </si>
  <si>
    <t>Level between the marks, no foam, no oil below</t>
  </si>
  <si>
    <t>Lubricate</t>
  </si>
  <si>
    <t>Haul-off nip roller bearings</t>
  </si>
  <si>
    <t>Fresh grease shows at the seal</t>
  </si>
  <si>
    <t>Grease gun, two strokes per nipple</t>
  </si>
  <si>
    <t>Tighten</t>
  </si>
  <si>
    <t>Bubble cage roller brackets</t>
  </si>
  <si>
    <t>Match marks lined up, no play</t>
  </si>
  <si>
    <t>Look and 17 mm spanner</t>
  </si>
  <si>
    <t>Hopper loader filter</t>
  </si>
  <si>
    <t>Filter clean; loader cycles normally</t>
  </si>
  <si>
    <t>Vacuum and soft brush</t>
  </si>
  <si>
    <t>Cooling water flow indicators</t>
  </si>
  <si>
    <t>Every indicator turning, flow in the green band</t>
  </si>
  <si>
    <t>Anilox rolls</t>
  </si>
  <si>
    <t>Cells open, no dried ink</t>
  </si>
  <si>
    <t>Anilox cleaner and soft brush</t>
  </si>
  <si>
    <t>Doctor blade edges</t>
  </si>
  <si>
    <t>Straight edge, no nicks, even wear</t>
  </si>
  <si>
    <t>Look; touch with a gloved finger</t>
  </si>
  <si>
    <t>Ink pans and pumps</t>
  </si>
  <si>
    <t>No skin or dried ink</t>
  </si>
  <si>
    <t>Approved solvent and scraper</t>
  </si>
  <si>
    <t>Print deck gear train</t>
  </si>
  <si>
    <t>Thin film of oil on every tooth</t>
  </si>
  <si>
    <t>Oil can, gear oil</t>
  </si>
  <si>
    <t>Dryer exhaust filters</t>
  </si>
  <si>
    <t>Gauge below the red mark</t>
  </si>
  <si>
    <t>Sleeve mandrel locks</t>
  </si>
  <si>
    <t>Locks fully home, no slip marks</t>
  </si>
  <si>
    <t>Web tension display</t>
  </si>
  <si>
    <t>Reading steady and within the job card band</t>
  </si>
  <si>
    <t>Look at the HMI</t>
  </si>
  <si>
    <t>Adhesive applicator rolls</t>
  </si>
  <si>
    <t>No cured adhesive on the roll ends</t>
  </si>
  <si>
    <t>Approved cleaner and lint-free cloth</t>
  </si>
  <si>
    <t>Nip roll pressure</t>
  </si>
  <si>
    <t>Gauge matches the job card</t>
  </si>
  <si>
    <t>Unwind shaft bearings</t>
  </si>
  <si>
    <t>Grease gun, two strokes</t>
  </si>
  <si>
    <t>Adhesive mix ratio</t>
  </si>
  <si>
    <t>Ratio display within the job card band</t>
  </si>
  <si>
    <t>Oven guide rollers</t>
  </si>
  <si>
    <t>No adhesive spots or film dust</t>
  </si>
  <si>
    <t>Approved cleaner and cloth</t>
  </si>
  <si>
    <t>Idler roller end caps</t>
  </si>
  <si>
    <t>No movement when pushed by hand</t>
  </si>
  <si>
    <t>Hand check</t>
  </si>
  <si>
    <t>Slitting knives and anvils</t>
  </si>
  <si>
    <t>No trim dust or adhesive on the blades</t>
  </si>
  <si>
    <t>Soft brush, cut-resistant gloves</t>
  </si>
  <si>
    <t>Knife edges</t>
  </si>
  <si>
    <t>No chips or burrs; clean cut edge on the film</t>
  </si>
  <si>
    <t>Look at the cut edge with a loupe</t>
  </si>
  <si>
    <t>Trim extraction duct</t>
  </si>
  <si>
    <t>Duct clear; trim pulled away cleanly</t>
  </si>
  <si>
    <t>Vacuum</t>
  </si>
  <si>
    <t>Rewind shaft bearings</t>
  </si>
  <si>
    <t>Grease gun, one stroke per nipple</t>
  </si>
  <si>
    <t>Knife holder clamps</t>
  </si>
  <si>
    <t>Clamps tight; holders do not move by hand</t>
  </si>
  <si>
    <t>Air shaft pressure</t>
  </si>
  <si>
    <t>Gauge in the green band; shaft grips the core</t>
  </si>
  <si>
    <t>Sealing bars</t>
  </si>
  <si>
    <t>No burnt film on the bars or the PTFE tape</t>
  </si>
  <si>
    <t>Brass brush, heaters off and cool</t>
  </si>
  <si>
    <t>PTFE tape on the seal bars</t>
  </si>
  <si>
    <t>No tears or wrinkles</t>
  </si>
  <si>
    <t>Seal bar temperature</t>
  </si>
  <si>
    <t>Reading within the job card band</t>
  </si>
  <si>
    <t>Cross-seal cam followers</t>
  </si>
  <si>
    <t>Thin oil film, no dry spots</t>
  </si>
  <si>
    <t>Oil can</t>
  </si>
  <si>
    <t>Punch die bolts</t>
  </si>
  <si>
    <t>Match marks lined up</t>
  </si>
  <si>
    <t>Look and 13 mm spanner</t>
  </si>
  <si>
    <t>Static eliminator bars</t>
  </si>
  <si>
    <t>No dust on the emitter points</t>
  </si>
  <si>
    <t>Soft brush</t>
  </si>
  <si>
    <t>Light guard</t>
  </si>
  <si>
    <t>Machine stops when the beam is broken</t>
  </si>
  <si>
    <t>Function test</t>
  </si>
  <si>
    <t>Week starting</t>
  </si>
  <si>
    <t>Checks due</t>
  </si>
  <si>
    <t>Checks done</t>
  </si>
  <si>
    <t>Standard (checks/week)</t>
  </si>
  <si>
    <t>Missed</t>
  </si>
  <si>
    <t>Compliance</t>
  </si>
  <si>
    <t>Status</t>
  </si>
  <si>
    <t>Tags raised</t>
  </si>
  <si>
    <t>View date</t>
  </si>
  <si>
    <t>Notes</t>
  </si>
  <si>
    <t>Example data for Tarn Valley Packaging (fictional). Replace it with your own: select the example rows, right-click, Delete &gt; Table Rows. Yellow = you type; blue = calculated; Check names any problem.</t>
  </si>
  <si>
    <t/>
  </si>
  <si>
    <t>Back shift short-staffed</t>
  </si>
  <si>
    <t>Four production days</t>
  </si>
  <si>
    <t>Tag no.</t>
  </si>
  <si>
    <t>Date found</t>
  </si>
  <si>
    <t>Found during</t>
  </si>
  <si>
    <t>Date closed</t>
  </si>
  <si>
    <t>Due date</t>
  </si>
  <si>
    <t>Days open</t>
  </si>
  <si>
    <t>Due status</t>
  </si>
  <si>
    <t>Closed on time</t>
  </si>
  <si>
    <t>Example data for Tarn Valley Packaging (fictional). Replace it with your own: select the example rows, right-click, Delete &gt; Table Rows. Days open and overdue flags are measured to the status date on Setup.</t>
  </si>
  <si>
    <t>AM-0001</t>
  </si>
  <si>
    <t>Audit</t>
  </si>
  <si>
    <t>Chipped knife leaves a ragged edge</t>
  </si>
  <si>
    <t>Closed</t>
  </si>
  <si>
    <t>AM-0002</t>
  </si>
  <si>
    <t>CILT check</t>
  </si>
  <si>
    <t>Adhesive spatter on the inside of the guard</t>
  </si>
  <si>
    <t>AM-0003</t>
  </si>
  <si>
    <t>Oil mist from the gearbox breather</t>
  </si>
  <si>
    <t>AM-0004</t>
  </si>
  <si>
    <t>Drive belt glazed</t>
  </si>
  <si>
    <t>AM-0005</t>
  </si>
  <si>
    <t>Production</t>
  </si>
  <si>
    <t>Oil level below the minimum mark</t>
  </si>
  <si>
    <t>AM-0006</t>
  </si>
  <si>
    <t>Ink drips from the pan onto the floor</t>
  </si>
  <si>
    <t>AM-0007</t>
  </si>
  <si>
    <t>AM-0008</t>
  </si>
  <si>
    <t>Grease nipple blocked</t>
  </si>
  <si>
    <t>AM-0009</t>
  </si>
  <si>
    <t>Lubrication point has no label</t>
  </si>
  <si>
    <t>AM-0010</t>
  </si>
  <si>
    <t>Bolt without a match mark</t>
  </si>
  <si>
    <t>AM-0011</t>
  </si>
  <si>
    <t>Open</t>
  </si>
  <si>
    <t>AM-0012</t>
  </si>
  <si>
    <t>Cracked gauge glass</t>
  </si>
  <si>
    <t>AM-0013</t>
  </si>
  <si>
    <t>AM-0014</t>
  </si>
  <si>
    <t>Old knife blades stored in the machine frame</t>
  </si>
  <si>
    <t>AM-0015</t>
  </si>
  <si>
    <t>AM-0016</t>
  </si>
  <si>
    <t>Film trim dust collects under the knives</t>
  </si>
  <si>
    <t>AM-0017</t>
  </si>
  <si>
    <t>AM-0018</t>
  </si>
  <si>
    <t>AM-0019</t>
  </si>
  <si>
    <t>AM-0020</t>
  </si>
  <si>
    <t>AM-0021</t>
  </si>
  <si>
    <t>AM-0022</t>
  </si>
  <si>
    <t>AM-0023</t>
  </si>
  <si>
    <t>AM-0024</t>
  </si>
  <si>
    <t>Air leak at the shaft valve</t>
  </si>
  <si>
    <t>AM-0025</t>
  </si>
  <si>
    <t>AM-0026</t>
  </si>
  <si>
    <t>Filter behind a panel that needs tools</t>
  </si>
  <si>
    <t>AM-0027</t>
  </si>
  <si>
    <t>AM-0028</t>
  </si>
  <si>
    <t>AM-0029</t>
  </si>
  <si>
    <t>Changeover</t>
  </si>
  <si>
    <t>AM-0030</t>
  </si>
  <si>
    <t>Slip-additive powder around the hopper</t>
  </si>
  <si>
    <t>AM-0031</t>
  </si>
  <si>
    <t>Loose cable tie on a sensor lead</t>
  </si>
  <si>
    <t>AM-0032</t>
  </si>
  <si>
    <t>Hose across the walkway: trip hazard</t>
  </si>
  <si>
    <t>AM-0033</t>
  </si>
  <si>
    <t>AM-0034</t>
  </si>
  <si>
    <t>AM-0035</t>
  </si>
  <si>
    <t>AM-0036</t>
  </si>
  <si>
    <t>AM-0037</t>
  </si>
  <si>
    <t>AM-0038</t>
  </si>
  <si>
    <t>AM-0039</t>
  </si>
  <si>
    <t>Wrinkle in the seal bar tape gives weak seals</t>
  </si>
  <si>
    <t>AM-0040</t>
  </si>
  <si>
    <t>AM-0041</t>
  </si>
  <si>
    <t>AM-0042</t>
  </si>
  <si>
    <t>AM-0043</t>
  </si>
  <si>
    <t>AM-0044</t>
  </si>
  <si>
    <t>AM-0045</t>
  </si>
  <si>
    <t>AM-0046</t>
  </si>
  <si>
    <t>Unused bracket left on the deck</t>
  </si>
  <si>
    <t>AM-0047</t>
  </si>
  <si>
    <t>AM-0048</t>
  </si>
  <si>
    <t>AM-0049</t>
  </si>
  <si>
    <t>AM-0050</t>
  </si>
  <si>
    <t>AM-0051</t>
  </si>
  <si>
    <t>AM-0052</t>
  </si>
  <si>
    <t>Scratch on the nip roll marks the film</t>
  </si>
  <si>
    <t>From</t>
  </si>
  <si>
    <t>To</t>
  </si>
  <si>
    <t>CHECK COMPLIANCE</t>
  </si>
  <si>
    <t>CHECKS MISSED</t>
  </si>
  <si>
    <t>OPEN TAGS</t>
  </si>
  <si>
    <t>OVERDUE TAGS</t>
  </si>
  <si>
    <t>Due but not done, in view</t>
  </si>
  <si>
    <t>Found in view, not yet closed</t>
  </si>
  <si>
    <t>Open past their tag type's target</t>
  </si>
  <si>
    <t>TAGS FOUND</t>
  </si>
  <si>
    <t>TAGS CLOSED ON TIME</t>
  </si>
  <si>
    <t>AM TIME PER WEEK (MIN)</t>
  </si>
  <si>
    <t>MOST FREQUENT ABNORMALITY</t>
  </si>
  <si>
    <t>Abnormalities tagged in view</t>
  </si>
  <si>
    <t>Closed tags that met their target days</t>
  </si>
  <si>
    <t>Operator minutes in the CILT standard</t>
  </si>
  <si>
    <t>Ranked by tags found, see the Pareto</t>
  </si>
  <si>
    <t>By machine</t>
  </si>
  <si>
    <t>Points in standard</t>
  </si>
  <si>
    <t>AM minutes per week</t>
  </si>
  <si>
    <t>Tags found</t>
  </si>
  <si>
    <t>Open tags</t>
  </si>
  <si>
    <t>Overdue tags</t>
  </si>
  <si>
    <t>Weekly summary (last 8 weeks in view)</t>
  </si>
  <si>
    <t>Week starting (Mon)</t>
  </si>
  <si>
    <t>Target</t>
  </si>
  <si>
    <t>Tags by type</t>
  </si>
  <si>
    <t>Tags by abnormality type (Pareto)</t>
  </si>
  <si>
    <t>Found</t>
  </si>
  <si>
    <t>Overdue</t>
  </si>
  <si>
    <t>Rank</t>
  </si>
  <si>
    <t>Tags</t>
  </si>
  <si>
    <t>Share</t>
  </si>
  <si>
    <t>Cumulative</t>
  </si>
  <si>
    <t>Helper: Abnormality type (list order)</t>
  </si>
  <si>
    <t>Helper: value (-1 = unused slot)</t>
  </si>
  <si>
    <t>Helper: rank, ties by list order</t>
  </si>
  <si>
    <t>tags</t>
  </si>
  <si>
    <t>%</t>
  </si>
  <si>
    <t>Total</t>
  </si>
  <si>
    <t>The Dashboard shows the 6 machines, 3 tag types and 7 abnormality types of the Setup lists. If you add more, extend those blocks (see Method) or they will not appear here.</t>
  </si>
  <si>
    <t>What this workbook calculates</t>
  </si>
  <si>
    <t>Autonomous maintenance gives operators the daily care of their machines: cleaning, inspecting, lubricating and tightening (CILT) to a written standard, and tagging every abnormality they find so it gets fixed. This workbook holds the standard, counts how many of the due checks were done each week, and follows each tag from the day it is hung to the day it is closed. Compliance is checks done over checks due, so a short week with fewer checks due is judged fairly; tag ages and overdue flags are measured to the status date you type, so the file never changes by itself.</t>
  </si>
  <si>
    <t>Calculations</t>
  </si>
  <si>
    <t>Quantity</t>
  </si>
  <si>
    <t>How it is calculated</t>
  </si>
  <si>
    <t>Units</t>
  </si>
  <si>
    <t>Looked up from the Frequencies list on Setup by the point's frequency (e.g. Each shift = 10 on two shifts, five days).</t>
  </si>
  <si>
    <t>checks/week</t>
  </si>
  <si>
    <t>Time per check x checks per week, per point of the standard.</t>
  </si>
  <si>
    <t>min/week</t>
  </si>
  <si>
    <t>Sum of checks per week over the machine's points on CILT Standard (reference for the weekly count).</t>
  </si>
  <si>
    <t>Checks due - checks done, per machine-week.</t>
  </si>
  <si>
    <t>checks</t>
  </si>
  <si>
    <t>Checks done / checks due. Over several rows: sum of done / sum of due, never an average of percentages (the PM Compliance Rate calculator).</t>
  </si>
  <si>
    <t>On target at or above the target; Near target within 5% below it; Below target otherwise.</t>
  </si>
  <si>
    <t>-</t>
  </si>
  <si>
    <t>Tags on the tag log for the same machine with a date found inside the week.</t>
  </si>
  <si>
    <t>Tag due date</t>
  </si>
  <si>
    <t>Date found + the tag type's target days (Setup).</t>
  </si>
  <si>
    <t>date</t>
  </si>
  <si>
    <t>Closed tag: date closed - date found. Open tag: status date - date found.</t>
  </si>
  <si>
    <t>Closed: Complete. Open: Overdue when the status date is after the due date, Due soon within the Setup window, otherwise OK.</t>
  </si>
  <si>
    <t>Closed tags only: Yes when the date closed is on or before the due date.</t>
  </si>
  <si>
    <t>Tags closed on time</t>
  </si>
  <si>
    <t>Tags in view closed on time / tags in view that are closed.</t>
  </si>
  <si>
    <t>AM time per week</t>
  </si>
  <si>
    <t>Sum of minutes per week of the standard, for the machine filter (all machines when blank).</t>
  </si>
  <si>
    <t>Pareto</t>
  </si>
  <si>
    <t>Tags found per abnormality type, ranked largest first by COUNTIF ranks (ties keep list order), with share and cumulative share. Hidden helper columns AO:AQ on the Dashboard hold the unsorted values and ranks.</t>
  </si>
  <si>
    <t>tags, %</t>
  </si>
  <si>
    <t>Assumptions</t>
  </si>
  <si>
    <t>A check counts as done when it was done on its shift or day; a late check is a missed check, as in the PM compliance cohort.</t>
  </si>
  <si>
    <t>Checks due are counted from the week's check sheets, so holidays and stopped machines reduce what is due.</t>
  </si>
  <si>
    <t>Every Dashboard figure uses the machine and date filters: checks by week starting, tags by date found.</t>
  </si>
  <si>
    <t>Minutes per week assume every point is done as often as its frequency says, in a normal week.</t>
  </si>
  <si>
    <t>Limitations</t>
  </si>
  <si>
    <t>Compliance says the boxes were initialled; it cannot say the check was done well. Audit the standard at the machine.</t>
  </si>
  <si>
    <t>Tag counts depend on how readily operators hang tags; more tags early in AM usually means better looking, not worse machines.</t>
  </si>
  <si>
    <t>The weekly summary shows the last 8 weeks inside the filters.</t>
  </si>
  <si>
    <t>The Dashboard has fixed blocks for 6 machines, 3 tag types and 7 abnormality types; longer Setup lists need the blocks extended, and the Dashboard warns when a list is longer.</t>
  </si>
  <si>
    <t>Agreement with the live calculator</t>
  </si>
  <si>
    <t>Check compliance is the live PM Compliance Rate calculator's on-time completion: checks done on their shift or day / checks due, x 100; missed checks are its tasks missing the original deadline and the margin is compliance minus your target. The workbook adds the written standard, the weekly log, the tag log and the Dashboard. The template's reference implementation is checked against the calculator's engine on every build for its own example (462 of 500 due: 92.4%) and for the Verify sheet's test weeks.</t>
  </si>
  <si>
    <t>Open the PM Compliance Rate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</si>
  <si>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</si>
  <si>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</si>
  <si>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Nakajima, S., Introduction to TPM: Total Productive Maintenance, Productivity Press, 1988 (autonomous maintenance and its steps), by name.</t>
  </si>
  <si>
    <t>Japan Institute of Plant Maintenance (JIPM): autonomous maintenance and abnormality tagging, by name; abnormality types are described here in our own words.</t>
  </si>
  <si>
    <t>EN 13306:2017, Maintenance - Maintenance terminology (inspection, preventive maintenance), by definition.</t>
  </si>
  <si>
    <t>MFG Calcs PM Compliance Rate calculator (pm-compliance-rate): completed on time / scheduled cohort.</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</si>
  <si>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</si>
  <si>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</si>
  <si>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</si>
  <si>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</si>
  <si>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</si>
  <si>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</si>
  <si>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</si>
  <si>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</si>
  <si>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</si>
  <si>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</si>
  <si>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</si>
  <si>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</si>
  <si>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</si>
  <si>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</si>
  <si>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</si>
  <si>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</si>
  <si>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Standard row 1: minutes per week (2 min x 5)</t>
  </si>
  <si>
    <t>Standard row 3: monthly point (20 min x 0.25)</t>
  </si>
  <si>
    <t>Week 1, M1: standard checks per week (5 + 10)</t>
  </si>
  <si>
    <t>Week 1, M1: compliance (calculator example 462 / 500)</t>
  </si>
  <si>
    <t>Week 1, M1: missed checks</t>
  </si>
  <si>
    <t>Week 1, M1: status against a 95% target</t>
  </si>
  <si>
    <t>Near target</t>
  </si>
  <si>
    <t>exact</t>
  </si>
  <si>
    <t>Week 1, M2: status at 100%</t>
  </si>
  <si>
    <t>On target</t>
  </si>
  <si>
    <t>Week 2, M1: status at 80%</t>
  </si>
  <si>
    <t>Below target</t>
  </si>
  <si>
    <t>Week 2, M2: Check reports done &gt; due</t>
  </si>
  <si>
    <t>Done &gt; due</t>
  </si>
  <si>
    <t>Week 1, M1: tags raised that week (from the tag fixture)</t>
  </si>
  <si>
    <t>T-1: due date (found + 7 days)</t>
  </si>
  <si>
    <t>T-1: days open</t>
  </si>
  <si>
    <t>T-1: closed on time</t>
  </si>
  <si>
    <t>Yes</t>
  </si>
  <si>
    <t>T-2: open tag age to the status date</t>
  </si>
  <si>
    <t>T-2: due status</t>
  </si>
  <si>
    <t>T-3: due status (due in 2 days)</t>
  </si>
  <si>
    <t>Due soon</t>
  </si>
  <si>
    <t>T-4: safety tag closed after 2 days</t>
  </si>
  <si>
    <t>No</t>
  </si>
  <si>
    <t>T-5: Check reports closed before found</t>
  </si>
  <si>
    <t>Closed before found</t>
  </si>
  <si>
    <t>Standard row 2: Check is OK</t>
  </si>
  <si>
    <t>OK</t>
  </si>
  <si>
    <t>All weeks: compliance = sum done / sum due (Dashboard formula)</t>
  </si>
  <si>
    <t>All weeks: missed checks (Dashboard formula)</t>
  </si>
  <si>
    <t>All tags: open (Dashboard formula)</t>
  </si>
  <si>
    <t>All tags: overdue (Dashboard formula)</t>
  </si>
  <si>
    <t>All tags: closed on time (Dashboard formula)</t>
  </si>
  <si>
    <t>AM minutes per week, all machines (Dashboard formula)</t>
  </si>
  <si>
    <t>Fixed test inputs</t>
  </si>
  <si>
    <t>White cells are fixed test inputs; blue cells are the workbook's formulas evaluated on them.</t>
  </si>
  <si>
    <t>Parameters</t>
  </si>
  <si>
    <t>Status date</t>
  </si>
  <si>
    <t>Tag due soon window (days)</t>
  </si>
  <si>
    <t>Filter: from (0 = no limit)</t>
  </si>
  <si>
    <t>Filter: to (2958465 = no limit)</t>
  </si>
  <si>
    <t>Filter: machine (blank = all)</t>
  </si>
  <si>
    <t>Test list: Machines</t>
  </si>
  <si>
    <t>M1</t>
  </si>
  <si>
    <t>A</t>
  </si>
  <si>
    <t>Test machine 1</t>
  </si>
  <si>
    <t>M2</t>
  </si>
  <si>
    <t>Test machine 2</t>
  </si>
  <si>
    <t>Test list: abnormality types</t>
  </si>
  <si>
    <t>Test table: Standard</t>
  </si>
  <si>
    <t>P1</t>
  </si>
  <si>
    <t>S</t>
  </si>
  <si>
    <t>T</t>
  </si>
  <si>
    <t>P2</t>
  </si>
  <si>
    <t>P3</t>
  </si>
  <si>
    <t>Test table: Checks</t>
  </si>
  <si>
    <t>Calculator example</t>
  </si>
  <si>
    <t>Check: done &gt; due</t>
  </si>
  <si>
    <t>Test table: Tags</t>
  </si>
  <si>
    <t>T-1</t>
  </si>
  <si>
    <t>Closed in time</t>
  </si>
  <si>
    <t>T-2</t>
  </si>
  <si>
    <t>Open past target</t>
  </si>
  <si>
    <t>T-3</t>
  </si>
  <si>
    <t>Due in two days</t>
  </si>
  <si>
    <t>T-4</t>
  </si>
  <si>
    <t>Closed late</t>
  </si>
  <si>
    <t>T-5</t>
  </si>
  <si>
    <t>Check: closed before found</t>
  </si>
</sst>
</file>

<file path=xl/styles.xml><?xml version="1.0" encoding="utf-8"?>
<styleSheet xmlns="http://schemas.openxmlformats.org/spreadsheetml/2006/main">
  <numFmts count="7">
    <numFmt numFmtId="164" formatCode="d mmm yyyy"/>
    <numFmt numFmtId="165" formatCode="0.0%"/>
    <numFmt numFmtId="166" formatCode="#,##0"/>
    <numFmt numFmtId="167" formatCode="#,##0.00"/>
    <numFmt numFmtId="168" formatCode="#,##0.0"/>
    <numFmt numFmtId="169" formatCode="&quot;Target &quot;0.0%"/>
    <numFmt numFmtId="170" formatCode="0.0E+00"/>
  </numFmts>
  <fonts count="25">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i/>
      <sz val="9"/>
      <color rgb="FF6B7280"/>
      <name val="Calibri"/>
      <family val="2"/>
      <scheme val="minor"/>
    </font>
    <font>
      <b/>
      <sz val="9"/>
      <color rgb="FF4A5361"/>
      <name val="Calibri"/>
      <family val="2"/>
      <scheme val="minor"/>
    </font>
    <font>
      <sz val="9"/>
      <color rgb="FF4A5361"/>
      <name val="Calibri"/>
      <family val="2"/>
      <scheme val="minor"/>
    </font>
    <font>
      <b/>
      <sz val="14"/>
      <color rgb="FF14386C"/>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
      <left style="thin">
        <color rgb="FFC7D4EE"/>
      </left>
      <right style="thin">
        <color rgb="FFC7D4EE"/>
      </right>
      <top style="medium">
        <color rgb="FF14386C"/>
      </top>
      <bottom style="thin">
        <color rgb="FFC7D4EE"/>
      </bottom>
      <diagonal/>
    </border>
  </borders>
  <cellStyleXfs count="1">
    <xf numFmtId="0" fontId="0" fillId="0" borderId="0"/>
  </cellStyleXfs>
  <cellXfs count="78">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167" fontId="10" fillId="3" borderId="2" xfId="0" applyNumberFormat="1" applyFont="1" applyFill="1" applyBorder="1" applyAlignment="1" applyProtection="1">
      <alignment vertical="center"/>
      <protection locked="0"/>
    </xf>
    <xf numFmtId="0" fontId="19" fillId="7" borderId="2" xfId="0" applyFont="1" applyFill="1" applyBorder="1" applyAlignment="1">
      <alignment vertical="center" wrapText="1"/>
    </xf>
    <xf numFmtId="0" fontId="10" fillId="3" borderId="2" xfId="0" applyFont="1" applyFill="1" applyBorder="1" applyAlignment="1" applyProtection="1">
      <alignment vertical="top" wrapText="1"/>
      <protection locked="0"/>
    </xf>
    <xf numFmtId="168" fontId="10" fillId="3" borderId="2" xfId="0" applyNumberFormat="1" applyFont="1" applyFill="1" applyBorder="1" applyAlignment="1" applyProtection="1">
      <alignment vertical="center"/>
      <protection locked="0"/>
    </xf>
    <xf numFmtId="167" fontId="10" fillId="4" borderId="3" xfId="0" applyNumberFormat="1" applyFont="1" applyFill="1" applyBorder="1" applyAlignment="1">
      <alignment vertical="center"/>
    </xf>
    <xf numFmtId="168" fontId="10" fillId="4" borderId="3" xfId="0" applyNumberFormat="1" applyFont="1" applyFill="1" applyBorder="1" applyAlignment="1">
      <alignment vertical="center"/>
    </xf>
    <xf numFmtId="0" fontId="20" fillId="4" borderId="3" xfId="0" applyFont="1" applyFill="1" applyBorder="1" applyAlignment="1">
      <alignment vertical="center"/>
    </xf>
    <xf numFmtId="0" fontId="10" fillId="4" borderId="3" xfId="0" applyFont="1" applyFill="1" applyBorder="1" applyAlignment="1">
      <alignment vertical="center"/>
    </xf>
    <xf numFmtId="166" fontId="10"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164" fontId="10" fillId="4" borderId="3" xfId="0" applyNumberFormat="1" applyFont="1" applyFill="1" applyBorder="1" applyAlignment="1">
      <alignment vertical="center"/>
    </xf>
    <xf numFmtId="164" fontId="10" fillId="3" borderId="2" xfId="0" applyNumberFormat="1" applyFont="1" applyFill="1" applyBorder="1" applyAlignment="1" applyProtection="1">
      <alignment horizontal="left" vertical="center"/>
      <protection locked="0"/>
    </xf>
    <xf numFmtId="0" fontId="21" fillId="0" borderId="0" xfId="0" applyFont="1" applyAlignment="1">
      <alignment vertical="center"/>
    </xf>
    <xf numFmtId="0" fontId="22" fillId="9" borderId="6" xfId="0" applyFont="1" applyFill="1" applyBorder="1" applyAlignment="1">
      <alignment vertical="center" wrapText="1"/>
    </xf>
    <xf numFmtId="165" fontId="4" fillId="9" borderId="7" xfId="0" applyNumberFormat="1" applyFont="1" applyFill="1" applyBorder="1" applyAlignment="1">
      <alignment horizontal="left" vertical="center"/>
    </xf>
    <xf numFmtId="166" fontId="4" fillId="9" borderId="7" xfId="0" applyNumberFormat="1" applyFont="1" applyFill="1" applyBorder="1" applyAlignment="1">
      <alignment horizontal="left" vertical="center"/>
    </xf>
    <xf numFmtId="169" fontId="23" fillId="9" borderId="7" xfId="0" applyNumberFormat="1" applyFont="1" applyFill="1" applyBorder="1" applyAlignment="1">
      <alignment horizontal="left" vertical="center"/>
    </xf>
    <xf numFmtId="0" fontId="23" fillId="9" borderId="7" xfId="0" applyFont="1" applyFill="1" applyBorder="1" applyAlignment="1">
      <alignment vertical="center"/>
    </xf>
    <xf numFmtId="0" fontId="22" fillId="9" borderId="8" xfId="0" applyFont="1" applyFill="1" applyBorder="1" applyAlignment="1">
      <alignment vertical="center"/>
    </xf>
    <xf numFmtId="0" fontId="24" fillId="9" borderId="7" xfId="0" applyFont="1" applyFill="1" applyBorder="1" applyAlignment="1">
      <alignment horizontal="left" vertical="center"/>
    </xf>
    <xf numFmtId="0" fontId="18" fillId="2" borderId="5" xfId="0" applyFont="1" applyFill="1" applyBorder="1" applyAlignment="1">
      <alignment horizontal="left" vertical="center" wrapText="1"/>
    </xf>
    <xf numFmtId="0" fontId="9" fillId="0" borderId="9" xfId="0" applyFont="1" applyBorder="1" applyAlignment="1">
      <alignment vertical="center"/>
    </xf>
    <xf numFmtId="164" fontId="9" fillId="0" borderId="9" xfId="0" applyNumberFormat="1" applyFont="1" applyBorder="1" applyAlignment="1">
      <alignment vertical="center"/>
    </xf>
    <xf numFmtId="165" fontId="10" fillId="0" borderId="9" xfId="0" applyNumberFormat="1" applyFont="1" applyBorder="1" applyAlignment="1">
      <alignment vertical="center"/>
    </xf>
    <xf numFmtId="0" fontId="21" fillId="0" borderId="0" xfId="0" applyFont="1" applyAlignment="1">
      <alignment horizontal="center" vertical="center"/>
    </xf>
    <xf numFmtId="166" fontId="9" fillId="0" borderId="9" xfId="0" applyNumberFormat="1" applyFont="1" applyBorder="1" applyAlignment="1">
      <alignment horizontal="center" vertical="center"/>
    </xf>
    <xf numFmtId="166" fontId="10" fillId="0" borderId="0" xfId="0" applyNumberFormat="1" applyFont="1" applyAlignment="1">
      <alignment vertical="center"/>
    </xf>
    <xf numFmtId="0" fontId="9" fillId="4" borderId="10" xfId="0" applyFont="1" applyFill="1" applyBorder="1" applyAlignment="1">
      <alignment vertical="center"/>
    </xf>
    <xf numFmtId="166" fontId="9" fillId="4" borderId="10" xfId="0" applyNumberFormat="1"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8" fontId="10" fillId="0" borderId="9" xfId="0" applyNumberFormat="1" applyFont="1" applyBorder="1" applyAlignment="1">
      <alignment vertical="center"/>
    </xf>
    <xf numFmtId="170" fontId="10" fillId="4" borderId="3" xfId="0" applyNumberFormat="1" applyFont="1" applyFill="1" applyBorder="1" applyAlignment="1">
      <alignment vertical="center"/>
    </xf>
    <xf numFmtId="170" fontId="10" fillId="0" borderId="9" xfId="0" applyNumberFormat="1" applyFont="1" applyBorder="1" applyAlignment="1">
      <alignment vertical="center"/>
    </xf>
    <xf numFmtId="166" fontId="10" fillId="0" borderId="9" xfId="0" applyNumberFormat="1" applyFont="1" applyBorder="1" applyAlignment="1">
      <alignment vertical="center"/>
    </xf>
    <xf numFmtId="164" fontId="10" fillId="0" borderId="9" xfId="0" applyNumberFormat="1" applyFont="1" applyBorder="1" applyAlignment="1">
      <alignment vertical="center"/>
    </xf>
    <xf numFmtId="167"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Check compliance by week</a:t>
            </a:r>
          </a:p>
        </c:rich>
      </c:tx>
      <c:layout/>
    </c:title>
    <c:plotArea>
      <c:layout/>
      <c:barChart>
        <c:barDir val="col"/>
        <c:grouping val="clustered"/>
        <c:ser>
          <c:idx val="0"/>
          <c:order val="0"/>
          <c:tx>
            <c:v>Compliance</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numRef>
              <c:f>Dashboard!$B$46:$B$53</c:f>
              <c:numCache>
                <c:formatCode>General</c:formatCode>
                <c:ptCount val="8"/>
                <c:pt idx="0">
                  <c:v>46251</c:v>
                </c:pt>
                <c:pt idx="1">
                  <c:v>46258</c:v>
                </c:pt>
                <c:pt idx="2">
                  <c:v>46265</c:v>
                </c:pt>
                <c:pt idx="3">
                  <c:v>46272</c:v>
                </c:pt>
                <c:pt idx="4">
                  <c:v>46279</c:v>
                </c:pt>
                <c:pt idx="5">
                  <c:v>46286</c:v>
                </c:pt>
                <c:pt idx="6">
                  <c:v>46293</c:v>
                </c:pt>
                <c:pt idx="7">
                  <c:v>46300</c:v>
                </c:pt>
              </c:numCache>
            </c:numRef>
          </c:cat>
          <c:val>
            <c:numRef>
              <c:f>Dashboard!$F$46:$F$53</c:f>
              <c:numCache>
                <c:formatCode>General</c:formatCode>
                <c:ptCount val="8"/>
                <c:pt idx="0">
                  <c:v>0.927601809954751</c:v>
                </c:pt>
                <c:pt idx="1">
                  <c:v>0.941176470588235</c:v>
                </c:pt>
                <c:pt idx="2">
                  <c:v>0.941441441441442</c:v>
                </c:pt>
                <c:pt idx="3">
                  <c:v>0.888268156424581</c:v>
                </c:pt>
                <c:pt idx="4">
                  <c:v>0.886877828054299</c:v>
                </c:pt>
                <c:pt idx="5">
                  <c:v>0.936651583710407</c:v>
                </c:pt>
                <c:pt idx="6">
                  <c:v>0.936936936936937</c:v>
                </c:pt>
                <c:pt idx="7">
                  <c:v>0.923076923076923</c:v>
                </c:pt>
              </c:numCache>
            </c:numRef>
          </c:val>
        </c:ser>
        <c:gapWidth val="60"/>
        <c:overlap val="-10"/>
        <c:axId val="50010001"/>
        <c:axId val="50010002"/>
      </c:barChart>
      <c:lineChart>
        <c:grouping val="standard"/>
        <c:ser>
          <c:idx val="1"/>
          <c:order val="1"/>
          <c:tx>
            <c:v>Target</c:v>
          </c:tx>
          <c:spPr>
            <a:ln w="19050">
              <a:solidFill>
                <a:srgbClr val="4A5361"/>
              </a:solidFill>
              <a:prstDash val="dash"/>
            </a:ln>
          </c:spPr>
          <c:marker>
            <c:symbol val="none"/>
          </c:marker>
          <c:cat>
            <c:numRef>
              <c:f>Dashboard!$B$46:$B$53</c:f>
              <c:numCache>
                <c:formatCode>General</c:formatCode>
                <c:ptCount val="8"/>
                <c:pt idx="0">
                  <c:v>46251</c:v>
                </c:pt>
                <c:pt idx="1">
                  <c:v>46258</c:v>
                </c:pt>
                <c:pt idx="2">
                  <c:v>46265</c:v>
                </c:pt>
                <c:pt idx="3">
                  <c:v>46272</c:v>
                </c:pt>
                <c:pt idx="4">
                  <c:v>46279</c:v>
                </c:pt>
                <c:pt idx="5">
                  <c:v>46286</c:v>
                </c:pt>
                <c:pt idx="6">
                  <c:v>46293</c:v>
                </c:pt>
                <c:pt idx="7">
                  <c:v>46300</c:v>
                </c:pt>
              </c:numCache>
            </c:numRef>
          </c:cat>
          <c:val>
            <c:numRef>
              <c:f>Dashboard!$G$46:$G$53</c:f>
              <c:numCache>
                <c:formatCode>General</c:formatCode>
                <c:ptCount val="8"/>
                <c:pt idx="0">
                  <c:v>0.95</c:v>
                </c:pt>
                <c:pt idx="1">
                  <c:v>0.95</c:v>
                </c:pt>
                <c:pt idx="2">
                  <c:v>0.95</c:v>
                </c:pt>
                <c:pt idx="3">
                  <c:v>0.95</c:v>
                </c:pt>
                <c:pt idx="4">
                  <c:v>0.95</c:v>
                </c:pt>
                <c:pt idx="5">
                  <c:v>0.95</c:v>
                </c:pt>
                <c:pt idx="6">
                  <c:v>0.95</c:v>
                </c:pt>
                <c:pt idx="7">
                  <c:v>0.95</c:v>
                </c:pt>
              </c:numCache>
            </c:numRef>
          </c:val>
        </c:ser>
        <c:marker val="1"/>
        <c:axId val="50010001"/>
        <c:axId val="50010002"/>
      </c:lineChart>
      <c:catAx>
        <c:axId val="50010001"/>
        <c:scaling>
          <c:orientation val="minMax"/>
        </c:scaling>
        <c:axPos val="b"/>
        <c:numFmt formatCode="d 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ax val="1"/>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Abnormality tags by type</a:t>
            </a:r>
          </a:p>
        </c:rich>
      </c:tx>
      <c:layout/>
    </c:title>
    <c:plotArea>
      <c:layout/>
      <c:barChart>
        <c:barDir val="col"/>
        <c:grouping val="clustered"/>
        <c:ser>
          <c:idx val="0"/>
          <c:order val="0"/>
          <c:tx>
            <c:v>Tags</c:v>
          </c:tx>
          <c:spPr>
            <a:solidFill>
              <a:srgbClr val="3B64D8"/>
            </a:solidFill>
            <a:ln w="9525">
              <a:solidFill>
                <a:srgbClr val="FFFFFF"/>
              </a:solidFill>
            </a:ln>
          </c:spPr>
          <c:cat>
            <c:strRef>
              <c:f>Dashboard!$H$58:$H$64</c:f>
              <c:strCache>
                <c:ptCount val="7"/>
                <c:pt idx="0">
                  <c:v>Contamination source</c:v>
                </c:pt>
                <c:pt idx="1">
                  <c:v>Basic condition missing</c:v>
                </c:pt>
                <c:pt idx="2">
                  <c:v>Minor flaw</c:v>
                </c:pt>
                <c:pt idx="3">
                  <c:v>Quality defect source</c:v>
                </c:pt>
                <c:pt idx="4">
                  <c:v>Hard-to-reach place</c:v>
                </c:pt>
                <c:pt idx="5">
                  <c:v>Unneeded item</c:v>
                </c:pt>
                <c:pt idx="6">
                  <c:v>Unsafe place</c:v>
                </c:pt>
              </c:strCache>
            </c:strRef>
          </c:cat>
          <c:val>
            <c:numRef>
              <c:f>Dashboard!$J$58:$J$64</c:f>
              <c:numCache>
                <c:formatCode>General</c:formatCode>
                <c:ptCount val="7"/>
                <c:pt idx="0">
                  <c:v>22</c:v>
                </c:pt>
                <c:pt idx="1">
                  <c:v>11</c:v>
                </c:pt>
                <c:pt idx="2">
                  <c:v>8</c:v>
                </c:pt>
                <c:pt idx="3">
                  <c:v>5</c:v>
                </c:pt>
                <c:pt idx="4">
                  <c:v>2</c:v>
                </c:pt>
                <c:pt idx="5">
                  <c:v>2</c:v>
                </c:pt>
                <c:pt idx="6">
                  <c:v>2</c:v>
                </c:pt>
              </c:numCache>
            </c:numRef>
          </c:val>
        </c:ser>
        <c:gapWidth val="40"/>
        <c:axId val="50020001"/>
        <c:axId val="50020002"/>
      </c:barChart>
      <c:lineChart>
        <c:grouping val="standard"/>
        <c:ser>
          <c:idx val="1"/>
          <c:order val="1"/>
          <c:tx>
            <c:v>Cumulative %</c:v>
          </c:tx>
          <c:spPr>
            <a:ln w="28575">
              <a:solidFill>
                <a:srgbClr val="E8702A"/>
              </a:solidFill>
            </a:ln>
          </c:spPr>
          <c:marker>
            <c:symbol val="circle"/>
            <c:size val="5"/>
            <c:spPr>
              <a:solidFill>
                <a:srgbClr val="E8702A"/>
              </a:solidFill>
              <a:ln>
                <a:solidFill>
                  <a:srgbClr val="E8702A"/>
                </a:solidFill>
              </a:ln>
            </c:spPr>
          </c:marker>
          <c:cat>
            <c:strRef>
              <c:f>Dashboard!$H$58:$H$64</c:f>
              <c:strCache>
                <c:ptCount val="7"/>
                <c:pt idx="0">
                  <c:v>Contamination source</c:v>
                </c:pt>
                <c:pt idx="1">
                  <c:v>Basic condition missing</c:v>
                </c:pt>
                <c:pt idx="2">
                  <c:v>Minor flaw</c:v>
                </c:pt>
                <c:pt idx="3">
                  <c:v>Quality defect source</c:v>
                </c:pt>
                <c:pt idx="4">
                  <c:v>Hard-to-reach place</c:v>
                </c:pt>
                <c:pt idx="5">
                  <c:v>Unneeded item</c:v>
                </c:pt>
                <c:pt idx="6">
                  <c:v>Unsafe place</c:v>
                </c:pt>
              </c:strCache>
            </c:strRef>
          </c:cat>
          <c:val>
            <c:numRef>
              <c:f>Dashboard!$L$58:$L$64</c:f>
              <c:numCache>
                <c:formatCode>General</c:formatCode>
                <c:ptCount val="7"/>
                <c:pt idx="0">
                  <c:v>0.423076923076923</c:v>
                </c:pt>
                <c:pt idx="1">
                  <c:v>0.634615384615385</c:v>
                </c:pt>
                <c:pt idx="2">
                  <c:v>0.788461538461538</c:v>
                </c:pt>
                <c:pt idx="3">
                  <c:v>0.884615384615385</c:v>
                </c:pt>
                <c:pt idx="4">
                  <c:v>0.923076923076923</c:v>
                </c:pt>
                <c:pt idx="5">
                  <c:v>0.961538461538462</c:v>
                </c:pt>
                <c:pt idx="6">
                  <c:v>1</c:v>
                </c:pt>
              </c:numCache>
            </c:numRef>
          </c:val>
        </c:ser>
        <c:marker val="1"/>
        <c:axId val="60020001"/>
        <c:axId val="60020002"/>
      </c:line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valAx>
        <c:axId val="60020002"/>
        <c:scaling>
          <c:orientation val="minMax"/>
          <c:max val="1"/>
          <c:min val="0"/>
        </c:scaling>
        <c:axPos val="r"/>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60020001"/>
        <c:crosses val="max"/>
        <c:crossBetween val="between"/>
        <c:majorUnit val="0.2"/>
      </c:valAx>
      <c:catAx>
        <c:axId val="60020001"/>
        <c:scaling>
          <c:orientation val="minMax"/>
        </c:scaling>
        <c:delete val="1"/>
        <c:axPos val="b"/>
        <c:tickLblPos val="none"/>
        <c:crossAx val="60020002"/>
        <c:crosses val="autoZero"/>
        <c:auto val="1"/>
        <c:lblAlgn val="ctr"/>
        <c:lblOffset val="100"/>
      </c:cat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26</xdr:row>
      <xdr:rowOff>152400</xdr:rowOff>
    </xdr:to>
    <xdr:graphicFrame macro="">
      <xdr:nvGraphicFramePr>
        <xdr:cNvPr id="2" name="Chart 1" descr="Column chart of weekly check compliance for the last eight weeks in view, with the compliance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26</xdr:row>
      <xdr:rowOff>152400</xdr:rowOff>
    </xdr:to>
    <xdr:graphicFrame macro="">
      <xdr:nvGraphicFramePr>
        <xdr:cNvPr id="3" name="Chart 2" descr="Pareto chart of abnormality tags found by type, largest first, with the cumulative percentage on a secondary axi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Machines" displayName="tblMachines" ref="B17:D23" totalsRowShown="0">
  <autoFilter ref="B17:D23"/>
  <tableColumns count="3">
    <tableColumn id="1" name="Machine"/>
    <tableColumn id="2" name="Area"/>
    <tableColumn id="3" name="Description"/>
  </tableColumns>
  <tableStyleInfo name="TableStyleLight1" showFirstColumn="0" showLastColumn="0" showRowStripes="0" showColumnStripes="0"/>
</table>
</file>

<file path=xl/tables/table2.xml><?xml version="1.0" encoding="utf-8"?>
<table xmlns="http://schemas.openxmlformats.org/spreadsheetml/2006/main" id="2" name="tblFrequencies" displayName="tblFrequencies" ref="B26:D30" totalsRowShown="0">
  <autoFilter ref="B26:D30"/>
  <tableColumns count="3">
    <tableColumn id="1" name="Frequency"/>
    <tableColumn id="2" name="Checks per week"/>
    <tableColumn id="3" name="Meaning"/>
  </tableColumns>
  <tableStyleInfo name="TableStyleLight1" showFirstColumn="0" showLastColumn="0" showRowStripes="0" showColumnStripes="0"/>
</table>
</file>

<file path=xl/tables/table3.xml><?xml version="1.0" encoding="utf-8"?>
<table xmlns="http://schemas.openxmlformats.org/spreadsheetml/2006/main" id="3" name="tblAbnTypes" displayName="tblAbnTypes" ref="B33:D40" totalsRowShown="0">
  <autoFilter ref="B33:D40"/>
  <tableColumns count="3">
    <tableColumn id="1" name="Abnormality type"/>
    <tableColumn id="2" name="Usual tag"/>
    <tableColumn id="3" name="Examples"/>
  </tableColumns>
  <tableStyleInfo name="TableStyleLight1" showFirstColumn="0" showLastColumn="0" showRowStripes="0" showColumnStripes="0"/>
</table>
</file>

<file path=xl/tables/table4.xml><?xml version="1.0" encoding="utf-8"?>
<table xmlns="http://schemas.openxmlformats.org/spreadsheetml/2006/main" id="4" name="tblTagTypes" displayName="tblTagTypes" ref="B43:D46" totalsRowShown="0">
  <autoFilter ref="B43:D46"/>
  <tableColumns count="3">
    <tableColumn id="1" name="Tag type"/>
    <tableColumn id="2" name="Target (days)"/>
    <tableColumn id="3" name="Meaning"/>
  </tableColumns>
  <tableStyleInfo name="TableStyleLight1" showFirstColumn="0" showLastColumn="0" showRowStripes="0" showColumnStripes="0"/>
</table>
</file>

<file path=xl/tables/table5.xml><?xml version="1.0" encoding="utf-8"?>
<table xmlns="http://schemas.openxmlformats.org/spreadsheetml/2006/main" id="5" name="tblStandard" displayName="tblStandard" ref="B5:M44" totalsRowShown="0">
  <autoFilter ref="B5:M44"/>
  <tableColumns count="12">
    <tableColumn id="1" name="Machine"/>
    <tableColumn id="2" name="Item no."/>
    <tableColumn id="3" name="Task"/>
    <tableColumn id="4" name="Point"/>
    <tableColumn id="5" name="Standard (what good looks like)"/>
    <tableColumn id="6" name="Method and tool"/>
    <tableColumn id="7" name="Frequency"/>
    <tableColumn id="8" name="Time (min)"/>
    <tableColumn id="9" name="Done by"/>
    <tableColumn id="10" name="Checks per week">
      <calculatedColumnFormula>IF(tblStandard[[#This Row],[Machine]]="","",IFERROR(INDEX(tblFrequencies[Checks per week],MATCH(tblStandard[[#This Row],[Frequency]],tblFrequencies[Frequency],0)),""))</calculatedColumnFormula>
    </tableColumn>
    <tableColumn id="11" name="Minutes per week">
      <calculatedColumnFormula>IF(tblStandard[[#This Row],[Machine]]="","",IF(tblStandard[[#This Row],[Checks per week]]="","",tblStandard[[#This Row],[Time (min)]]*tblStandard[[#This Row],[Checks per week]]))</calculatedColumnFormula>
    </tableColumn>
    <tableColumn id="12" name="Check">
      <calculatedColumnFormula>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calculatedColumnFormula>
    </tableColumn>
  </tableColumns>
  <tableStyleInfo name="TableStyleLight1" showFirstColumn="0" showLastColumn="0" showRowStripes="0" showColumnStripes="0"/>
</table>
</file>

<file path=xl/tables/table6.xml><?xml version="1.0" encoding="utf-8"?>
<table xmlns="http://schemas.openxmlformats.org/spreadsheetml/2006/main" id="6" name="tblChecks" displayName="tblChecks" ref="B5:N53" totalsRowShown="0">
  <autoFilter ref="B5:N53"/>
  <tableColumns count="13">
    <tableColumn id="1" name="Week starting"/>
    <tableColumn id="2" name="Machine"/>
    <tableColumn id="3" name="Checks due"/>
    <tableColumn id="4" name="Checks done"/>
    <tableColumn id="5" name="Area">
      <calculatedColumnFormula>IF(tblChecks[[#This Row],[Week starting]]="","",IFERROR(INDEX(tblMachines[Area],MATCH(tblChecks[[#This Row],[Machine]],tblMachines[Machine],0)),""))</calculatedColumnFormula>
    </tableColumn>
    <tableColumn id="6" name="Standard (checks/week)">
      <calculatedColumnFormula>IF(tblChecks[[#This Row],[Week starting]]="","",SUMIFS(tblStandard[Checks per week],tblStandard[Machine],tblChecks[[#This Row],[Machine]]))</calculatedColumnFormula>
    </tableColumn>
    <tableColumn id="7" name="Missed">
      <calculatedColumnFormula>IF(tblChecks[[#This Row],[Week starting]]="","",tblChecks[[#This Row],[Checks due]]-tblChecks[[#This Row],[Checks done]])</calculatedColumnFormula>
    </tableColumn>
    <tableColumn id="8" name="Compliance">
      <calculatedColumnFormula>IF(tblChecks[[#This Row],[Week starting]]="","",IF(tblChecks[[#This Row],[Checks due]]&gt;0,tblChecks[[#This Row],[Checks done]]/tblChecks[[#This Row],[Checks due]],""))</calculatedColumnFormula>
    </tableColumn>
    <tableColumn id="9" name="Status">
      <calculatedColumnFormula>IF(NOT(ISNUMBER(tblChecks[[#This Row],[Compliance]])),"",IF(tblChecks[[#This Row],[Compliance]]&gt;=TargetCompliance,"On target",IF(tblChecks[[#This Row],[Compliance]]&gt;=TargetCompliance*(1-0.05),"Near target","Below target")))</calculatedColumnFormula>
    </tableColumn>
    <tableColumn id="10" name="Tags raised">
      <calculatedColumnFormula>IF(tblChecks[[#This Row],[Week starting]]="","",COUNTIFS(tblTags[Machine],tblChecks[[#This Row],[Machine]],tblTags[Date found],"&gt;="&amp;tblChecks[[#This Row],[Week starting]],tblTags[Date found],"&lt;"&amp;tblChecks[[#This Row],[Week starting]]+7))</calculatedColumnFormula>
    </tableColumn>
    <tableColumn id="11" name="View date">
      <calculatedColumnFormula>IF(tblChecks[[#This Row],[Week starting]]="","",IF(AND(tblChecks[[#This Row],[Week starting]]&gt;=FFrom,tblChecks[[#This Row],[Week starting]]&lt;=FTo,OR(DashMachine="",tblChecks[[#This Row],[Machine]]=DashMachine)),tblChecks[[#This Row],[Week starting]],""))</calculatedColumnFormula>
    </tableColumn>
    <tableColumn id="12" name="Check">
      <calculatedColumnFormula>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calculatedColumnFormula>
    </tableColumn>
    <tableColumn id="13" name="Notes"/>
  </tableColumns>
  <tableStyleInfo name="TableStyleLight1" showFirstColumn="0" showLastColumn="0" showRowStripes="0" showColumnStripes="0"/>
</table>
</file>

<file path=xl/tables/table7.xml><?xml version="1.0" encoding="utf-8"?>
<table xmlns="http://schemas.openxmlformats.org/spreadsheetml/2006/main" id="7" name="tblTags" displayName="tblTags" ref="B5:Q57" totalsRowShown="0">
  <autoFilter ref="B5:Q57"/>
  <tableColumns count="16">
    <tableColumn id="1" name="Tag no."/>
    <tableColumn id="2" name="Date found"/>
    <tableColumn id="3" name="Machine"/>
    <tableColumn id="4" name="Found during"/>
    <tableColumn id="5" name="Abnormality type"/>
    <tableColumn id="6" name="Tag type"/>
    <tableColumn id="7" name="Description"/>
    <tableColumn id="8" name="Status"/>
    <tableColumn id="9" name="Date closed"/>
    <tableColumn id="10" name="Target (days)">
      <calculatedColumnFormula>IF(tblTags[[#This Row],[Tag no.]]="","",IFERROR(INDEX(tblTagTypes[Target (days)],MATCH(tblTags[[#This Row],[Tag type]],tblTagTypes[Tag type],0)),""))</calculatedColumnFormula>
    </tableColumn>
    <tableColumn id="11" name="Due date">
      <calculatedColumnFormula>IF(tblTags[[#This Row],[Tag no.]]="","",IF(tblTags[[#This Row],[Target (days)]]="","",tblTags[[#This Row],[Date found]]+tblTags[[#This Row],[Target (days)]]))</calculatedColumnFormula>
    </tableColumn>
    <tableColumn id="12" name="Days open">
      <calculatedColumnFormula>IF(tblTags[[#This Row],[Tag no.]]="","",IF(tblTags[[#This Row],[Status]]="Closed",IF(tblTags[[#This Row],[Date closed]]="","",tblTags[[#This Row],[Date closed]]-tblTags[[#This Row],[Date found]]),AsOf-tblTags[[#This Row],[Date found]]))</calculatedColumnFormula>
    </tableColumn>
    <tableColumn id="13" name="Due status">
      <calculatedColumnFormula>IF(tblTags[[#This Row],[Tag no.]]="","",IF(tblTags[[#This Row],[Status]]="Closed","Complete",IF(tblTags[[#This Row],[Due date]]="","",IF(AsOf&gt;tblTags[[#This Row],[Due date]],"Overdue",IF(tblTags[[#This Row],[Due date]]-AsOf&lt;=TagDueSoon,"Due soon","OK")))))</calculatedColumnFormula>
    </tableColumn>
    <tableColumn id="14" name="Closed on time">
      <calculatedColumnFormula>IF(tblTags[[#This Row],[Tag no.]]="","",IF(OR(tblTags[[#This Row],[Status]]&lt;&gt;"Closed",tblTags[[#This Row],[Date closed]]="",tblTags[[#This Row],[Due date]]=""),"",IF(tblTags[[#This Row],[Date closed]]&lt;=tblTags[[#This Row],[Due date]],"Yes","No")))</calculatedColumnFormula>
    </tableColumn>
    <tableColumn id="15" name="View date">
      <calculatedColumnFormula>IF(tblTags[[#This Row],[Tag no.]]="","",IF(AND(tblTags[[#This Row],[Date found]]&gt;=FFrom,tblTags[[#This Row],[Date found]]&lt;=FTo,OR(DashMachine="",tblTags[[#This Row],[Machine]]=DashMachine)),tblTags[[#This Row],[Date found]],""))</calculatedColumnFormula>
    </tableColumn>
    <tableColumn id="16" name="Check">
      <calculatedColumnFormula>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calculatedColumnFormula>
    </tableColumn>
  </tableColumns>
  <tableStyleInfo name="TableStyleLight1" showFirstColumn="0" showLastColumn="0" showRowStripes="0" showColumnStripes="0"/>
</table>
</file>

<file path=xl/tables/table8.xml><?xml version="1.0" encoding="utf-8"?>
<table xmlns="http://schemas.openxmlformats.org/spreadsheetml/2006/main" id="8" name="tblVerifyMachines" displayName="tblVerifyMachines" ref="B49:D51" totalsRowShown="0">
  <tableColumns count="3">
    <tableColumn id="1" name="Machine"/>
    <tableColumn id="2" name="Area"/>
    <tableColumn id="3" name="Description"/>
  </tableColumns>
  <tableStyleInfo name="TableStyleLight1" showFirstColumn="0" showLastColumn="0" showRowStripes="0" showColumnStripes="0"/>
</table>
</file>

<file path=xl/tables/table9.xml><?xml version="1.0" encoding="utf-8"?>
<table xmlns="http://schemas.openxmlformats.org/spreadsheetml/2006/main" id="9" name="tblVerifyAbnTypes" displayName="tblVerifyAbnTypes" ref="B54:D56" totalsRowShown="0">
  <tableColumns count="3">
    <tableColumn id="1" name="Abnormality type"/>
    <tableColumn id="2" name="Usual tag"/>
    <tableColumn id="3" name="Examples"/>
  </tableColumns>
  <tableStyleInfo name="TableStyleLight1" showFirstColumn="0" showLastColumn="0" showRowStripes="0" showColumnStripes="0"/>
</table>
</file>

<file path=xl/tables/table10.xml><?xml version="1.0" encoding="utf-8"?>
<table xmlns="http://schemas.openxmlformats.org/spreadsheetml/2006/main" id="10" name="tblVerifyStandard" displayName="tblVerifyStandard" ref="B59:M62" totalsRowShown="0">
  <tableColumns count="12">
    <tableColumn id="1" name="Machine"/>
    <tableColumn id="2" name="Item no."/>
    <tableColumn id="3" name="Task"/>
    <tableColumn id="4" name="Point"/>
    <tableColumn id="5" name="Standard (what good looks like)"/>
    <tableColumn id="6" name="Method and tool"/>
    <tableColumn id="7" name="Frequency"/>
    <tableColumn id="8" name="Time (min)"/>
    <tableColumn id="9" name="Done by"/>
    <tableColumn id="10" name="Checks per week"/>
    <tableColumn id="11" name="Minutes per week">
      <calculatedColumnFormula>IF(tblVerifyStandard[[#This Row],[Machine]]="","",IF(tblVerifyStandard[[#This Row],[Checks per week]]="","",tblVerifyStandard[[#This Row],[Time (min)]]*tblVerifyStandard[[#This Row],[Checks per week]]))</calculatedColumnFormula>
    </tableColumn>
    <tableColumn id="12" name="Check">
      <calculatedColumnFormula>IF(tblVerifyStandard[[#This Row],[Machine]]="","",IF(tblVerifyStandard[[#This Row],[Item no.]]="","Missing item no.",IF(tblVerifyStandard[[#This Row],[Task]]="","Missing task",IF(tblVerifyStandard[[#This Row],[Point]]="","Missing point",IF(tblVerifyStandard[[#This Row],[Time (min)]]="","Missing time",IF(tblVerifyStandard[[#This Row],[Checks per week]]="","Frequency not on Setup list",IF(COUNTIF(tblVerifyMachines[Machine],tblVerifyStandard[[#This Row],[Machine]])=0,"Machine not on Setup list",IF(COUNTIFS(tblVerifyStandard[Machine],tblVerifyStandard[[#This Row],[Machine]],tblVerifyStandard[Item no.],tblVerifyStandard[[#This Row],[Item no.]])&gt;1,"Duplicate item no.","OK"))))))))</calculatedColumnFormula>
    </tableColumn>
  </tableColumns>
  <tableStyleInfo name="TableStyleLight1" showFirstColumn="0" showLastColumn="0" showRowStripes="0" showColumnStripes="0"/>
</table>
</file>

<file path=xl/tables/table11.xml><?xml version="1.0" encoding="utf-8"?>
<table xmlns="http://schemas.openxmlformats.org/spreadsheetml/2006/main" id="11" name="tblVerifyChecks" displayName="tblVerifyChecks" ref="B65:N69" totalsRowShown="0">
  <tableColumns count="13">
    <tableColumn id="1" name="Week starting"/>
    <tableColumn id="2" name="Machine"/>
    <tableColumn id="3" name="Checks due"/>
    <tableColumn id="4" name="Checks done"/>
    <tableColumn id="5" name="Area"/>
    <tableColumn id="6" name="Standard (checks/week)">
      <calculatedColumnFormula>IF(tblVerifyChecks[[#This Row],[Week starting]]="","",SUMIFS(tblVerifyStandard[Checks per week],tblVerifyStandard[Machine],tblVerifyChecks[[#This Row],[Machine]]))</calculatedColumnFormula>
    </tableColumn>
    <tableColumn id="7" name="Missed">
      <calculatedColumnFormula>IF(tblVerifyChecks[[#This Row],[Week starting]]="","",tblVerifyChecks[[#This Row],[Checks due]]-tblVerifyChecks[[#This Row],[Checks done]])</calculatedColumnFormula>
    </tableColumn>
    <tableColumn id="8" name="Compliance">
      <calculatedColumnFormula>IF(tblVerifyChecks[[#This Row],[Week starting]]="","",IF(tblVerifyChecks[[#This Row],[Checks due]]&gt;0,tblVerifyChecks[[#This Row],[Checks done]]/tblVerifyChecks[[#This Row],[Checks due]],""))</calculatedColumnFormula>
    </tableColumn>
    <tableColumn id="9" name="Status">
      <calculatedColumnFormula>IF(NOT(ISNUMBER(tblVerifyChecks[[#This Row],[Compliance]])),"",IF(tblVerifyChecks[[#This Row],[Compliance]]&gt;=$E$41,"On target",IF(tblVerifyChecks[[#This Row],[Compliance]]&gt;=$E$41*(1-0.05),"Near target","Below target")))</calculatedColumnFormula>
    </tableColumn>
    <tableColumn id="10" name="Tags raised">
      <calculatedColumnFormula>IF(tblVerifyChecks[[#This Row],[Week starting]]="","",COUNTIFS(tblVerifyTags[Machine],tblVerifyChecks[[#This Row],[Machine]],tblVerifyTags[Date found],"&gt;="&amp;tblVerifyChecks[[#This Row],[Week starting]],tblVerifyTags[Date found],"&lt;"&amp;tblVerifyChecks[[#This Row],[Week starting]]+7))</calculatedColumnFormula>
    </tableColumn>
    <tableColumn id="11" name="View date">
      <calculatedColumnFormula>IF(tblVerifyChecks[[#This Row],[Week starting]]="","",IF(AND(tblVerifyChecks[[#This Row],[Week starting]]&gt;=$E$44,tblVerifyChecks[[#This Row],[Week starting]]&lt;=$E$45,OR($E$46="",tblVerifyChecks[[#This Row],[Machine]]=$E$46)),tblVerifyChecks[[#This Row],[Week starting]],""))</calculatedColumnFormula>
    </tableColumn>
    <tableColumn id="12" name="Check">
      <calculatedColumnFormula>IF(tblVerifyChecks[[#This Row],[Week starting]]="","",IF(tblVerifyChecks[[#This Row],[Machine]]="","Missing machine",IF(tblVerifyChecks[[#This Row],[Checks due]]="","Missing checks due",IF(tblVerifyChecks[[#This Row],[Checks done]]="","Missing checks done",IF(tblVerifyChecks[[#This Row],[Area]]="","Machine not on Setup list",IF(tblVerifyChecks[[#This Row],[Checks done]]&gt;tblVerifyChecks[[#This Row],[Checks due]],"Done &gt; due",IF(WEEKDAY(tblVerifyChecks[[#This Row],[Week starting]],2)&lt;&gt;1,"Week does not start on a Monday",IF(COUNTIFS(tblVerifyChecks[Week starting],tblVerifyChecks[[#This Row],[Week starting]],tblVerifyChecks[Machine],tblVerifyChecks[[#This Row],[Machine]])&gt;1,"Duplicate week and machine","OK"))))))))</calculatedColumnFormula>
    </tableColumn>
    <tableColumn id="13" name="Notes"/>
  </tableColumns>
  <tableStyleInfo name="TableStyleLight1" showFirstColumn="0" showLastColumn="0" showRowStripes="0" showColumnStripes="0"/>
</table>
</file>

<file path=xl/tables/table12.xml><?xml version="1.0" encoding="utf-8"?>
<table xmlns="http://schemas.openxmlformats.org/spreadsheetml/2006/main" id="12" name="tblVerifyTags" displayName="tblVerifyTags" ref="B72:Q77" totalsRowShown="0">
  <tableColumns count="16">
    <tableColumn id="1" name="Tag no."/>
    <tableColumn id="2" name="Date found"/>
    <tableColumn id="3" name="Machine"/>
    <tableColumn id="4" name="Found during"/>
    <tableColumn id="5" name="Abnormality type"/>
    <tableColumn id="6" name="Tag type"/>
    <tableColumn id="7" name="Description"/>
    <tableColumn id="8" name="Status"/>
    <tableColumn id="9" name="Date closed"/>
    <tableColumn id="10" name="Target (days)"/>
    <tableColumn id="11" name="Due date">
      <calculatedColumnFormula>IF(tblVerifyTags[[#This Row],[Tag no.]]="","",IF(tblVerifyTags[[#This Row],[Target (days)]]="","",tblVerifyTags[[#This Row],[Date found]]+tblVerifyTags[[#This Row],[Target (days)]]))</calculatedColumnFormula>
    </tableColumn>
    <tableColumn id="12" name="Days open">
      <calculatedColumnFormula>IF(tblVerifyTags[[#This Row],[Tag no.]]="","",IF(tblVerifyTags[[#This Row],[Status]]="Closed",IF(tblVerifyTags[[#This Row],[Date closed]]="","",tblVerifyTags[[#This Row],[Date closed]]-tblVerifyTags[[#This Row],[Date found]]),$E$42-tblVerifyTags[[#This Row],[Date found]]))</calculatedColumnFormula>
    </tableColumn>
    <tableColumn id="13" name="Due status">
      <calculatedColumnFormula>IF(tblVerifyTags[[#This Row],[Tag no.]]="","",IF(tblVerifyTags[[#This Row],[Status]]="Closed","Complete",IF(tblVerifyTags[[#This Row],[Due date]]="","",IF($E$42&gt;tblVerifyTags[[#This Row],[Due date]],"Overdue",IF(tblVerifyTags[[#This Row],[Due date]]-$E$42&lt;=$E$43,"Due soon","OK")))))</calculatedColumnFormula>
    </tableColumn>
    <tableColumn id="14" name="Closed on time">
      <calculatedColumnFormula>IF(tblVerifyTags[[#This Row],[Tag no.]]="","",IF(OR(tblVerifyTags[[#This Row],[Status]]&lt;&gt;"Closed",tblVerifyTags[[#This Row],[Date closed]]="",tblVerifyTags[[#This Row],[Due date]]=""),"",IF(tblVerifyTags[[#This Row],[Date closed]]&lt;=tblVerifyTags[[#This Row],[Due date]],"Yes","No")))</calculatedColumnFormula>
    </tableColumn>
    <tableColumn id="15" name="View date">
      <calculatedColumnFormula>IF(tblVerifyTags[[#This Row],[Tag no.]]="","",IF(AND(tblVerifyTags[[#This Row],[Date found]]&gt;=$E$44,tblVerifyTags[[#This Row],[Date found]]&lt;=$E$45,OR($E$46="",tblVerifyTags[[#This Row],[Machine]]=$E$46)),tblVerifyTags[[#This Row],[Date found]],""))</calculatedColumnFormula>
    </tableColumn>
    <tableColumn id="16" name="Check">
      <calculatedColumnFormula>IF(tblVerifyTags[[#This Row],[Tag no.]]="","",IF(tblVerifyTags[[#This Row],[Date found]]="","Missing date found",IF(tblVerifyTags[[#This Row],[Status]]="","Missing status",IF(tblVerifyTags[[#This Row],[Target (days)]]="","Tag type not on Setup list",IF(COUNTIF(tblVerifyMachines[Machine],tblVerifyTags[[#This Row],[Machine]])=0,"Machine not on Setup list",IF(COUNTIF(tblVerifyAbnTypes[Abnormality type],tblVerifyTags[[#This Row],[Abnormality type]])=0,"Abnormality type not on list",IF(OR(AND(tblVerifyTags[[#This Row],[Status]]="Closed",tblVerifyTags[[#This Row],[Date closed]]=""),AND(tblVerifyTags[[#This Row],[Status]]&lt;&gt;"Closed",tblVerifyTags[[#This Row],[Date closed]]&lt;&gt;"")),"Status and closing date disagree",IF(AND(tblVerifyTags[[#This Row],[Date closed]]&lt;&gt;"",tblVerifyTags[[#This Row],[Date closed]]&lt;tblVerifyTags[[#This Row],[Date found]]),"Closed before found",IF(OR(tblVerifyTags[[#This Row],[Date found]]&gt;$E$42,AND(tblVerifyTags[[#This Row],[Date closed]]&lt;&gt;"",tblVerifyTags[[#This Row],[Date closed]]&gt;$E$42)),"Date after the status date",IF(COUNTIF(tblVerifyTags[Tag no.],tblVerifyTags[[#This Row],[Tag no.]])&gt;1,"Duplicate tag no.","OK"))))))))))</calculatedColumnFormula>
    </tableColumn>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tpm-checklist" TargetMode="External"/><Relationship Id="rId2" Type="http://schemas.openxmlformats.org/officeDocument/2006/relationships/hyperlink" Target="https://www.mfgcalcs.com/calculators/maintenance-reliability-downtime/pm-compliance-rate?utm_source=mfgcalcs-template&amp;utm_medium=xlsx&amp;utm_campaign=tpm-checklist" TargetMode="External"/><Relationship Id="rId3" Type="http://schemas.openxmlformats.org/officeDocument/2006/relationships/hyperlink" Target="https://www.mfgcalcs.com/templates/tpm-checklist?utm_source=mfgcalcs-template&amp;utm_medium=xlsx&amp;utm_campaign=tpm-checklist" TargetMode="External"/><Relationship Id="rId4" Type="http://schemas.openxmlformats.org/officeDocument/2006/relationships/hyperlink" Target="https://www.mfgcalcs.com/templates?utm_source=mfgcalcs-template&amp;utm_medium=xlsx&amp;utm_campaign=tpm-checklist"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tpm-checklist" TargetMode="External"/><Relationship Id="rId2" Type="http://schemas.openxmlformats.org/officeDocument/2006/relationships/table" Target="../tables/table1.xml"/><Relationship Id="rId3" Type="http://schemas.openxmlformats.org/officeDocument/2006/relationships/table" Target="../tables/table2.xml"/><Relationship Id="rId4" Type="http://schemas.openxmlformats.org/officeDocument/2006/relationships/table" Target="../tables/table3.xml"/><Relationship Id="rId5" Type="http://schemas.openxmlformats.org/officeDocument/2006/relationships/table" Target="../tables/table4.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tpm-checklist" TargetMode="External"/><Relationship Id="rId2" Type="http://schemas.openxmlformats.org/officeDocument/2006/relationships/table" Target="../tables/table5.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tpm-checklist" TargetMode="External"/><Relationship Id="rId2" Type="http://schemas.openxmlformats.org/officeDocument/2006/relationships/table" Target="../tables/table6.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tpm-checklist" TargetMode="External"/><Relationship Id="rId2" Type="http://schemas.openxmlformats.org/officeDocument/2006/relationships/table" Target="../tables/table7.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tpm-checklist" TargetMode="External"/><Relationship Id="rId2"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tpm-checklist" TargetMode="External"/><Relationship Id="rId2" Type="http://schemas.openxmlformats.org/officeDocument/2006/relationships/hyperlink" Target="https://www.mfgcalcs.com/calculators/maintenance-reliability-downtime/pm-compliance-rate?utm_source=mfgcalcs-template&amp;utm_medium=xlsx&amp;utm_campaign=tpm-checklist"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tpm-checklist" TargetMode="External"/><Relationship Id="rId2" Type="http://schemas.openxmlformats.org/officeDocument/2006/relationships/table" Target="../tables/table8.xml"/><Relationship Id="rId3" Type="http://schemas.openxmlformats.org/officeDocument/2006/relationships/table" Target="../tables/table9.xml"/><Relationship Id="rId4" Type="http://schemas.openxmlformats.org/officeDocument/2006/relationships/table" Target="../tables/table10.xml"/><Relationship Id="rId5" Type="http://schemas.openxmlformats.org/officeDocument/2006/relationships/table" Target="../tables/table11.xml"/><Relationship Id="rId6"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8"/>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29.4"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29.4"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29.4" customHeight="1">
      <c r="B24" s="11"/>
      <c r="C24" s="12" t="s">
        <v>25</v>
      </c>
      <c r="D24" s="10" t="s">
        <v>26</v>
      </c>
      <c r="E24" s="10"/>
      <c r="F24" s="10"/>
    </row>
    <row r="25" spans="2:6" ht="29.4" customHeight="1">
      <c r="B25" s="11"/>
      <c r="C25" s="12" t="s">
        <v>27</v>
      </c>
      <c r="D25" s="10" t="s">
        <v>28</v>
      </c>
      <c r="E25" s="10"/>
      <c r="F25" s="10"/>
    </row>
    <row r="26" spans="2:6" ht="16.2" customHeight="1">
      <c r="B26" s="11"/>
      <c r="C26" s="12" t="s">
        <v>29</v>
      </c>
      <c r="D26" s="10" t="s">
        <v>30</v>
      </c>
      <c r="E26" s="10"/>
      <c r="F26" s="10"/>
    </row>
    <row r="27" spans="2:6" ht="29.4" customHeight="1">
      <c r="B27" s="11"/>
      <c r="C27" s="12" t="s">
        <v>31</v>
      </c>
      <c r="D27" s="10" t="s">
        <v>32</v>
      </c>
      <c r="E27" s="10"/>
      <c r="F27" s="10"/>
    </row>
    <row r="29" spans="2:6" ht="21" customHeight="1">
      <c r="B29" s="8" t="s">
        <v>33</v>
      </c>
      <c r="C29" s="8"/>
      <c r="D29" s="8"/>
      <c r="E29" s="8"/>
      <c r="F29" s="8"/>
    </row>
    <row r="30" spans="2:6" ht="5" customHeight="1"/>
    <row r="31" spans="2:6" ht="29.4" customHeight="1">
      <c r="C31" s="13" t="s">
        <v>34</v>
      </c>
      <c r="D31" s="14" t="s">
        <v>35</v>
      </c>
      <c r="E31" s="14"/>
      <c r="F31" s="14"/>
    </row>
    <row r="32" spans="2:6" ht="29.4" customHeight="1">
      <c r="C32" s="15" t="s">
        <v>36</v>
      </c>
      <c r="D32" s="14" t="s">
        <v>37</v>
      </c>
      <c r="E32" s="14"/>
      <c r="F32" s="14"/>
    </row>
    <row r="33" spans="2:6" ht="16.2" customHeight="1">
      <c r="C33" s="16" t="s">
        <v>38</v>
      </c>
      <c r="D33" s="14" t="s">
        <v>39</v>
      </c>
      <c r="E33" s="14"/>
      <c r="F33" s="14"/>
    </row>
    <row r="34" spans="2:6" ht="18" customHeight="1">
      <c r="C34" s="17" t="s">
        <v>40</v>
      </c>
      <c r="D34" s="18" t="s">
        <v>41</v>
      </c>
      <c r="E34" s="19" t="s">
        <v>42</v>
      </c>
      <c r="F34" s="20" t="s">
        <v>43</v>
      </c>
    </row>
    <row r="35" spans="2:6" ht="26.76" customHeight="1">
      <c r="C35" s="21" t="s">
        <v>44</v>
      </c>
      <c r="D35" s="21"/>
      <c r="E35" s="21"/>
      <c r="F35" s="21"/>
    </row>
    <row r="37" spans="2:6" ht="21" customHeight="1">
      <c r="B37" s="8" t="s">
        <v>45</v>
      </c>
      <c r="C37" s="8"/>
      <c r="D37" s="8"/>
      <c r="E37" s="8"/>
      <c r="F37" s="8"/>
    </row>
    <row r="38" spans="2:6" ht="5" customHeight="1"/>
    <row r="39" spans="2:6" ht="26" customHeight="1">
      <c r="C39" s="17" t="s">
        <v>46</v>
      </c>
      <c r="D39" s="22" t="str">
        <f>SelfCheck</f>
        <v>PASS</v>
      </c>
      <c r="E39" s="23" t="str">
        <f>SelfCheckSummary</f>
        <v>25 of 25 checks pass</v>
      </c>
      <c r="F39" s="23"/>
    </row>
    <row r="40" spans="2:6" ht="26.76" customHeight="1">
      <c r="C40" s="21" t="s">
        <v>47</v>
      </c>
      <c r="D40" s="21"/>
      <c r="E40" s="21"/>
      <c r="F40" s="21"/>
    </row>
    <row r="41" spans="2:6">
      <c r="C41" s="17" t="s">
        <v>48</v>
      </c>
      <c r="D41" s="24" t="s">
        <v>49</v>
      </c>
      <c r="E41" s="24"/>
      <c r="F41" s="24"/>
    </row>
    <row r="42" spans="2:6">
      <c r="C42" s="17" t="s">
        <v>50</v>
      </c>
      <c r="D42" s="24" t="s">
        <v>51</v>
      </c>
      <c r="E42" s="24"/>
      <c r="F42" s="24"/>
    </row>
    <row r="43" spans="2:6">
      <c r="C43" s="17" t="s">
        <v>52</v>
      </c>
      <c r="D43" s="24" t="s">
        <v>53</v>
      </c>
      <c r="E43" s="24"/>
      <c r="F43" s="24"/>
    </row>
    <row r="44" spans="2:6">
      <c r="C44" s="17" t="s">
        <v>54</v>
      </c>
      <c r="D44" s="11" t="s">
        <v>55</v>
      </c>
      <c r="E44" s="11"/>
      <c r="F44" s="11"/>
    </row>
    <row r="46" spans="2:6" ht="21" customHeight="1">
      <c r="B46" s="8" t="s">
        <v>56</v>
      </c>
      <c r="C46" s="8"/>
      <c r="D46" s="8"/>
      <c r="E46" s="8"/>
      <c r="F46" s="8"/>
    </row>
    <row r="47" spans="2:6" ht="5" customHeight="1"/>
    <row r="48" spans="2:6" ht="75" customHeight="1">
      <c r="B48" s="25" t="s">
        <v>57</v>
      </c>
      <c r="C48" s="25"/>
      <c r="D48" s="25"/>
      <c r="E48" s="25"/>
      <c r="F48" s="25"/>
    </row>
    <row r="50" spans="2:6" ht="21" customHeight="1">
      <c r="B50" s="8" t="s">
        <v>58</v>
      </c>
      <c r="C50" s="8"/>
      <c r="D50" s="8"/>
      <c r="E50" s="8"/>
      <c r="F50" s="8"/>
    </row>
    <row r="51" spans="2:6" ht="5" customHeight="1"/>
    <row r="52" spans="2:6" ht="29.4" customHeight="1">
      <c r="B52" s="26" t="s">
        <v>59</v>
      </c>
      <c r="C52" s="10" t="s">
        <v>60</v>
      </c>
      <c r="D52" s="10"/>
      <c r="E52" s="10"/>
      <c r="F52" s="10"/>
    </row>
    <row r="53" spans="2:6" ht="16.2" customHeight="1">
      <c r="B53" s="26" t="s">
        <v>59</v>
      </c>
      <c r="C53" s="10" t="s">
        <v>61</v>
      </c>
      <c r="D53" s="10"/>
      <c r="E53" s="10"/>
      <c r="F53" s="10"/>
    </row>
    <row r="54" spans="2:6" ht="29.4" customHeight="1">
      <c r="B54" s="26" t="s">
        <v>59</v>
      </c>
      <c r="C54" s="10" t="s">
        <v>62</v>
      </c>
      <c r="D54" s="10"/>
      <c r="E54" s="10"/>
      <c r="F54" s="10"/>
    </row>
    <row r="55" spans="2:6" ht="16.2" customHeight="1">
      <c r="B55" s="26" t="s">
        <v>59</v>
      </c>
      <c r="C55" s="10" t="s">
        <v>63</v>
      </c>
      <c r="D55" s="10"/>
      <c r="E55" s="10"/>
      <c r="F55" s="10"/>
    </row>
    <row r="57" spans="2:6" ht="16.2" customHeight="1">
      <c r="B57" s="17" t="s">
        <v>64</v>
      </c>
      <c r="C57" s="17"/>
      <c r="D57" s="17"/>
      <c r="E57" s="17"/>
      <c r="F57" s="17"/>
    </row>
    <row r="58" spans="2:6" ht="26.76" customHeight="1">
      <c r="B58" s="21" t="s">
        <v>65</v>
      </c>
      <c r="C58" s="21"/>
      <c r="D58" s="21"/>
      <c r="E58" s="21"/>
      <c r="F58" s="21"/>
    </row>
  </sheetData>
  <sheetProtection sheet="1" formatColumns="0" formatRows="0"/>
  <mergeCells count="42">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D26:F26"/>
    <mergeCell ref="D27:F27"/>
    <mergeCell ref="B29:F29"/>
    <mergeCell ref="D31:F31"/>
    <mergeCell ref="D32:F32"/>
    <mergeCell ref="D33:F33"/>
    <mergeCell ref="C35:F35"/>
    <mergeCell ref="B37:F37"/>
    <mergeCell ref="E39:F39"/>
    <mergeCell ref="C40:F40"/>
    <mergeCell ref="D41:F41"/>
    <mergeCell ref="D42:F42"/>
    <mergeCell ref="D43:F43"/>
    <mergeCell ref="D44:F44"/>
    <mergeCell ref="B46:F46"/>
    <mergeCell ref="B48:F48"/>
    <mergeCell ref="B50:F50"/>
    <mergeCell ref="C52:F52"/>
    <mergeCell ref="C53:F53"/>
    <mergeCell ref="C54:F54"/>
    <mergeCell ref="C55:F55"/>
    <mergeCell ref="B57:F57"/>
    <mergeCell ref="B58:F58"/>
  </mergeCells>
  <conditionalFormatting sqref="D39">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CILT Standard'!A1" tooltip="Go to CILT Standard" display="CILT Standard"/>
    <hyperlink ref="C23" location="'Weekly Checks'!A1" tooltip="Go to Weekly Checks" display="Weekly Checks"/>
    <hyperlink ref="C24" location="'Abnormality Tags'!A1" tooltip="Go to Abnormality Tags" display="Abnormality Tags"/>
    <hyperlink ref="C25" location="Dashboard!A1" tooltip="Go to Dashboard" display="Dashboard"/>
    <hyperlink ref="C26" location="Method!A1" tooltip="Go to Method" display="Method"/>
    <hyperlink ref="C27" location="Verify!A1" tooltip="Go to Verify" display="Verify"/>
    <hyperlink ref="D41" r:id="rId2"/>
    <hyperlink ref="D42" r:id="rId3"/>
    <hyperlink ref="D43" r:id="rId4"/>
  </hyperlinks>
  <printOptions horizontalCentered="1"/>
  <pageMargins left="0.4" right="0.4" top="0.7" bottom="0.65" header="0.3" footer="0.3"/>
  <pageSetup fitToHeight="0" orientation="portrait"/>
  <headerFooter>
    <oddHeader>&amp;L&amp;8MFG Calcs - TPM Autonomous Maintenance Checklist&amp;R&amp;8&amp;A</oddHeader>
    <oddFooter>&amp;L&amp;8mfgcalcs.com - free manufacturing templates&amp;R&amp;8Page &amp;P of &amp;N</oddFooter>
  </headerFooter>
  <rowBreaks count="1" manualBreakCount="1">
    <brk id="28"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46"/>
  <sheetViews>
    <sheetView showGridLines="0" workbookViewId="0"/>
  </sheetViews>
  <sheetFormatPr defaultRowHeight="15"/>
  <cols>
    <col min="1" max="1" width="2.7109375" customWidth="1"/>
    <col min="2" max="2" width="30.7109375" customWidth="1"/>
    <col min="3" max="3" width="22.7109375" customWidth="1"/>
    <col min="4" max="4" width="54.7109375" customWidth="1"/>
  </cols>
  <sheetData>
    <row r="1" spans="1:5" ht="30" customHeight="1">
      <c r="A1" s="1" t="s">
        <v>0</v>
      </c>
      <c r="B1" s="1"/>
      <c r="C1" s="1"/>
      <c r="D1" s="1"/>
      <c r="E1" s="1"/>
    </row>
    <row r="2" spans="1:5" ht="32.4" customHeight="1">
      <c r="B2" s="2" t="s">
        <v>20</v>
      </c>
      <c r="C2" s="2"/>
      <c r="D2" s="3" t="s">
        <v>2</v>
      </c>
      <c r="E2" s="3"/>
    </row>
    <row r="3" spans="1:5" ht="6" customHeight="1"/>
    <row r="4" spans="1:5" ht="21" customHeight="1">
      <c r="B4" s="8" t="s">
        <v>77</v>
      </c>
      <c r="C4" s="8"/>
      <c r="D4" s="8"/>
    </row>
    <row r="5" spans="1:5" ht="5" customHeight="1"/>
    <row r="6" spans="1:5">
      <c r="B6" s="27" t="s">
        <v>78</v>
      </c>
      <c r="C6" s="28" t="s">
        <v>79</v>
      </c>
      <c r="D6" s="28"/>
    </row>
    <row r="7" spans="1:5">
      <c r="B7" s="27" t="s">
        <v>80</v>
      </c>
      <c r="C7" s="29">
        <v>46304</v>
      </c>
      <c r="D7" s="7"/>
    </row>
    <row r="8" spans="1:5">
      <c r="B8" s="27" t="s">
        <v>81</v>
      </c>
      <c r="C8" s="30">
        <v>0.95</v>
      </c>
      <c r="D8" s="7"/>
    </row>
    <row r="9" spans="1:5">
      <c r="B9" s="27" t="s">
        <v>82</v>
      </c>
      <c r="C9" s="31">
        <v>2</v>
      </c>
      <c r="D9" s="7" t="s">
        <v>83</v>
      </c>
    </row>
    <row r="11" spans="1:5" ht="35.4" customHeight="1">
      <c r="B11" s="25" t="s">
        <v>84</v>
      </c>
      <c r="C11" s="25"/>
      <c r="D11" s="25"/>
    </row>
    <row r="13" spans="1:5" ht="21" customHeight="1">
      <c r="B13" s="8" t="s">
        <v>85</v>
      </c>
      <c r="C13" s="8"/>
      <c r="D13" s="8"/>
    </row>
    <row r="14" spans="1:5" ht="5" customHeight="1"/>
    <row r="15" spans="1:5" ht="38.64" customHeight="1">
      <c r="B15" s="21" t="s">
        <v>86</v>
      </c>
      <c r="C15" s="21"/>
      <c r="D15" s="21"/>
    </row>
    <row r="16" spans="1:5">
      <c r="B16" s="32" t="s">
        <v>87</v>
      </c>
      <c r="C16" s="32"/>
      <c r="D16" s="32"/>
    </row>
    <row r="17" spans="2:4" ht="20" customHeight="1">
      <c r="B17" s="33" t="s">
        <v>66</v>
      </c>
      <c r="C17" s="33" t="s">
        <v>67</v>
      </c>
      <c r="D17" s="33" t="s">
        <v>68</v>
      </c>
    </row>
    <row r="18" spans="2:4">
      <c r="B18" s="28" t="s">
        <v>88</v>
      </c>
      <c r="C18" s="28" t="s">
        <v>89</v>
      </c>
      <c r="D18" s="28" t="s">
        <v>90</v>
      </c>
    </row>
    <row r="19" spans="2:4">
      <c r="B19" s="28" t="s">
        <v>91</v>
      </c>
      <c r="C19" s="28" t="s">
        <v>92</v>
      </c>
      <c r="D19" s="28" t="s">
        <v>93</v>
      </c>
    </row>
    <row r="20" spans="2:4">
      <c r="B20" s="28" t="s">
        <v>94</v>
      </c>
      <c r="C20" s="28" t="s">
        <v>95</v>
      </c>
      <c r="D20" s="28" t="s">
        <v>96</v>
      </c>
    </row>
    <row r="21" spans="2:4">
      <c r="B21" s="28" t="s">
        <v>97</v>
      </c>
      <c r="C21" s="28" t="s">
        <v>95</v>
      </c>
      <c r="D21" s="28" t="s">
        <v>98</v>
      </c>
    </row>
    <row r="22" spans="2:4">
      <c r="B22" s="28" t="s">
        <v>99</v>
      </c>
      <c r="C22" s="28" t="s">
        <v>95</v>
      </c>
      <c r="D22" s="28" t="s">
        <v>100</v>
      </c>
    </row>
    <row r="23" spans="2:4">
      <c r="B23" s="28" t="s">
        <v>101</v>
      </c>
      <c r="C23" s="28" t="s">
        <v>102</v>
      </c>
      <c r="D23" s="28" t="s">
        <v>103</v>
      </c>
    </row>
    <row r="25" spans="2:4">
      <c r="B25" s="32" t="s">
        <v>104</v>
      </c>
      <c r="C25" s="32"/>
      <c r="D25" s="32"/>
    </row>
    <row r="26" spans="2:4" ht="32" customHeight="1">
      <c r="B26" s="33" t="s">
        <v>69</v>
      </c>
      <c r="C26" s="33" t="s">
        <v>70</v>
      </c>
      <c r="D26" s="33" t="s">
        <v>71</v>
      </c>
    </row>
    <row r="27" spans="2:4">
      <c r="B27" s="28" t="s">
        <v>105</v>
      </c>
      <c r="C27" s="34">
        <v>10</v>
      </c>
      <c r="D27" s="28" t="s">
        <v>106</v>
      </c>
    </row>
    <row r="28" spans="2:4">
      <c r="B28" s="28" t="s">
        <v>107</v>
      </c>
      <c r="C28" s="34">
        <v>5</v>
      </c>
      <c r="D28" s="28" t="s">
        <v>108</v>
      </c>
    </row>
    <row r="29" spans="2:4">
      <c r="B29" s="28" t="s">
        <v>109</v>
      </c>
      <c r="C29" s="34">
        <v>1</v>
      </c>
      <c r="D29" s="28" t="s">
        <v>110</v>
      </c>
    </row>
    <row r="30" spans="2:4">
      <c r="B30" s="28" t="s">
        <v>111</v>
      </c>
      <c r="C30" s="34">
        <v>0.25</v>
      </c>
      <c r="D30" s="28" t="s">
        <v>112</v>
      </c>
    </row>
    <row r="32" spans="2:4">
      <c r="B32" s="32" t="s">
        <v>113</v>
      </c>
      <c r="C32" s="32"/>
      <c r="D32" s="32"/>
    </row>
    <row r="33" spans="2:4" ht="20" customHeight="1">
      <c r="B33" s="33" t="s">
        <v>72</v>
      </c>
      <c r="C33" s="33" t="s">
        <v>73</v>
      </c>
      <c r="D33" s="33" t="s">
        <v>74</v>
      </c>
    </row>
    <row r="34" spans="2:4">
      <c r="B34" s="28" t="s">
        <v>114</v>
      </c>
      <c r="C34" s="28" t="s">
        <v>115</v>
      </c>
      <c r="D34" s="28" t="s">
        <v>116</v>
      </c>
    </row>
    <row r="35" spans="2:4">
      <c r="B35" s="28" t="s">
        <v>117</v>
      </c>
      <c r="C35" s="28" t="s">
        <v>115</v>
      </c>
      <c r="D35" s="28" t="s">
        <v>118</v>
      </c>
    </row>
    <row r="36" spans="2:4">
      <c r="B36" s="28" t="s">
        <v>119</v>
      </c>
      <c r="C36" s="28" t="s">
        <v>115</v>
      </c>
      <c r="D36" s="28" t="s">
        <v>120</v>
      </c>
    </row>
    <row r="37" spans="2:4">
      <c r="B37" s="28" t="s">
        <v>121</v>
      </c>
      <c r="C37" s="28" t="s">
        <v>122</v>
      </c>
      <c r="D37" s="28" t="s">
        <v>123</v>
      </c>
    </row>
    <row r="38" spans="2:4">
      <c r="B38" s="28" t="s">
        <v>124</v>
      </c>
      <c r="C38" s="28" t="s">
        <v>122</v>
      </c>
      <c r="D38" s="28" t="s">
        <v>125</v>
      </c>
    </row>
    <row r="39" spans="2:4">
      <c r="B39" s="28" t="s">
        <v>126</v>
      </c>
      <c r="C39" s="28" t="s">
        <v>115</v>
      </c>
      <c r="D39" s="28" t="s">
        <v>127</v>
      </c>
    </row>
    <row r="40" spans="2:4">
      <c r="B40" s="28" t="s">
        <v>128</v>
      </c>
      <c r="C40" s="28" t="s">
        <v>129</v>
      </c>
      <c r="D40" s="28" t="s">
        <v>130</v>
      </c>
    </row>
    <row r="42" spans="2:4">
      <c r="B42" s="32" t="s">
        <v>131</v>
      </c>
      <c r="C42" s="32"/>
      <c r="D42" s="32"/>
    </row>
    <row r="43" spans="2:4" ht="32" customHeight="1">
      <c r="B43" s="33" t="s">
        <v>75</v>
      </c>
      <c r="C43" s="33" t="s">
        <v>76</v>
      </c>
      <c r="D43" s="33" t="s">
        <v>71</v>
      </c>
    </row>
    <row r="44" spans="2:4">
      <c r="B44" s="28" t="s">
        <v>115</v>
      </c>
      <c r="C44" s="31">
        <v>7</v>
      </c>
      <c r="D44" s="28" t="s">
        <v>132</v>
      </c>
    </row>
    <row r="45" spans="2:4">
      <c r="B45" s="28" t="s">
        <v>122</v>
      </c>
      <c r="C45" s="31">
        <v>21</v>
      </c>
      <c r="D45" s="28" t="s">
        <v>133</v>
      </c>
    </row>
    <row r="46" spans="2:4">
      <c r="B46" s="28" t="s">
        <v>129</v>
      </c>
      <c r="C46" s="31">
        <v>2</v>
      </c>
      <c r="D46" s="28" t="s">
        <v>134</v>
      </c>
    </row>
  </sheetData>
  <mergeCells count="12">
    <mergeCell ref="A1:E1"/>
    <mergeCell ref="B2:C2"/>
    <mergeCell ref="D2:E2"/>
    <mergeCell ref="B4:D4"/>
    <mergeCell ref="C6:D6"/>
    <mergeCell ref="B11:D11"/>
    <mergeCell ref="B13:D13"/>
    <mergeCell ref="B15:D15"/>
    <mergeCell ref="B16:D16"/>
    <mergeCell ref="B25:D25"/>
    <mergeCell ref="B32:D32"/>
    <mergeCell ref="B42:D42"/>
  </mergeCells>
  <dataValidations count="16">
    <dataValidation type="textLength" allowBlank="1" showInputMessage="1" showErrorMessage="1" errorTitle="Check this entry" error="Text up to 80 characters." promptTitle="Plant or line name" prompt="Shown on the Dashboard header. Text up to 80 characters." sqref="C6">
      <formula1>0</formula1>
      <formula2>80</formula2>
    </dataValidation>
    <dataValidation type="date" allowBlank="1" showInputMessage="1" showErrorMessage="1" errorTitle="Check this entry" error="Enter a date between 01 Jan 2000 and 31 Dec 2100." promptTitle="Status date (as of)" prompt="The date the logs were last brought up to date. Tag ages and overdue flags are measured to this date; move it forward when you update. Enter a date between 01 Jan 2000 and 31 Dec 2100." sqref="C7">
      <formula1>36526</formula1>
      <formula2>73415</formula2>
    </dataValidation>
    <dataValidation type="decimal" allowBlank="1" showInputMessage="1" showErrorMessage="1" errorTitle="Check this entry" error="Enter a percentage from 0% to 100% (type 85% or 0.85)." promptTitle="Check compliance target" prompt="Share of due checks that should be done. Your own target; there is no universal figure. Enter a percentage from 0% to 100% (type 85% or 0.85)." sqref="C8">
      <formula1>0</formula1>
      <formula2>1</formula2>
    </dataValidation>
    <dataValidation type="whole" allowBlank="1" showInputMessage="1" showErrorMessage="1" errorTitle="Check this entry" error="Enter a whole number from 0 to 365." promptTitle="Tag due soon window" prompt="Open tags due within this many days of the status date read Due soon. Enter a whole number from 0 to 365." sqref="C9">
      <formula1>0</formula1>
      <formula2>365</formula2>
    </dataValidation>
    <dataValidation type="textLength" allowBlank="1" showInputMessage="1" showErrorMessage="1" errorTitle="Check this entry" error="Text up to 30 characters." promptTitle="Machine" prompt="Text up to 30 characters." sqref="B18:B123">
      <formula1>0</formula1>
      <formula2>30</formula2>
    </dataValidation>
    <dataValidation type="textLength" allowBlank="1" showInputMessage="1" showErrorMessage="1" errorTitle="Check this entry" error="Text up to 40 characters." promptTitle="Area" prompt="Text up to 40 characters." sqref="C18:C123">
      <formula1>0</formula1>
      <formula2>40</formula2>
    </dataValidation>
    <dataValidation type="textLength" allowBlank="1" showInputMessage="1" showErrorMessage="1" errorTitle="Check this entry" error="Text up to 80 characters." promptTitle="Description" prompt="Text up to 80 characters." sqref="D18:D123">
      <formula1>0</formula1>
      <formula2>80</formula2>
    </dataValidation>
    <dataValidation type="textLength" allowBlank="1" showInputMessage="1" showErrorMessage="1" errorTitle="Check this entry" error="Text up to 30 characters." promptTitle="Frequency" prompt="Text up to 30 characters." sqref="B27:B130">
      <formula1>0</formula1>
      <formula2>30</formula2>
    </dataValidation>
    <dataValidation type="decimal" allowBlank="1" showInputMessage="1" showErrorMessage="1" errorTitle="Check this entry" error="Enter a number from 0 to 100." promptTitle="Checks per week" prompt="How many times a point with this frequency is checked in a normal week (Each shift: shifts per day x days). Enter a number from 0 to 100." sqref="C27:C130">
      <formula1>0</formula1>
      <formula2>100</formula2>
    </dataValidation>
    <dataValidation type="textLength" allowBlank="1" showInputMessage="1" showErrorMessage="1" errorTitle="Check this entry" error="Text up to 80 characters." promptTitle="Meaning" prompt="Text up to 80 characters." sqref="D27:D130">
      <formula1>0</formula1>
      <formula2>80</formula2>
    </dataValidation>
    <dataValidation type="textLength" allowBlank="1" showInputMessage="1" showErrorMessage="1" errorTitle="Check this entry" error="Text up to 40 characters." promptTitle="Abnormality type" prompt="Text up to 40 characters." sqref="B34:B140">
      <formula1>0</formula1>
      <formula2>40</formula2>
    </dataValidation>
    <dataValidation type="textLength" allowBlank="1" showInputMessage="1" showErrorMessage="1" errorTitle="Check this entry" error="Text up to 30 characters." promptTitle="Usual tag" prompt="The tag type this kind of abnormality usually gets (a hint; choose per tag). Text up to 30 characters." sqref="C34:C140">
      <formula1>0</formula1>
      <formula2>30</formula2>
    </dataValidation>
    <dataValidation type="textLength" allowBlank="1" showInputMessage="1" showErrorMessage="1" errorTitle="Check this entry" error="Text up to 120 characters." promptTitle="Examples" prompt="Text up to 120 characters." sqref="D34:D140">
      <formula1>0</formula1>
      <formula2>120</formula2>
    </dataValidation>
    <dataValidation type="textLength" allowBlank="1" showInputMessage="1" showErrorMessage="1" errorTitle="Check this entry" error="Text up to 30 characters." promptTitle="Tag type" prompt="Text up to 30 characters." sqref="B44:B146">
      <formula1>0</formula1>
      <formula2>30</formula2>
    </dataValidation>
    <dataValidation type="whole" allowBlank="1" showInputMessage="1" showErrorMessage="1" errorTitle="Check this entry" error="Enter a whole number from 0 to 3,650." promptTitle="Target (days)" prompt="Calendar days allowed from finding the abnormality to closing the tag. Enter a whole number from 0 to 3,650." sqref="C44:C146">
      <formula1>0</formula1>
      <formula2>3650</formula2>
    </dataValidation>
    <dataValidation type="textLength" allowBlank="1" showInputMessage="1" showErrorMessage="1" errorTitle="Check this entry" error="Text up to 80 characters." promptTitle="Meaning" prompt="Text up to 80 characters." sqref="D44:D146">
      <formula1>0</formula1>
      <formula2>80</formula2>
    </dataValidation>
  </dataValidations>
  <hyperlinks>
    <hyperlink ref="D2" r:id="rId1" tooltip="Free manufacturing calculators and templates"/>
  </hyperlinks>
  <pageMargins left="0.4" right="0.4" top="0.7" bottom="0.65" header="0.3" footer="0.3"/>
  <pageSetup fitToHeight="0" orientation="landscape"/>
  <headerFooter>
    <oddHeader>&amp;L&amp;8MFG Calcs - TPM Autonomous Maintenance Checklist&amp;R&amp;8&amp;A</oddHeader>
    <oddFooter>&amp;L&amp;8mfgcalcs.com - free manufacturing templates&amp;R&amp;8Page &amp;P of &amp;N</oddFooter>
  </headerFooter>
  <rowBreaks count="1" manualBreakCount="1">
    <brk id="24" max="16383" man="1"/>
  </rowBreaks>
  <tableParts count="4">
    <tablePart r:id="rId2"/>
    <tablePart r:id="rId3"/>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M44"/>
  <sheetViews>
    <sheetView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2.7109375" customWidth="1"/>
    <col min="2" max="2" width="9.7109375" customWidth="1"/>
    <col min="3" max="3" width="7.28515625" customWidth="1"/>
    <col min="4" max="4" width="10.28515625" customWidth="1"/>
    <col min="5" max="5" width="34.7109375" customWidth="1"/>
    <col min="6" max="6" width="40.7109375" customWidth="1"/>
    <col min="7" max="7" width="30.7109375" customWidth="1"/>
    <col min="8" max="8" width="11.28515625" customWidth="1"/>
    <col min="9" max="9" width="8.28515625" customWidth="1"/>
    <col min="10" max="10" width="10.7109375" customWidth="1"/>
    <col min="11" max="12" width="9.28515625" customWidth="1"/>
    <col min="13" max="13" width="22.7109375" customWidth="1"/>
  </cols>
  <sheetData>
    <row r="1" spans="1:13" ht="30" customHeight="1" x14ac:dyDescent="0.25">
      <c r="A1" s="1" t="s">
        <v>0</v>
      </c>
      <c r="B1" s="1"/>
      <c r="C1" s="1"/>
      <c r="D1" s="1"/>
      <c r="E1" s="1"/>
      <c r="F1" s="1"/>
      <c r="G1" s="1"/>
      <c r="H1" s="1"/>
      <c r="I1" s="1"/>
      <c r="J1" s="1"/>
      <c r="K1" s="1"/>
      <c r="L1" s="1"/>
      <c r="M1" s="1"/>
    </row>
    <row r="2" spans="1:13" ht="21" customHeight="1" x14ac:dyDescent="0.25">
      <c r="B2" s="2" t="s">
        <v>22</v>
      </c>
      <c r="C2" s="2"/>
      <c r="D2" s="2"/>
      <c r="E2" s="2"/>
      <c r="F2" s="2"/>
      <c r="G2" s="2"/>
      <c r="H2" s="2"/>
      <c r="I2" s="2"/>
      <c r="J2" s="2"/>
      <c r="K2" s="2"/>
      <c r="L2" s="2"/>
      <c r="M2" s="3" t="s">
        <v>2</v>
      </c>
    </row>
    <row r="3" spans="1:13" ht="6" customHeight="1" x14ac:dyDescent="0.25"/>
    <row r="4" spans="1:13" ht="29.76" customHeight="1" x14ac:dyDescent="0.25">
      <c r="B4" s="35" t="s">
        <v>144</v>
      </c>
      <c r="C4" s="35"/>
      <c r="D4" s="35"/>
      <c r="E4" s="35"/>
      <c r="F4" s="35"/>
      <c r="G4" s="35"/>
      <c r="H4" s="35"/>
      <c r="I4" s="35"/>
      <c r="J4" s="35"/>
      <c r="K4" s="35"/>
      <c r="L4" s="35"/>
      <c r="M4" s="35"/>
    </row>
    <row r="5" spans="1:13" ht="32" customHeight="1" x14ac:dyDescent="0.25">
      <c r="B5" s="33" t="s">
        <v>66</v>
      </c>
      <c r="C5" s="33" t="s">
        <v>135</v>
      </c>
      <c r="D5" s="33" t="s">
        <v>136</v>
      </c>
      <c r="E5" s="33" t="s">
        <v>137</v>
      </c>
      <c r="F5" s="33" t="s">
        <v>138</v>
      </c>
      <c r="G5" s="33" t="s">
        <v>139</v>
      </c>
      <c r="H5" s="33" t="s">
        <v>69</v>
      </c>
      <c r="I5" s="33" t="s">
        <v>140</v>
      </c>
      <c r="J5" s="33" t="s">
        <v>141</v>
      </c>
      <c r="K5" s="33" t="s">
        <v>70</v>
      </c>
      <c r="L5" s="33" t="s">
        <v>142</v>
      </c>
      <c r="M5" s="33" t="s">
        <v>143</v>
      </c>
    </row>
    <row r="6" spans="1:13" x14ac:dyDescent="0.25">
      <c r="B6" s="28" t="s">
        <v>88</v>
      </c>
      <c r="C6" s="31">
        <v>1</v>
      </c>
      <c r="D6" s="28" t="s">
        <v>145</v>
      </c>
      <c r="E6" s="36" t="s">
        <v>146</v>
      </c>
      <c r="F6" s="36" t="s">
        <v>147</v>
      </c>
      <c r="G6" s="36" t="s">
        <v>148</v>
      </c>
      <c r="H6" s="28" t="s">
        <v>107</v>
      </c>
      <c r="I6" s="37">
        <v>10</v>
      </c>
      <c r="J6" s="28" t="s">
        <v>149</v>
      </c>
      <c r="K6" s="38">
        <f>IF(tblStandard[[#This Row],[Machine]]="","",IFERROR(INDEX(tblFrequencies[Checks per week],MATCH(tblStandard[[#This Row],[Frequency]],tblFrequencies[Frequency],0)),""))</f>
        <v>5</v>
      </c>
      <c r="L6" s="39">
        <f>IF(tblStandard[[#This Row],[Machine]]="","",IF(tblStandard[[#This Row],[Checks per week]]="","",tblStandard[[#This Row],[Time (min)]]*tblStandard[[#This Row],[Checks per week]]))</f>
        <v>50</v>
      </c>
      <c r="M6"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7" spans="1:13" x14ac:dyDescent="0.25">
      <c r="B7" s="28" t="s">
        <v>88</v>
      </c>
      <c r="C7" s="31">
        <v>2</v>
      </c>
      <c r="D7" s="28" t="s">
        <v>150</v>
      </c>
      <c r="E7" s="36" t="s">
        <v>151</v>
      </c>
      <c r="F7" s="36" t="s">
        <v>152</v>
      </c>
      <c r="G7" s="36" t="s">
        <v>153</v>
      </c>
      <c r="H7" s="28" t="s">
        <v>105</v>
      </c>
      <c r="I7" s="37">
        <v>1</v>
      </c>
      <c r="J7" s="28" t="s">
        <v>149</v>
      </c>
      <c r="K7" s="38">
        <f>IF(tblStandard[[#This Row],[Machine]]="","",IFERROR(INDEX(tblFrequencies[Checks per week],MATCH(tblStandard[[#This Row],[Frequency]],tblFrequencies[Frequency],0)),""))</f>
        <v>10</v>
      </c>
      <c r="L7" s="39">
        <f>IF(tblStandard[[#This Row],[Machine]]="","",IF(tblStandard[[#This Row],[Checks per week]]="","",tblStandard[[#This Row],[Time (min)]]*tblStandard[[#This Row],[Checks per week]]))</f>
        <v>10</v>
      </c>
      <c r="M7"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8" spans="1:13" x14ac:dyDescent="0.25">
      <c r="B8" s="28" t="s">
        <v>88</v>
      </c>
      <c r="C8" s="31">
        <v>3</v>
      </c>
      <c r="D8" s="28" t="s">
        <v>150</v>
      </c>
      <c r="E8" s="36" t="s">
        <v>154</v>
      </c>
      <c r="F8" s="36" t="s">
        <v>155</v>
      </c>
      <c r="G8" s="36" t="s">
        <v>153</v>
      </c>
      <c r="H8" s="28" t="s">
        <v>107</v>
      </c>
      <c r="I8" s="37">
        <v>1</v>
      </c>
      <c r="J8" s="28" t="s">
        <v>149</v>
      </c>
      <c r="K8" s="38">
        <f>IF(tblStandard[[#This Row],[Machine]]="","",IFERROR(INDEX(tblFrequencies[Checks per week],MATCH(tblStandard[[#This Row],[Frequency]],tblFrequencies[Frequency],0)),""))</f>
        <v>5</v>
      </c>
      <c r="L8" s="39">
        <f>IF(tblStandard[[#This Row],[Machine]]="","",IF(tblStandard[[#This Row],[Checks per week]]="","",tblStandard[[#This Row],[Time (min)]]*tblStandard[[#This Row],[Checks per week]]))</f>
        <v>5</v>
      </c>
      <c r="M8"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9" spans="1:13" x14ac:dyDescent="0.25">
      <c r="B9" s="28" t="s">
        <v>88</v>
      </c>
      <c r="C9" s="31">
        <v>4</v>
      </c>
      <c r="D9" s="28" t="s">
        <v>156</v>
      </c>
      <c r="E9" s="36" t="s">
        <v>157</v>
      </c>
      <c r="F9" s="36" t="s">
        <v>158</v>
      </c>
      <c r="G9" s="36" t="s">
        <v>159</v>
      </c>
      <c r="H9" s="28" t="s">
        <v>109</v>
      </c>
      <c r="I9" s="37">
        <v>5</v>
      </c>
      <c r="J9" s="28" t="s">
        <v>149</v>
      </c>
      <c r="K9" s="38">
        <f>IF(tblStandard[[#This Row],[Machine]]="","",IFERROR(INDEX(tblFrequencies[Checks per week],MATCH(tblStandard[[#This Row],[Frequency]],tblFrequencies[Frequency],0)),""))</f>
        <v>1</v>
      </c>
      <c r="L9" s="39">
        <f>IF(tblStandard[[#This Row],[Machine]]="","",IF(tblStandard[[#This Row],[Checks per week]]="","",tblStandard[[#This Row],[Time (min)]]*tblStandard[[#This Row],[Checks per week]]))</f>
        <v>5</v>
      </c>
      <c r="M9"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10" spans="1:13" x14ac:dyDescent="0.25">
      <c r="B10" s="28" t="s">
        <v>88</v>
      </c>
      <c r="C10" s="31">
        <v>5</v>
      </c>
      <c r="D10" s="28" t="s">
        <v>160</v>
      </c>
      <c r="E10" s="36" t="s">
        <v>161</v>
      </c>
      <c r="F10" s="36" t="s">
        <v>162</v>
      </c>
      <c r="G10" s="36" t="s">
        <v>163</v>
      </c>
      <c r="H10" s="28" t="s">
        <v>109</v>
      </c>
      <c r="I10" s="37">
        <v>5</v>
      </c>
      <c r="J10" s="28" t="s">
        <v>149</v>
      </c>
      <c r="K10" s="38">
        <f>IF(tblStandard[[#This Row],[Machine]]="","",IFERROR(INDEX(tblFrequencies[Checks per week],MATCH(tblStandard[[#This Row],[Frequency]],tblFrequencies[Frequency],0)),""))</f>
        <v>1</v>
      </c>
      <c r="L10" s="39">
        <f>IF(tblStandard[[#This Row],[Machine]]="","",IF(tblStandard[[#This Row],[Checks per week]]="","",tblStandard[[#This Row],[Time (min)]]*tblStandard[[#This Row],[Checks per week]]))</f>
        <v>5</v>
      </c>
      <c r="M10"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11" spans="1:13" x14ac:dyDescent="0.25">
      <c r="B11" s="28" t="s">
        <v>88</v>
      </c>
      <c r="C11" s="31">
        <v>6</v>
      </c>
      <c r="D11" s="28" t="s">
        <v>145</v>
      </c>
      <c r="E11" s="36" t="s">
        <v>164</v>
      </c>
      <c r="F11" s="36" t="s">
        <v>165</v>
      </c>
      <c r="G11" s="36" t="s">
        <v>166</v>
      </c>
      <c r="H11" s="28" t="s">
        <v>109</v>
      </c>
      <c r="I11" s="37">
        <v>8</v>
      </c>
      <c r="J11" s="28" t="s">
        <v>149</v>
      </c>
      <c r="K11" s="38">
        <f>IF(tblStandard[[#This Row],[Machine]]="","",IFERROR(INDEX(tblFrequencies[Checks per week],MATCH(tblStandard[[#This Row],[Frequency]],tblFrequencies[Frequency],0)),""))</f>
        <v>1</v>
      </c>
      <c r="L11" s="39">
        <f>IF(tblStandard[[#This Row],[Machine]]="","",IF(tblStandard[[#This Row],[Checks per week]]="","",tblStandard[[#This Row],[Time (min)]]*tblStandard[[#This Row],[Checks per week]]))</f>
        <v>8</v>
      </c>
      <c r="M11"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12" spans="1:13" x14ac:dyDescent="0.25">
      <c r="B12" s="28" t="s">
        <v>88</v>
      </c>
      <c r="C12" s="31">
        <v>7</v>
      </c>
      <c r="D12" s="28" t="s">
        <v>150</v>
      </c>
      <c r="E12" s="36" t="s">
        <v>167</v>
      </c>
      <c r="F12" s="36" t="s">
        <v>168</v>
      </c>
      <c r="G12" s="36" t="s">
        <v>153</v>
      </c>
      <c r="H12" s="28" t="s">
        <v>105</v>
      </c>
      <c r="I12" s="37">
        <v>1</v>
      </c>
      <c r="J12" s="28" t="s">
        <v>149</v>
      </c>
      <c r="K12" s="38">
        <f>IF(tblStandard[[#This Row],[Machine]]="","",IFERROR(INDEX(tblFrequencies[Checks per week],MATCH(tblStandard[[#This Row],[Frequency]],tblFrequencies[Frequency],0)),""))</f>
        <v>10</v>
      </c>
      <c r="L12" s="39">
        <f>IF(tblStandard[[#This Row],[Machine]]="","",IF(tblStandard[[#This Row],[Checks per week]]="","",tblStandard[[#This Row],[Time (min)]]*tblStandard[[#This Row],[Checks per week]]))</f>
        <v>10</v>
      </c>
      <c r="M12"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13" spans="1:13" x14ac:dyDescent="0.25">
      <c r="B13" s="28" t="s">
        <v>91</v>
      </c>
      <c r="C13" s="31">
        <v>1</v>
      </c>
      <c r="D13" s="28" t="s">
        <v>145</v>
      </c>
      <c r="E13" s="36" t="s">
        <v>169</v>
      </c>
      <c r="F13" s="36" t="s">
        <v>170</v>
      </c>
      <c r="G13" s="36" t="s">
        <v>171</v>
      </c>
      <c r="H13" s="28" t="s">
        <v>107</v>
      </c>
      <c r="I13" s="37">
        <v>15</v>
      </c>
      <c r="J13" s="28" t="s">
        <v>149</v>
      </c>
      <c r="K13" s="38">
        <f>IF(tblStandard[[#This Row],[Machine]]="","",IFERROR(INDEX(tblFrequencies[Checks per week],MATCH(tblStandard[[#This Row],[Frequency]],tblFrequencies[Frequency],0)),""))</f>
        <v>5</v>
      </c>
      <c r="L13" s="39">
        <f>IF(tblStandard[[#This Row],[Machine]]="","",IF(tblStandard[[#This Row],[Checks per week]]="","",tblStandard[[#This Row],[Time (min)]]*tblStandard[[#This Row],[Checks per week]]))</f>
        <v>75</v>
      </c>
      <c r="M13"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14" spans="1:13" x14ac:dyDescent="0.25">
      <c r="B14" s="28" t="s">
        <v>91</v>
      </c>
      <c r="C14" s="31">
        <v>2</v>
      </c>
      <c r="D14" s="28" t="s">
        <v>150</v>
      </c>
      <c r="E14" s="36" t="s">
        <v>172</v>
      </c>
      <c r="F14" s="36" t="s">
        <v>173</v>
      </c>
      <c r="G14" s="36" t="s">
        <v>174</v>
      </c>
      <c r="H14" s="28" t="s">
        <v>105</v>
      </c>
      <c r="I14" s="37">
        <v>2</v>
      </c>
      <c r="J14" s="28" t="s">
        <v>149</v>
      </c>
      <c r="K14" s="38">
        <f>IF(tblStandard[[#This Row],[Machine]]="","",IFERROR(INDEX(tblFrequencies[Checks per week],MATCH(tblStandard[[#This Row],[Frequency]],tblFrequencies[Frequency],0)),""))</f>
        <v>10</v>
      </c>
      <c r="L14" s="39">
        <f>IF(tblStandard[[#This Row],[Machine]]="","",IF(tblStandard[[#This Row],[Checks per week]]="","",tblStandard[[#This Row],[Time (min)]]*tblStandard[[#This Row],[Checks per week]]))</f>
        <v>20</v>
      </c>
      <c r="M14"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15" spans="1:13" x14ac:dyDescent="0.25">
      <c r="B15" s="28" t="s">
        <v>91</v>
      </c>
      <c r="C15" s="31">
        <v>3</v>
      </c>
      <c r="D15" s="28" t="s">
        <v>145</v>
      </c>
      <c r="E15" s="36" t="s">
        <v>175</v>
      </c>
      <c r="F15" s="36" t="s">
        <v>176</v>
      </c>
      <c r="G15" s="36" t="s">
        <v>177</v>
      </c>
      <c r="H15" s="28" t="s">
        <v>107</v>
      </c>
      <c r="I15" s="37">
        <v>10</v>
      </c>
      <c r="J15" s="28" t="s">
        <v>149</v>
      </c>
      <c r="K15" s="38">
        <f>IF(tblStandard[[#This Row],[Machine]]="","",IFERROR(INDEX(tblFrequencies[Checks per week],MATCH(tblStandard[[#This Row],[Frequency]],tblFrequencies[Frequency],0)),""))</f>
        <v>5</v>
      </c>
      <c r="L15" s="39">
        <f>IF(tblStandard[[#This Row],[Machine]]="","",IF(tblStandard[[#This Row],[Checks per week]]="","",tblStandard[[#This Row],[Time (min)]]*tblStandard[[#This Row],[Checks per week]]))</f>
        <v>50</v>
      </c>
      <c r="M15"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16" spans="1:13" x14ac:dyDescent="0.25">
      <c r="B16" s="28" t="s">
        <v>91</v>
      </c>
      <c r="C16" s="31">
        <v>4</v>
      </c>
      <c r="D16" s="28" t="s">
        <v>156</v>
      </c>
      <c r="E16" s="36" t="s">
        <v>178</v>
      </c>
      <c r="F16" s="36" t="s">
        <v>179</v>
      </c>
      <c r="G16" s="36" t="s">
        <v>180</v>
      </c>
      <c r="H16" s="28" t="s">
        <v>109</v>
      </c>
      <c r="I16" s="37">
        <v>6</v>
      </c>
      <c r="J16" s="28" t="s">
        <v>149</v>
      </c>
      <c r="K16" s="38">
        <f>IF(tblStandard[[#This Row],[Machine]]="","",IFERROR(INDEX(tblFrequencies[Checks per week],MATCH(tblStandard[[#This Row],[Frequency]],tblFrequencies[Frequency],0)),""))</f>
        <v>1</v>
      </c>
      <c r="L16" s="39">
        <f>IF(tblStandard[[#This Row],[Machine]]="","",IF(tblStandard[[#This Row],[Checks per week]]="","",tblStandard[[#This Row],[Time (min)]]*tblStandard[[#This Row],[Checks per week]]))</f>
        <v>6</v>
      </c>
      <c r="M16"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17" spans="2:13" x14ac:dyDescent="0.25">
      <c r="B17" s="28" t="s">
        <v>91</v>
      </c>
      <c r="C17" s="31">
        <v>5</v>
      </c>
      <c r="D17" s="28" t="s">
        <v>150</v>
      </c>
      <c r="E17" s="36" t="s">
        <v>181</v>
      </c>
      <c r="F17" s="36" t="s">
        <v>182</v>
      </c>
      <c r="G17" s="36" t="s">
        <v>153</v>
      </c>
      <c r="H17" s="28" t="s">
        <v>107</v>
      </c>
      <c r="I17" s="37">
        <v>1</v>
      </c>
      <c r="J17" s="28" t="s">
        <v>149</v>
      </c>
      <c r="K17" s="38">
        <f>IF(tblStandard[[#This Row],[Machine]]="","",IFERROR(INDEX(tblFrequencies[Checks per week],MATCH(tblStandard[[#This Row],[Frequency]],tblFrequencies[Frequency],0)),""))</f>
        <v>5</v>
      </c>
      <c r="L17" s="39">
        <f>IF(tblStandard[[#This Row],[Machine]]="","",IF(tblStandard[[#This Row],[Checks per week]]="","",tblStandard[[#This Row],[Time (min)]]*tblStandard[[#This Row],[Checks per week]]))</f>
        <v>5</v>
      </c>
      <c r="M17"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18" spans="2:13" x14ac:dyDescent="0.25">
      <c r="B18" s="28" t="s">
        <v>91</v>
      </c>
      <c r="C18" s="31">
        <v>6</v>
      </c>
      <c r="D18" s="28" t="s">
        <v>160</v>
      </c>
      <c r="E18" s="36" t="s">
        <v>183</v>
      </c>
      <c r="F18" s="36" t="s">
        <v>184</v>
      </c>
      <c r="G18" s="36" t="s">
        <v>153</v>
      </c>
      <c r="H18" s="28" t="s">
        <v>105</v>
      </c>
      <c r="I18" s="37">
        <v>1</v>
      </c>
      <c r="J18" s="28" t="s">
        <v>149</v>
      </c>
      <c r="K18" s="38">
        <f>IF(tblStandard[[#This Row],[Machine]]="","",IFERROR(INDEX(tblFrequencies[Checks per week],MATCH(tblStandard[[#This Row],[Frequency]],tblFrequencies[Frequency],0)),""))</f>
        <v>10</v>
      </c>
      <c r="L18" s="39">
        <f>IF(tblStandard[[#This Row],[Machine]]="","",IF(tblStandard[[#This Row],[Checks per week]]="","",tblStandard[[#This Row],[Time (min)]]*tblStandard[[#This Row],[Checks per week]]))</f>
        <v>10</v>
      </c>
      <c r="M18"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19" spans="2:13" x14ac:dyDescent="0.25">
      <c r="B19" s="28" t="s">
        <v>91</v>
      </c>
      <c r="C19" s="31">
        <v>7</v>
      </c>
      <c r="D19" s="28" t="s">
        <v>150</v>
      </c>
      <c r="E19" s="36" t="s">
        <v>185</v>
      </c>
      <c r="F19" s="36" t="s">
        <v>186</v>
      </c>
      <c r="G19" s="36" t="s">
        <v>187</v>
      </c>
      <c r="H19" s="28" t="s">
        <v>105</v>
      </c>
      <c r="I19" s="37">
        <v>1</v>
      </c>
      <c r="J19" s="28" t="s">
        <v>149</v>
      </c>
      <c r="K19" s="38">
        <f>IF(tblStandard[[#This Row],[Machine]]="","",IFERROR(INDEX(tblFrequencies[Checks per week],MATCH(tblStandard[[#This Row],[Frequency]],tblFrequencies[Frequency],0)),""))</f>
        <v>10</v>
      </c>
      <c r="L19" s="39">
        <f>IF(tblStandard[[#This Row],[Machine]]="","",IF(tblStandard[[#This Row],[Checks per week]]="","",tblStandard[[#This Row],[Time (min)]]*tblStandard[[#This Row],[Checks per week]]))</f>
        <v>10</v>
      </c>
      <c r="M19"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20" spans="2:13" x14ac:dyDescent="0.25">
      <c r="B20" s="28" t="s">
        <v>94</v>
      </c>
      <c r="C20" s="31">
        <v>1</v>
      </c>
      <c r="D20" s="28" t="s">
        <v>145</v>
      </c>
      <c r="E20" s="36" t="s">
        <v>188</v>
      </c>
      <c r="F20" s="36" t="s">
        <v>189</v>
      </c>
      <c r="G20" s="36" t="s">
        <v>190</v>
      </c>
      <c r="H20" s="28" t="s">
        <v>107</v>
      </c>
      <c r="I20" s="37">
        <v>12</v>
      </c>
      <c r="J20" s="28" t="s">
        <v>149</v>
      </c>
      <c r="K20" s="38">
        <f>IF(tblStandard[[#This Row],[Machine]]="","",IFERROR(INDEX(tblFrequencies[Checks per week],MATCH(tblStandard[[#This Row],[Frequency]],tblFrequencies[Frequency],0)),""))</f>
        <v>5</v>
      </c>
      <c r="L20" s="39">
        <f>IF(tblStandard[[#This Row],[Machine]]="","",IF(tblStandard[[#This Row],[Checks per week]]="","",tblStandard[[#This Row],[Time (min)]]*tblStandard[[#This Row],[Checks per week]]))</f>
        <v>60</v>
      </c>
      <c r="M20"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21" spans="2:13" x14ac:dyDescent="0.25">
      <c r="B21" s="28" t="s">
        <v>94</v>
      </c>
      <c r="C21" s="31">
        <v>2</v>
      </c>
      <c r="D21" s="28" t="s">
        <v>150</v>
      </c>
      <c r="E21" s="36" t="s">
        <v>191</v>
      </c>
      <c r="F21" s="36" t="s">
        <v>192</v>
      </c>
      <c r="G21" s="36" t="s">
        <v>153</v>
      </c>
      <c r="H21" s="28" t="s">
        <v>105</v>
      </c>
      <c r="I21" s="37">
        <v>1</v>
      </c>
      <c r="J21" s="28" t="s">
        <v>149</v>
      </c>
      <c r="K21" s="38">
        <f>IF(tblStandard[[#This Row],[Machine]]="","",IFERROR(INDEX(tblFrequencies[Checks per week],MATCH(tblStandard[[#This Row],[Frequency]],tblFrequencies[Frequency],0)),""))</f>
        <v>10</v>
      </c>
      <c r="L21" s="39">
        <f>IF(tblStandard[[#This Row],[Machine]]="","",IF(tblStandard[[#This Row],[Checks per week]]="","",tblStandard[[#This Row],[Time (min)]]*tblStandard[[#This Row],[Checks per week]]))</f>
        <v>10</v>
      </c>
      <c r="M21"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22" spans="2:13" x14ac:dyDescent="0.25">
      <c r="B22" s="28" t="s">
        <v>94</v>
      </c>
      <c r="C22" s="31">
        <v>3</v>
      </c>
      <c r="D22" s="28" t="s">
        <v>156</v>
      </c>
      <c r="E22" s="36" t="s">
        <v>193</v>
      </c>
      <c r="F22" s="36" t="s">
        <v>158</v>
      </c>
      <c r="G22" s="36" t="s">
        <v>194</v>
      </c>
      <c r="H22" s="28" t="s">
        <v>109</v>
      </c>
      <c r="I22" s="37">
        <v>4</v>
      </c>
      <c r="J22" s="28" t="s">
        <v>149</v>
      </c>
      <c r="K22" s="38">
        <f>IF(tblStandard[[#This Row],[Machine]]="","",IFERROR(INDEX(tblFrequencies[Checks per week],MATCH(tblStandard[[#This Row],[Frequency]],tblFrequencies[Frequency],0)),""))</f>
        <v>1</v>
      </c>
      <c r="L22" s="39">
        <f>IF(tblStandard[[#This Row],[Machine]]="","",IF(tblStandard[[#This Row],[Checks per week]]="","",tblStandard[[#This Row],[Time (min)]]*tblStandard[[#This Row],[Checks per week]]))</f>
        <v>4</v>
      </c>
      <c r="M22"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23" spans="2:13" x14ac:dyDescent="0.25">
      <c r="B23" s="28" t="s">
        <v>94</v>
      </c>
      <c r="C23" s="31">
        <v>4</v>
      </c>
      <c r="D23" s="28" t="s">
        <v>150</v>
      </c>
      <c r="E23" s="36" t="s">
        <v>195</v>
      </c>
      <c r="F23" s="36" t="s">
        <v>196</v>
      </c>
      <c r="G23" s="36" t="s">
        <v>187</v>
      </c>
      <c r="H23" s="28" t="s">
        <v>105</v>
      </c>
      <c r="I23" s="37">
        <v>1</v>
      </c>
      <c r="J23" s="28" t="s">
        <v>149</v>
      </c>
      <c r="K23" s="38">
        <f>IF(tblStandard[[#This Row],[Machine]]="","",IFERROR(INDEX(tblFrequencies[Checks per week],MATCH(tblStandard[[#This Row],[Frequency]],tblFrequencies[Frequency],0)),""))</f>
        <v>10</v>
      </c>
      <c r="L23" s="39">
        <f>IF(tblStandard[[#This Row],[Machine]]="","",IF(tblStandard[[#This Row],[Checks per week]]="","",tblStandard[[#This Row],[Time (min)]]*tblStandard[[#This Row],[Checks per week]]))</f>
        <v>10</v>
      </c>
      <c r="M23"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24" spans="2:13" x14ac:dyDescent="0.25">
      <c r="B24" s="28" t="s">
        <v>94</v>
      </c>
      <c r="C24" s="31">
        <v>5</v>
      </c>
      <c r="D24" s="28" t="s">
        <v>145</v>
      </c>
      <c r="E24" s="36" t="s">
        <v>197</v>
      </c>
      <c r="F24" s="36" t="s">
        <v>198</v>
      </c>
      <c r="G24" s="36" t="s">
        <v>199</v>
      </c>
      <c r="H24" s="28" t="s">
        <v>109</v>
      </c>
      <c r="I24" s="37">
        <v>15</v>
      </c>
      <c r="J24" s="28" t="s">
        <v>149</v>
      </c>
      <c r="K24" s="38">
        <f>IF(tblStandard[[#This Row],[Machine]]="","",IFERROR(INDEX(tblFrequencies[Checks per week],MATCH(tblStandard[[#This Row],[Frequency]],tblFrequencies[Frequency],0)),""))</f>
        <v>1</v>
      </c>
      <c r="L24" s="39">
        <f>IF(tblStandard[[#This Row],[Machine]]="","",IF(tblStandard[[#This Row],[Checks per week]]="","",tblStandard[[#This Row],[Time (min)]]*tblStandard[[#This Row],[Checks per week]]))</f>
        <v>15</v>
      </c>
      <c r="M24"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25" spans="2:13" x14ac:dyDescent="0.25">
      <c r="B25" s="28" t="s">
        <v>94</v>
      </c>
      <c r="C25" s="31">
        <v>6</v>
      </c>
      <c r="D25" s="28" t="s">
        <v>160</v>
      </c>
      <c r="E25" s="36" t="s">
        <v>200</v>
      </c>
      <c r="F25" s="36" t="s">
        <v>201</v>
      </c>
      <c r="G25" s="36" t="s">
        <v>202</v>
      </c>
      <c r="H25" s="28" t="s">
        <v>111</v>
      </c>
      <c r="I25" s="37">
        <v>10</v>
      </c>
      <c r="J25" s="28" t="s">
        <v>149</v>
      </c>
      <c r="K25" s="38">
        <f>IF(tblStandard[[#This Row],[Machine]]="","",IFERROR(INDEX(tblFrequencies[Checks per week],MATCH(tblStandard[[#This Row],[Frequency]],tblFrequencies[Frequency],0)),""))</f>
        <v>0.25</v>
      </c>
      <c r="L25" s="39">
        <f>IF(tblStandard[[#This Row],[Machine]]="","",IF(tblStandard[[#This Row],[Checks per week]]="","",tblStandard[[#This Row],[Time (min)]]*tblStandard[[#This Row],[Checks per week]]))</f>
        <v>2.5</v>
      </c>
      <c r="M25"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26" spans="2:13" x14ac:dyDescent="0.25">
      <c r="B26" s="28" t="s">
        <v>97</v>
      </c>
      <c r="C26" s="31">
        <v>1</v>
      </c>
      <c r="D26" s="28" t="s">
        <v>145</v>
      </c>
      <c r="E26" s="36" t="s">
        <v>203</v>
      </c>
      <c r="F26" s="36" t="s">
        <v>204</v>
      </c>
      <c r="G26" s="36" t="s">
        <v>205</v>
      </c>
      <c r="H26" s="28" t="s">
        <v>105</v>
      </c>
      <c r="I26" s="37">
        <v>3</v>
      </c>
      <c r="J26" s="28" t="s">
        <v>149</v>
      </c>
      <c r="K26" s="38">
        <f>IF(tblStandard[[#This Row],[Machine]]="","",IFERROR(INDEX(tblFrequencies[Checks per week],MATCH(tblStandard[[#This Row],[Frequency]],tblFrequencies[Frequency],0)),""))</f>
        <v>10</v>
      </c>
      <c r="L26" s="39">
        <f>IF(tblStandard[[#This Row],[Machine]]="","",IF(tblStandard[[#This Row],[Checks per week]]="","",tblStandard[[#This Row],[Time (min)]]*tblStandard[[#This Row],[Checks per week]]))</f>
        <v>30</v>
      </c>
      <c r="M26"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27" spans="2:13" x14ac:dyDescent="0.25">
      <c r="B27" s="28" t="s">
        <v>97</v>
      </c>
      <c r="C27" s="31">
        <v>2</v>
      </c>
      <c r="D27" s="28" t="s">
        <v>150</v>
      </c>
      <c r="E27" s="36" t="s">
        <v>206</v>
      </c>
      <c r="F27" s="36" t="s">
        <v>207</v>
      </c>
      <c r="G27" s="36" t="s">
        <v>208</v>
      </c>
      <c r="H27" s="28" t="s">
        <v>107</v>
      </c>
      <c r="I27" s="37">
        <v>3</v>
      </c>
      <c r="J27" s="28" t="s">
        <v>149</v>
      </c>
      <c r="K27" s="38">
        <f>IF(tblStandard[[#This Row],[Machine]]="","",IFERROR(INDEX(tblFrequencies[Checks per week],MATCH(tblStandard[[#This Row],[Frequency]],tblFrequencies[Frequency],0)),""))</f>
        <v>5</v>
      </c>
      <c r="L27" s="39">
        <f>IF(tblStandard[[#This Row],[Machine]]="","",IF(tblStandard[[#This Row],[Checks per week]]="","",tblStandard[[#This Row],[Time (min)]]*tblStandard[[#This Row],[Checks per week]]))</f>
        <v>15</v>
      </c>
      <c r="M27"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28" spans="2:13" x14ac:dyDescent="0.25">
      <c r="B28" s="28" t="s">
        <v>97</v>
      </c>
      <c r="C28" s="31">
        <v>3</v>
      </c>
      <c r="D28" s="28" t="s">
        <v>145</v>
      </c>
      <c r="E28" s="36" t="s">
        <v>209</v>
      </c>
      <c r="F28" s="36" t="s">
        <v>210</v>
      </c>
      <c r="G28" s="36" t="s">
        <v>211</v>
      </c>
      <c r="H28" s="28" t="s">
        <v>107</v>
      </c>
      <c r="I28" s="37">
        <v>5</v>
      </c>
      <c r="J28" s="28" t="s">
        <v>149</v>
      </c>
      <c r="K28" s="38">
        <f>IF(tblStandard[[#This Row],[Machine]]="","",IFERROR(INDEX(tblFrequencies[Checks per week],MATCH(tblStandard[[#This Row],[Frequency]],tblFrequencies[Frequency],0)),""))</f>
        <v>5</v>
      </c>
      <c r="L28" s="39">
        <f>IF(tblStandard[[#This Row],[Machine]]="","",IF(tblStandard[[#This Row],[Checks per week]]="","",tblStandard[[#This Row],[Time (min)]]*tblStandard[[#This Row],[Checks per week]]))</f>
        <v>25</v>
      </c>
      <c r="M28"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29" spans="2:13" x14ac:dyDescent="0.25">
      <c r="B29" s="28" t="s">
        <v>97</v>
      </c>
      <c r="C29" s="31">
        <v>4</v>
      </c>
      <c r="D29" s="28" t="s">
        <v>156</v>
      </c>
      <c r="E29" s="36" t="s">
        <v>212</v>
      </c>
      <c r="F29" s="36" t="s">
        <v>158</v>
      </c>
      <c r="G29" s="36" t="s">
        <v>213</v>
      </c>
      <c r="H29" s="28" t="s">
        <v>109</v>
      </c>
      <c r="I29" s="37">
        <v>4</v>
      </c>
      <c r="J29" s="28" t="s">
        <v>149</v>
      </c>
      <c r="K29" s="38">
        <f>IF(tblStandard[[#This Row],[Machine]]="","",IFERROR(INDEX(tblFrequencies[Checks per week],MATCH(tblStandard[[#This Row],[Frequency]],tblFrequencies[Frequency],0)),""))</f>
        <v>1</v>
      </c>
      <c r="L29" s="39">
        <f>IF(tblStandard[[#This Row],[Machine]]="","",IF(tblStandard[[#This Row],[Checks per week]]="","",tblStandard[[#This Row],[Time (min)]]*tblStandard[[#This Row],[Checks per week]]))</f>
        <v>4</v>
      </c>
      <c r="M29"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30" spans="2:13" x14ac:dyDescent="0.25">
      <c r="B30" s="28" t="s">
        <v>97</v>
      </c>
      <c r="C30" s="31">
        <v>5</v>
      </c>
      <c r="D30" s="28" t="s">
        <v>160</v>
      </c>
      <c r="E30" s="36" t="s">
        <v>214</v>
      </c>
      <c r="F30" s="36" t="s">
        <v>215</v>
      </c>
      <c r="G30" s="36" t="s">
        <v>202</v>
      </c>
      <c r="H30" s="28" t="s">
        <v>105</v>
      </c>
      <c r="I30" s="37">
        <v>2</v>
      </c>
      <c r="J30" s="28" t="s">
        <v>149</v>
      </c>
      <c r="K30" s="38">
        <f>IF(tblStandard[[#This Row],[Machine]]="","",IFERROR(INDEX(tblFrequencies[Checks per week],MATCH(tblStandard[[#This Row],[Frequency]],tblFrequencies[Frequency],0)),""))</f>
        <v>10</v>
      </c>
      <c r="L30" s="39">
        <f>IF(tblStandard[[#This Row],[Machine]]="","",IF(tblStandard[[#This Row],[Checks per week]]="","",tblStandard[[#This Row],[Time (min)]]*tblStandard[[#This Row],[Checks per week]]))</f>
        <v>20</v>
      </c>
      <c r="M30"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31" spans="2:13" x14ac:dyDescent="0.25">
      <c r="B31" s="28" t="s">
        <v>97</v>
      </c>
      <c r="C31" s="31">
        <v>6</v>
      </c>
      <c r="D31" s="28" t="s">
        <v>150</v>
      </c>
      <c r="E31" s="36" t="s">
        <v>216</v>
      </c>
      <c r="F31" s="36" t="s">
        <v>217</v>
      </c>
      <c r="G31" s="36" t="s">
        <v>153</v>
      </c>
      <c r="H31" s="28" t="s">
        <v>105</v>
      </c>
      <c r="I31" s="37">
        <v>1</v>
      </c>
      <c r="J31" s="28" t="s">
        <v>149</v>
      </c>
      <c r="K31" s="38">
        <f>IF(tblStandard[[#This Row],[Machine]]="","",IFERROR(INDEX(tblFrequencies[Checks per week],MATCH(tblStandard[[#This Row],[Frequency]],tblFrequencies[Frequency],0)),""))</f>
        <v>10</v>
      </c>
      <c r="L31" s="39">
        <f>IF(tblStandard[[#This Row],[Machine]]="","",IF(tblStandard[[#This Row],[Checks per week]]="","",tblStandard[[#This Row],[Time (min)]]*tblStandard[[#This Row],[Checks per week]]))</f>
        <v>10</v>
      </c>
      <c r="M31"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32" spans="2:13" x14ac:dyDescent="0.25">
      <c r="B32" s="28" t="s">
        <v>99</v>
      </c>
      <c r="C32" s="31">
        <v>1</v>
      </c>
      <c r="D32" s="28" t="s">
        <v>145</v>
      </c>
      <c r="E32" s="36" t="s">
        <v>203</v>
      </c>
      <c r="F32" s="36" t="s">
        <v>204</v>
      </c>
      <c r="G32" s="36" t="s">
        <v>205</v>
      </c>
      <c r="H32" s="28" t="s">
        <v>105</v>
      </c>
      <c r="I32" s="37">
        <v>3</v>
      </c>
      <c r="J32" s="28" t="s">
        <v>149</v>
      </c>
      <c r="K32" s="38">
        <f>IF(tblStandard[[#This Row],[Machine]]="","",IFERROR(INDEX(tblFrequencies[Checks per week],MATCH(tblStandard[[#This Row],[Frequency]],tblFrequencies[Frequency],0)),""))</f>
        <v>10</v>
      </c>
      <c r="L32" s="39">
        <f>IF(tblStandard[[#This Row],[Machine]]="","",IF(tblStandard[[#This Row],[Checks per week]]="","",tblStandard[[#This Row],[Time (min)]]*tblStandard[[#This Row],[Checks per week]]))</f>
        <v>30</v>
      </c>
      <c r="M32"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33" spans="2:13" x14ac:dyDescent="0.25">
      <c r="B33" s="28" t="s">
        <v>99</v>
      </c>
      <c r="C33" s="31">
        <v>2</v>
      </c>
      <c r="D33" s="28" t="s">
        <v>150</v>
      </c>
      <c r="E33" s="36" t="s">
        <v>206</v>
      </c>
      <c r="F33" s="36" t="s">
        <v>207</v>
      </c>
      <c r="G33" s="36" t="s">
        <v>208</v>
      </c>
      <c r="H33" s="28" t="s">
        <v>107</v>
      </c>
      <c r="I33" s="37">
        <v>3</v>
      </c>
      <c r="J33" s="28" t="s">
        <v>149</v>
      </c>
      <c r="K33" s="38">
        <f>IF(tblStandard[[#This Row],[Machine]]="","",IFERROR(INDEX(tblFrequencies[Checks per week],MATCH(tblStandard[[#This Row],[Frequency]],tblFrequencies[Frequency],0)),""))</f>
        <v>5</v>
      </c>
      <c r="L33" s="39">
        <f>IF(tblStandard[[#This Row],[Machine]]="","",IF(tblStandard[[#This Row],[Checks per week]]="","",tblStandard[[#This Row],[Time (min)]]*tblStandard[[#This Row],[Checks per week]]))</f>
        <v>15</v>
      </c>
      <c r="M33"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34" spans="2:13" x14ac:dyDescent="0.25">
      <c r="B34" s="28" t="s">
        <v>99</v>
      </c>
      <c r="C34" s="31">
        <v>3</v>
      </c>
      <c r="D34" s="28" t="s">
        <v>145</v>
      </c>
      <c r="E34" s="36" t="s">
        <v>209</v>
      </c>
      <c r="F34" s="36" t="s">
        <v>210</v>
      </c>
      <c r="G34" s="36" t="s">
        <v>211</v>
      </c>
      <c r="H34" s="28" t="s">
        <v>107</v>
      </c>
      <c r="I34" s="37">
        <v>5</v>
      </c>
      <c r="J34" s="28" t="s">
        <v>149</v>
      </c>
      <c r="K34" s="38">
        <f>IF(tblStandard[[#This Row],[Machine]]="","",IFERROR(INDEX(tblFrequencies[Checks per week],MATCH(tblStandard[[#This Row],[Frequency]],tblFrequencies[Frequency],0)),""))</f>
        <v>5</v>
      </c>
      <c r="L34" s="39">
        <f>IF(tblStandard[[#This Row],[Machine]]="","",IF(tblStandard[[#This Row],[Checks per week]]="","",tblStandard[[#This Row],[Time (min)]]*tblStandard[[#This Row],[Checks per week]]))</f>
        <v>25</v>
      </c>
      <c r="M34"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35" spans="2:13" x14ac:dyDescent="0.25">
      <c r="B35" s="28" t="s">
        <v>99</v>
      </c>
      <c r="C35" s="31">
        <v>4</v>
      </c>
      <c r="D35" s="28" t="s">
        <v>156</v>
      </c>
      <c r="E35" s="36" t="s">
        <v>212</v>
      </c>
      <c r="F35" s="36" t="s">
        <v>158</v>
      </c>
      <c r="G35" s="36" t="s">
        <v>213</v>
      </c>
      <c r="H35" s="28" t="s">
        <v>109</v>
      </c>
      <c r="I35" s="37">
        <v>4</v>
      </c>
      <c r="J35" s="28" t="s">
        <v>149</v>
      </c>
      <c r="K35" s="38">
        <f>IF(tblStandard[[#This Row],[Machine]]="","",IFERROR(INDEX(tblFrequencies[Checks per week],MATCH(tblStandard[[#This Row],[Frequency]],tblFrequencies[Frequency],0)),""))</f>
        <v>1</v>
      </c>
      <c r="L35" s="39">
        <f>IF(tblStandard[[#This Row],[Machine]]="","",IF(tblStandard[[#This Row],[Checks per week]]="","",tblStandard[[#This Row],[Time (min)]]*tblStandard[[#This Row],[Checks per week]]))</f>
        <v>4</v>
      </c>
      <c r="M35"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36" spans="2:13" x14ac:dyDescent="0.25">
      <c r="B36" s="28" t="s">
        <v>99</v>
      </c>
      <c r="C36" s="31">
        <v>5</v>
      </c>
      <c r="D36" s="28" t="s">
        <v>160</v>
      </c>
      <c r="E36" s="36" t="s">
        <v>214</v>
      </c>
      <c r="F36" s="36" t="s">
        <v>215</v>
      </c>
      <c r="G36" s="36" t="s">
        <v>202</v>
      </c>
      <c r="H36" s="28" t="s">
        <v>105</v>
      </c>
      <c r="I36" s="37">
        <v>2</v>
      </c>
      <c r="J36" s="28" t="s">
        <v>149</v>
      </c>
      <c r="K36" s="38">
        <f>IF(tblStandard[[#This Row],[Machine]]="","",IFERROR(INDEX(tblFrequencies[Checks per week],MATCH(tblStandard[[#This Row],[Frequency]],tblFrequencies[Frequency],0)),""))</f>
        <v>10</v>
      </c>
      <c r="L36" s="39">
        <f>IF(tblStandard[[#This Row],[Machine]]="","",IF(tblStandard[[#This Row],[Checks per week]]="","",tblStandard[[#This Row],[Time (min)]]*tblStandard[[#This Row],[Checks per week]]))</f>
        <v>20</v>
      </c>
      <c r="M36"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37" spans="2:13" x14ac:dyDescent="0.25">
      <c r="B37" s="28" t="s">
        <v>99</v>
      </c>
      <c r="C37" s="31">
        <v>6</v>
      </c>
      <c r="D37" s="28" t="s">
        <v>150</v>
      </c>
      <c r="E37" s="36" t="s">
        <v>216</v>
      </c>
      <c r="F37" s="36" t="s">
        <v>217</v>
      </c>
      <c r="G37" s="36" t="s">
        <v>153</v>
      </c>
      <c r="H37" s="28" t="s">
        <v>105</v>
      </c>
      <c r="I37" s="37">
        <v>1</v>
      </c>
      <c r="J37" s="28" t="s">
        <v>149</v>
      </c>
      <c r="K37" s="38">
        <f>IF(tblStandard[[#This Row],[Machine]]="","",IFERROR(INDEX(tblFrequencies[Checks per week],MATCH(tblStandard[[#This Row],[Frequency]],tblFrequencies[Frequency],0)),""))</f>
        <v>10</v>
      </c>
      <c r="L37" s="39">
        <f>IF(tblStandard[[#This Row],[Machine]]="","",IF(tblStandard[[#This Row],[Checks per week]]="","",tblStandard[[#This Row],[Time (min)]]*tblStandard[[#This Row],[Checks per week]]))</f>
        <v>10</v>
      </c>
      <c r="M37"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38" spans="2:13" x14ac:dyDescent="0.25">
      <c r="B38" s="28" t="s">
        <v>101</v>
      </c>
      <c r="C38" s="31">
        <v>1</v>
      </c>
      <c r="D38" s="28" t="s">
        <v>145</v>
      </c>
      <c r="E38" s="36" t="s">
        <v>218</v>
      </c>
      <c r="F38" s="36" t="s">
        <v>219</v>
      </c>
      <c r="G38" s="36" t="s">
        <v>220</v>
      </c>
      <c r="H38" s="28" t="s">
        <v>107</v>
      </c>
      <c r="I38" s="37">
        <v>8</v>
      </c>
      <c r="J38" s="28" t="s">
        <v>149</v>
      </c>
      <c r="K38" s="38">
        <f>IF(tblStandard[[#This Row],[Machine]]="","",IFERROR(INDEX(tblFrequencies[Checks per week],MATCH(tblStandard[[#This Row],[Frequency]],tblFrequencies[Frequency],0)),""))</f>
        <v>5</v>
      </c>
      <c r="L38" s="39">
        <f>IF(tblStandard[[#This Row],[Machine]]="","",IF(tblStandard[[#This Row],[Checks per week]]="","",tblStandard[[#This Row],[Time (min)]]*tblStandard[[#This Row],[Checks per week]]))</f>
        <v>40</v>
      </c>
      <c r="M38"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39" spans="2:13" x14ac:dyDescent="0.25">
      <c r="B39" s="28" t="s">
        <v>101</v>
      </c>
      <c r="C39" s="31">
        <v>2</v>
      </c>
      <c r="D39" s="28" t="s">
        <v>150</v>
      </c>
      <c r="E39" s="36" t="s">
        <v>221</v>
      </c>
      <c r="F39" s="36" t="s">
        <v>222</v>
      </c>
      <c r="G39" s="36" t="s">
        <v>153</v>
      </c>
      <c r="H39" s="28" t="s">
        <v>105</v>
      </c>
      <c r="I39" s="37">
        <v>1</v>
      </c>
      <c r="J39" s="28" t="s">
        <v>149</v>
      </c>
      <c r="K39" s="38">
        <f>IF(tblStandard[[#This Row],[Machine]]="","",IFERROR(INDEX(tblFrequencies[Checks per week],MATCH(tblStandard[[#This Row],[Frequency]],tblFrequencies[Frequency],0)),""))</f>
        <v>10</v>
      </c>
      <c r="L39" s="39">
        <f>IF(tblStandard[[#This Row],[Machine]]="","",IF(tblStandard[[#This Row],[Checks per week]]="","",tblStandard[[#This Row],[Time (min)]]*tblStandard[[#This Row],[Checks per week]]))</f>
        <v>10</v>
      </c>
      <c r="M39"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40" spans="2:13" x14ac:dyDescent="0.25">
      <c r="B40" s="28" t="s">
        <v>101</v>
      </c>
      <c r="C40" s="31">
        <v>3</v>
      </c>
      <c r="D40" s="28" t="s">
        <v>150</v>
      </c>
      <c r="E40" s="36" t="s">
        <v>223</v>
      </c>
      <c r="F40" s="36" t="s">
        <v>224</v>
      </c>
      <c r="G40" s="36" t="s">
        <v>187</v>
      </c>
      <c r="H40" s="28" t="s">
        <v>105</v>
      </c>
      <c r="I40" s="37">
        <v>1</v>
      </c>
      <c r="J40" s="28" t="s">
        <v>149</v>
      </c>
      <c r="K40" s="38">
        <f>IF(tblStandard[[#This Row],[Machine]]="","",IFERROR(INDEX(tblFrequencies[Checks per week],MATCH(tblStandard[[#This Row],[Frequency]],tblFrequencies[Frequency],0)),""))</f>
        <v>10</v>
      </c>
      <c r="L40" s="39">
        <f>IF(tblStandard[[#This Row],[Machine]]="","",IF(tblStandard[[#This Row],[Checks per week]]="","",tblStandard[[#This Row],[Time (min)]]*tblStandard[[#This Row],[Checks per week]]))</f>
        <v>10</v>
      </c>
      <c r="M40"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41" spans="2:13" x14ac:dyDescent="0.25">
      <c r="B41" s="28" t="s">
        <v>101</v>
      </c>
      <c r="C41" s="31">
        <v>4</v>
      </c>
      <c r="D41" s="28" t="s">
        <v>156</v>
      </c>
      <c r="E41" s="36" t="s">
        <v>225</v>
      </c>
      <c r="F41" s="36" t="s">
        <v>226</v>
      </c>
      <c r="G41" s="36" t="s">
        <v>227</v>
      </c>
      <c r="H41" s="28" t="s">
        <v>109</v>
      </c>
      <c r="I41" s="37">
        <v>5</v>
      </c>
      <c r="J41" s="28" t="s">
        <v>149</v>
      </c>
      <c r="K41" s="38">
        <f>IF(tblStandard[[#This Row],[Machine]]="","",IFERROR(INDEX(tblFrequencies[Checks per week],MATCH(tblStandard[[#This Row],[Frequency]],tblFrequencies[Frequency],0)),""))</f>
        <v>1</v>
      </c>
      <c r="L41" s="39">
        <f>IF(tblStandard[[#This Row],[Machine]]="","",IF(tblStandard[[#This Row],[Checks per week]]="","",tblStandard[[#This Row],[Time (min)]]*tblStandard[[#This Row],[Checks per week]]))</f>
        <v>5</v>
      </c>
      <c r="M41"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42" spans="2:13" x14ac:dyDescent="0.25">
      <c r="B42" s="28" t="s">
        <v>101</v>
      </c>
      <c r="C42" s="31">
        <v>5</v>
      </c>
      <c r="D42" s="28" t="s">
        <v>160</v>
      </c>
      <c r="E42" s="36" t="s">
        <v>228</v>
      </c>
      <c r="F42" s="36" t="s">
        <v>229</v>
      </c>
      <c r="G42" s="36" t="s">
        <v>230</v>
      </c>
      <c r="H42" s="28" t="s">
        <v>109</v>
      </c>
      <c r="I42" s="37">
        <v>5</v>
      </c>
      <c r="J42" s="28" t="s">
        <v>149</v>
      </c>
      <c r="K42" s="38">
        <f>IF(tblStandard[[#This Row],[Machine]]="","",IFERROR(INDEX(tblFrequencies[Checks per week],MATCH(tblStandard[[#This Row],[Frequency]],tblFrequencies[Frequency],0)),""))</f>
        <v>1</v>
      </c>
      <c r="L42" s="39">
        <f>IF(tblStandard[[#This Row],[Machine]]="","",IF(tblStandard[[#This Row],[Checks per week]]="","",tblStandard[[#This Row],[Time (min)]]*tblStandard[[#This Row],[Checks per week]]))</f>
        <v>5</v>
      </c>
      <c r="M42"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43" spans="2:13" x14ac:dyDescent="0.25">
      <c r="B43" s="28" t="s">
        <v>101</v>
      </c>
      <c r="C43" s="31">
        <v>6</v>
      </c>
      <c r="D43" s="28" t="s">
        <v>145</v>
      </c>
      <c r="E43" s="36" t="s">
        <v>231</v>
      </c>
      <c r="F43" s="36" t="s">
        <v>232</v>
      </c>
      <c r="G43" s="36" t="s">
        <v>233</v>
      </c>
      <c r="H43" s="28" t="s">
        <v>109</v>
      </c>
      <c r="I43" s="37">
        <v>5</v>
      </c>
      <c r="J43" s="28" t="s">
        <v>149</v>
      </c>
      <c r="K43" s="38">
        <f>IF(tblStandard[[#This Row],[Machine]]="","",IFERROR(INDEX(tblFrequencies[Checks per week],MATCH(tblStandard[[#This Row],[Frequency]],tblFrequencies[Frequency],0)),""))</f>
        <v>1</v>
      </c>
      <c r="L43" s="39">
        <f>IF(tblStandard[[#This Row],[Machine]]="","",IF(tblStandard[[#This Row],[Checks per week]]="","",tblStandard[[#This Row],[Time (min)]]*tblStandard[[#This Row],[Checks per week]]))</f>
        <v>5</v>
      </c>
      <c r="M43"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row r="44" spans="2:13" x14ac:dyDescent="0.25">
      <c r="B44" s="28" t="s">
        <v>101</v>
      </c>
      <c r="C44" s="31">
        <v>7</v>
      </c>
      <c r="D44" s="28" t="s">
        <v>150</v>
      </c>
      <c r="E44" s="36" t="s">
        <v>234</v>
      </c>
      <c r="F44" s="36" t="s">
        <v>235</v>
      </c>
      <c r="G44" s="36" t="s">
        <v>236</v>
      </c>
      <c r="H44" s="28" t="s">
        <v>107</v>
      </c>
      <c r="I44" s="37">
        <v>1</v>
      </c>
      <c r="J44" s="28" t="s">
        <v>149</v>
      </c>
      <c r="K44" s="38">
        <f>IF(tblStandard[[#This Row],[Machine]]="","",IFERROR(INDEX(tblFrequencies[Checks per week],MATCH(tblStandard[[#This Row],[Frequency]],tblFrequencies[Frequency],0)),""))</f>
        <v>5</v>
      </c>
      <c r="L44" s="39">
        <f>IF(tblStandard[[#This Row],[Machine]]="","",IF(tblStandard[[#This Row],[Checks per week]]="","",tblStandard[[#This Row],[Time (min)]]*tblStandard[[#This Row],[Checks per week]]))</f>
        <v>5</v>
      </c>
      <c r="M44" s="40" t="str">
        <f>IF(tblStandard[[#This Row],[Machine]]="","",IF(tblStandard[[#This Row],[Item no.]]="","Missing item no.",IF(tblStandard[[#This Row],[Task]]="","Missing task",IF(tblStandard[[#This Row],[Point]]="","Missing point",IF(tblStandard[[#This Row],[Time (min)]]="","Missing time",IF(tblStandard[[#This Row],[Checks per week]]="","Frequency not on Setup list",IF(COUNTIF(tblMachines[Machine],tblStandard[[#This Row],[Machine]])=0,"Machine not on Setup list",IF(COUNTIFS(tblStandard[Machine],tblStandard[[#This Row],[Machine]],tblStandard[Item no.],tblStandard[[#This Row],[Item no.]])&gt;1,"Duplicate item no.","OK"))))))))</f>
        <v>OK</v>
      </c>
    </row>
  </sheetData>
  <mergeCells count="3">
    <mergeCell ref="A1:M1"/>
    <mergeCell ref="B2:L2"/>
    <mergeCell ref="B4:M4"/>
  </mergeCells>
  <conditionalFormatting sqref="L6:L544">
    <cfRule type="dataBar" priority="1">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M6:M544">
    <cfRule type="expression" dxfId="3" priority="2">
      <formula>$M6="OK"</formula>
    </cfRule>
    <cfRule type="expression" dxfId="1" priority="3">
      <formula>AND($M6&lt;&gt;"",$M6&lt;&gt;"OK")</formula>
    </cfRule>
  </conditionalFormatting>
  <dataValidations count="9">
    <dataValidation type="list" allowBlank="1" showInputMessage="1" showErrorMessage="1" errorTitle="Check this entry" error="Pick from the list (edit the list on Setup: Machines)." promptTitle="Machine" prompt="Pick from the list (edit the list on Setup: Machines)." sqref="B6:B544">
      <formula1>Machines</formula1>
    </dataValidation>
    <dataValidation type="whole" allowBlank="1" showInputMessage="1" showErrorMessage="1" errorTitle="Check this entry" error="Enter a whole number from 1 to 999." promptTitle="Item no." prompt="Number of the point on the machine's check sheet and on the tag at the machine. Enter a whole number from 1 to 999." sqref="C6:C544">
      <formula1>1</formula1>
      <formula2>999</formula2>
    </dataValidation>
    <dataValidation type="list" allowBlank="1" showInputMessage="1" showErrorMessage="1" errorTitle="Check this entry" error="Pick one of: Clean, Inspect, Lubricate, Tighten." promptTitle="Task" prompt="Clean, Inspect, Lubricate or Tighten. Pick one of: Clean, Inspect, Lubricate, Tighten." sqref="D6:D544">
      <formula1>"Clean,Inspect,Lubricate,Tighten"</formula1>
    </dataValidation>
    <dataValidation type="textLength" allowBlank="1" showInputMessage="1" showErrorMessage="1" errorTitle="Check this entry" error="Text up to 80 characters." promptTitle="Point" prompt="Where on the machine. Text up to 80 characters." sqref="E6:E544">
      <formula1>0</formula1>
      <formula2>80</formula2>
    </dataValidation>
    <dataValidation type="textLength" allowBlank="1" showInputMessage="1" showErrorMessage="1" errorTitle="Check this entry" error="Text up to 160 characters." promptTitle="Standard (what good looks like)" prompt="The condition the operator checks for, in words anyone can judge. Text up to 160 characters." sqref="F6:F544">
      <formula1>0</formula1>
      <formula2>160</formula2>
    </dataValidation>
    <dataValidation type="textLength" allowBlank="1" showInputMessage="1" showErrorMessage="1" errorTitle="Check this entry" error="Text up to 120 characters." promptTitle="Method and tool" prompt="Text up to 120 characters." sqref="G6:G544">
      <formula1>0</formula1>
      <formula2>120</formula2>
    </dataValidation>
    <dataValidation type="list" allowBlank="1" showInputMessage="1" showErrorMessage="1" errorTitle="Check this entry" error="Pick from the list (edit the list on Setup: Frequencies)." promptTitle="Frequency" prompt="Pick from the list (edit the list on Setup: Frequencies)." sqref="H6:H544">
      <formula1>Frequencies</formula1>
    </dataValidation>
    <dataValidation type="decimal" allowBlank="1" showInputMessage="1" showErrorMessage="1" errorTitle="Check this entry" error="Enter a number from 0 to 480." promptTitle="Time (min)" prompt="Minutes to do this point once. Enter a number from 0 to 480." sqref="I6:I544">
      <formula1>0</formula1>
      <formula2>480</formula2>
    </dataValidation>
    <dataValidation type="list" allowBlank="1" showInputMessage="1" showErrorMessage="1" errorTitle="Check this entry" error="Pick one of: Operator, Maintenance." promptTitle="Done by" prompt="Pick one of: Operator, Maintenance." sqref="J6:J544">
      <formula1>"Operator,Maintenance"</formula1>
    </dataValidation>
  </dataValidations>
  <hyperlinks>
    <hyperlink ref="M2" r:id="rId1" tooltip="Free manufacturing calculators and templates"/>
  </hyperlinks>
  <pageMargins left="0.4" right="0.4" top="0.7" bottom="0.65" header="0.3" footer="0.3"/>
  <pageSetup fitToHeight="0" orientation="landscape"/>
  <headerFooter>
    <oddHeader>&amp;L&amp;8MFG Calcs - TPM Autonomous Maintenance Checklist&amp;R&amp;8&amp;A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L6:L544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N53"/>
  <sheetViews>
    <sheetView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2.7109375" customWidth="1"/>
    <col min="2" max="2" width="12.28515625" customWidth="1"/>
    <col min="3" max="3" width="9.7109375" customWidth="1"/>
    <col min="4" max="5" width="9.28515625" customWidth="1"/>
    <col min="6" max="6" width="11.7109375" customWidth="1"/>
    <col min="7" max="7" width="11.28515625" customWidth="1"/>
    <col min="8" max="8" width="8.28515625" customWidth="1"/>
    <col min="9" max="9" width="11.28515625" customWidth="1"/>
    <col min="10" max="10" width="12.28515625" customWidth="1"/>
    <col min="11" max="11" width="8.28515625" customWidth="1"/>
    <col min="12" max="12" width="12.28515625" customWidth="1"/>
    <col min="13" max="14" width="24.7109375" customWidth="1"/>
  </cols>
  <sheetData>
    <row r="1" spans="1:14" ht="30" customHeight="1" x14ac:dyDescent="0.25">
      <c r="A1" s="1" t="s">
        <v>0</v>
      </c>
      <c r="B1" s="1"/>
      <c r="C1" s="1"/>
      <c r="D1" s="1"/>
      <c r="E1" s="1"/>
      <c r="F1" s="1"/>
      <c r="G1" s="1"/>
      <c r="H1" s="1"/>
      <c r="I1" s="1"/>
      <c r="J1" s="1"/>
      <c r="K1" s="1"/>
      <c r="L1" s="1"/>
      <c r="M1" s="1"/>
      <c r="N1" s="1"/>
    </row>
    <row r="2" spans="1:14" ht="21" customHeight="1" x14ac:dyDescent="0.25">
      <c r="B2" s="2" t="s">
        <v>24</v>
      </c>
      <c r="C2" s="2"/>
      <c r="D2" s="2"/>
      <c r="E2" s="2"/>
      <c r="F2" s="2"/>
      <c r="G2" s="2"/>
      <c r="H2" s="2"/>
      <c r="I2" s="2"/>
      <c r="J2" s="2"/>
      <c r="K2" s="2"/>
      <c r="L2" s="2"/>
      <c r="M2" s="2"/>
      <c r="N2" s="3" t="s">
        <v>2</v>
      </c>
    </row>
    <row r="3" spans="1:14" ht="6" customHeight="1" x14ac:dyDescent="0.25"/>
    <row r="4" spans="1:14" ht="29.76" customHeight="1" x14ac:dyDescent="0.25">
      <c r="B4" s="35" t="s">
        <v>247</v>
      </c>
      <c r="C4" s="35"/>
      <c r="D4" s="35"/>
      <c r="E4" s="35"/>
      <c r="F4" s="35"/>
      <c r="G4" s="35"/>
      <c r="H4" s="35"/>
      <c r="I4" s="35"/>
      <c r="J4" s="35"/>
      <c r="K4" s="35"/>
      <c r="L4" s="35"/>
      <c r="M4" s="35"/>
      <c r="N4" s="35"/>
    </row>
    <row r="5" spans="1:14" ht="32" customHeight="1" x14ac:dyDescent="0.25">
      <c r="B5" s="33" t="s">
        <v>237</v>
      </c>
      <c r="C5" s="33" t="s">
        <v>66</v>
      </c>
      <c r="D5" s="33" t="s">
        <v>238</v>
      </c>
      <c r="E5" s="33" t="s">
        <v>239</v>
      </c>
      <c r="F5" s="33" t="s">
        <v>67</v>
      </c>
      <c r="G5" s="33" t="s">
        <v>240</v>
      </c>
      <c r="H5" s="33" t="s">
        <v>241</v>
      </c>
      <c r="I5" s="33" t="s">
        <v>242</v>
      </c>
      <c r="J5" s="33" t="s">
        <v>243</v>
      </c>
      <c r="K5" s="33" t="s">
        <v>244</v>
      </c>
      <c r="L5" s="33" t="s">
        <v>245</v>
      </c>
      <c r="M5" s="33" t="s">
        <v>143</v>
      </c>
      <c r="N5" s="33" t="s">
        <v>246</v>
      </c>
    </row>
    <row r="6" spans="1:14" x14ac:dyDescent="0.25">
      <c r="B6" s="29">
        <v>46251</v>
      </c>
      <c r="C6" s="28" t="s">
        <v>88</v>
      </c>
      <c r="D6" s="31">
        <v>33</v>
      </c>
      <c r="E6" s="31">
        <v>31</v>
      </c>
      <c r="F6" s="41" t="str">
        <f>IF(tblChecks[[#This Row],[Week starting]]="","",IFERROR(INDEX(tblMachines[Area],MATCH(tblChecks[[#This Row],[Machine]],tblMachines[Machine],0)),""))</f>
        <v>Extrusion</v>
      </c>
      <c r="G6" s="39">
        <f>IF(tblChecks[[#This Row],[Week starting]]="","",SUMIFS(tblStandard[Checks per week],tblStandard[Machine],tblChecks[[#This Row],[Machine]]))</f>
        <v>33</v>
      </c>
      <c r="H6" s="42">
        <f>IF(tblChecks[[#This Row],[Week starting]]="","",tblChecks[[#This Row],[Checks due]]-tblChecks[[#This Row],[Checks done]])</f>
        <v>2</v>
      </c>
      <c r="I6" s="43">
        <f>IF(tblChecks[[#This Row],[Week starting]]="","",IF(tblChecks[[#This Row],[Checks due]]&gt;0,tblChecks[[#This Row],[Checks done]]/tblChecks[[#This Row],[Checks due]],""))</f>
        <v>0.939393939393939</v>
      </c>
      <c r="J6" s="44" t="str">
        <f>IF(NOT(ISNUMBER(tblChecks[[#This Row],[Compliance]])),"",IF(tblChecks[[#This Row],[Compliance]]&gt;=TargetCompliance,"On target",IF(tblChecks[[#This Row],[Compliance]]&gt;=TargetCompliance*(1-0.05),"Near target","Below target")))</f>
        <v>Near target</v>
      </c>
      <c r="K6" s="42">
        <f>IF(tblChecks[[#This Row],[Week starting]]="","",COUNTIFS(tblTags[Machine],tblChecks[[#This Row],[Machine]],tblTags[Date found],"&gt;="&amp;tblChecks[[#This Row],[Week starting]],tblTags[Date found],"&lt;"&amp;tblChecks[[#This Row],[Week starting]]+7))</f>
        <v>0</v>
      </c>
      <c r="L6" s="45">
        <f>IF(tblChecks[[#This Row],[Week starting]]="","",IF(AND(tblChecks[[#This Row],[Week starting]]&gt;=FFrom,tblChecks[[#This Row],[Week starting]]&lt;=FTo,OR(DashMachine="",tblChecks[[#This Row],[Machine]]=DashMachine)),tblChecks[[#This Row],[Week starting]],""))</f>
        <v>46251</v>
      </c>
      <c r="M6"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6" s="28" t="s">
        <v>248</v>
      </c>
    </row>
    <row r="7" spans="1:14" x14ac:dyDescent="0.25">
      <c r="B7" s="29">
        <v>46251</v>
      </c>
      <c r="C7" s="28" t="s">
        <v>91</v>
      </c>
      <c r="D7" s="31">
        <v>46</v>
      </c>
      <c r="E7" s="31">
        <v>44</v>
      </c>
      <c r="F7" s="41" t="str">
        <f>IF(tblChecks[[#This Row],[Week starting]]="","",IFERROR(INDEX(tblMachines[Area],MATCH(tblChecks[[#This Row],[Machine]],tblMachines[Machine],0)),""))</f>
        <v>Printing</v>
      </c>
      <c r="G7" s="39">
        <f>IF(tblChecks[[#This Row],[Week starting]]="","",SUMIFS(tblStandard[Checks per week],tblStandard[Machine],tblChecks[[#This Row],[Machine]]))</f>
        <v>46</v>
      </c>
      <c r="H7" s="42">
        <f>IF(tblChecks[[#This Row],[Week starting]]="","",tblChecks[[#This Row],[Checks due]]-tblChecks[[#This Row],[Checks done]])</f>
        <v>2</v>
      </c>
      <c r="I7" s="43">
        <f>IF(tblChecks[[#This Row],[Week starting]]="","",IF(tblChecks[[#This Row],[Checks due]]&gt;0,tblChecks[[#This Row],[Checks done]]/tblChecks[[#This Row],[Checks due]],""))</f>
        <v>0.956521739130435</v>
      </c>
      <c r="J7" s="44" t="str">
        <f>IF(NOT(ISNUMBER(tblChecks[[#This Row],[Compliance]])),"",IF(tblChecks[[#This Row],[Compliance]]&gt;=TargetCompliance,"On target",IF(tblChecks[[#This Row],[Compliance]]&gt;=TargetCompliance*(1-0.05),"Near target","Below target")))</f>
        <v>On target</v>
      </c>
      <c r="K7" s="42">
        <f>IF(tblChecks[[#This Row],[Week starting]]="","",COUNTIFS(tblTags[Machine],tblChecks[[#This Row],[Machine]],tblTags[Date found],"&gt;="&amp;tblChecks[[#This Row],[Week starting]],tblTags[Date found],"&lt;"&amp;tblChecks[[#This Row],[Week starting]]+7))</f>
        <v>1</v>
      </c>
      <c r="L7" s="45">
        <f>IF(tblChecks[[#This Row],[Week starting]]="","",IF(AND(tblChecks[[#This Row],[Week starting]]&gt;=FFrom,tblChecks[[#This Row],[Week starting]]&lt;=FTo,OR(DashMachine="",tblChecks[[#This Row],[Machine]]=DashMachine)),tblChecks[[#This Row],[Week starting]],""))</f>
        <v>46251</v>
      </c>
      <c r="M7"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7" s="28" t="s">
        <v>248</v>
      </c>
    </row>
    <row r="8" spans="1:14" x14ac:dyDescent="0.25">
      <c r="B8" s="29">
        <v>46251</v>
      </c>
      <c r="C8" s="28" t="s">
        <v>94</v>
      </c>
      <c r="D8" s="31">
        <v>27</v>
      </c>
      <c r="E8" s="31">
        <v>26</v>
      </c>
      <c r="F8" s="41" t="str">
        <f>IF(tblChecks[[#This Row],[Week starting]]="","",IFERROR(INDEX(tblMachines[Area],MATCH(tblChecks[[#This Row],[Machine]],tblMachines[Machine],0)),""))</f>
        <v>Converting</v>
      </c>
      <c r="G8" s="39">
        <f>IF(tblChecks[[#This Row],[Week starting]]="","",SUMIFS(tblStandard[Checks per week],tblStandard[Machine],tblChecks[[#This Row],[Machine]]))</f>
        <v>27.25</v>
      </c>
      <c r="H8" s="42">
        <f>IF(tblChecks[[#This Row],[Week starting]]="","",tblChecks[[#This Row],[Checks due]]-tblChecks[[#This Row],[Checks done]])</f>
        <v>1</v>
      </c>
      <c r="I8" s="43">
        <f>IF(tblChecks[[#This Row],[Week starting]]="","",IF(tblChecks[[#This Row],[Checks due]]&gt;0,tblChecks[[#This Row],[Checks done]]/tblChecks[[#This Row],[Checks due]],""))</f>
        <v>0.962962962962963</v>
      </c>
      <c r="J8" s="44" t="str">
        <f>IF(NOT(ISNUMBER(tblChecks[[#This Row],[Compliance]])),"",IF(tblChecks[[#This Row],[Compliance]]&gt;=TargetCompliance,"On target",IF(tblChecks[[#This Row],[Compliance]]&gt;=TargetCompliance*(1-0.05),"Near target","Below target")))</f>
        <v>On target</v>
      </c>
      <c r="K8" s="42">
        <f>IF(tblChecks[[#This Row],[Week starting]]="","",COUNTIFS(tblTags[Machine],tblChecks[[#This Row],[Machine]],tblTags[Date found],"&gt;="&amp;tblChecks[[#This Row],[Week starting]],tblTags[Date found],"&lt;"&amp;tblChecks[[#This Row],[Week starting]]+7))</f>
        <v>1</v>
      </c>
      <c r="L8" s="45">
        <f>IF(tblChecks[[#This Row],[Week starting]]="","",IF(AND(tblChecks[[#This Row],[Week starting]]&gt;=FFrom,tblChecks[[#This Row],[Week starting]]&lt;=FTo,OR(DashMachine="",tblChecks[[#This Row],[Machine]]=DashMachine)),tblChecks[[#This Row],[Week starting]],""))</f>
        <v>46251</v>
      </c>
      <c r="M8"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8" s="28" t="s">
        <v>248</v>
      </c>
    </row>
    <row r="9" spans="1:14" x14ac:dyDescent="0.25">
      <c r="B9" s="29">
        <v>46251</v>
      </c>
      <c r="C9" s="28" t="s">
        <v>97</v>
      </c>
      <c r="D9" s="31">
        <v>41</v>
      </c>
      <c r="E9" s="31">
        <v>39</v>
      </c>
      <c r="F9" s="41" t="str">
        <f>IF(tblChecks[[#This Row],[Week starting]]="","",IFERROR(INDEX(tblMachines[Area],MATCH(tblChecks[[#This Row],[Machine]],tblMachines[Machine],0)),""))</f>
        <v>Converting</v>
      </c>
      <c r="G9" s="39">
        <f>IF(tblChecks[[#This Row],[Week starting]]="","",SUMIFS(tblStandard[Checks per week],tblStandard[Machine],tblChecks[[#This Row],[Machine]]))</f>
        <v>41</v>
      </c>
      <c r="H9" s="42">
        <f>IF(tblChecks[[#This Row],[Week starting]]="","",tblChecks[[#This Row],[Checks due]]-tblChecks[[#This Row],[Checks done]])</f>
        <v>2</v>
      </c>
      <c r="I9" s="43">
        <f>IF(tblChecks[[#This Row],[Week starting]]="","",IF(tblChecks[[#This Row],[Checks due]]&gt;0,tblChecks[[#This Row],[Checks done]]/tblChecks[[#This Row],[Checks due]],""))</f>
        <v>0.951219512195122</v>
      </c>
      <c r="J9" s="44" t="str">
        <f>IF(NOT(ISNUMBER(tblChecks[[#This Row],[Compliance]])),"",IF(tblChecks[[#This Row],[Compliance]]&gt;=TargetCompliance,"On target",IF(tblChecks[[#This Row],[Compliance]]&gt;=TargetCompliance*(1-0.05),"Near target","Below target")))</f>
        <v>On target</v>
      </c>
      <c r="K9" s="42">
        <f>IF(tblChecks[[#This Row],[Week starting]]="","",COUNTIFS(tblTags[Machine],tblChecks[[#This Row],[Machine]],tblTags[Date found],"&gt;="&amp;tblChecks[[#This Row],[Week starting]],tblTags[Date found],"&lt;"&amp;tblChecks[[#This Row],[Week starting]]+7))</f>
        <v>1</v>
      </c>
      <c r="L9" s="45">
        <f>IF(tblChecks[[#This Row],[Week starting]]="","",IF(AND(tblChecks[[#This Row],[Week starting]]&gt;=FFrom,tblChecks[[#This Row],[Week starting]]&lt;=FTo,OR(DashMachine="",tblChecks[[#This Row],[Machine]]=DashMachine)),tblChecks[[#This Row],[Week starting]],""))</f>
        <v>46251</v>
      </c>
      <c r="M9"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9" s="28" t="s">
        <v>248</v>
      </c>
    </row>
    <row r="10" spans="1:14" x14ac:dyDescent="0.25">
      <c r="B10" s="29">
        <v>46251</v>
      </c>
      <c r="C10" s="28" t="s">
        <v>99</v>
      </c>
      <c r="D10" s="31">
        <v>41</v>
      </c>
      <c r="E10" s="31">
        <v>34</v>
      </c>
      <c r="F10" s="41" t="str">
        <f>IF(tblChecks[[#This Row],[Week starting]]="","",IFERROR(INDEX(tblMachines[Area],MATCH(tblChecks[[#This Row],[Machine]],tblMachines[Machine],0)),""))</f>
        <v>Converting</v>
      </c>
      <c r="G10" s="39">
        <f>IF(tblChecks[[#This Row],[Week starting]]="","",SUMIFS(tblStandard[Checks per week],tblStandard[Machine],tblChecks[[#This Row],[Machine]]))</f>
        <v>41</v>
      </c>
      <c r="H10" s="42">
        <f>IF(tblChecks[[#This Row],[Week starting]]="","",tblChecks[[#This Row],[Checks due]]-tblChecks[[#This Row],[Checks done]])</f>
        <v>7</v>
      </c>
      <c r="I10" s="43">
        <f>IF(tblChecks[[#This Row],[Week starting]]="","",IF(tblChecks[[#This Row],[Checks due]]&gt;0,tblChecks[[#This Row],[Checks done]]/tblChecks[[#This Row],[Checks due]],""))</f>
        <v>0.829268292682927</v>
      </c>
      <c r="J10" s="44" t="str">
        <f>IF(NOT(ISNUMBER(tblChecks[[#This Row],[Compliance]])),"",IF(tblChecks[[#This Row],[Compliance]]&gt;=TargetCompliance,"On target",IF(tblChecks[[#This Row],[Compliance]]&gt;=TargetCompliance*(1-0.05),"Near target","Below target")))</f>
        <v>Below target</v>
      </c>
      <c r="K10" s="42">
        <f>IF(tblChecks[[#This Row],[Week starting]]="","",COUNTIFS(tblTags[Machine],tblChecks[[#This Row],[Machine]],tblTags[Date found],"&gt;="&amp;tblChecks[[#This Row],[Week starting]],tblTags[Date found],"&lt;"&amp;tblChecks[[#This Row],[Week starting]]+7))</f>
        <v>2</v>
      </c>
      <c r="L10" s="45">
        <f>IF(tblChecks[[#This Row],[Week starting]]="","",IF(AND(tblChecks[[#This Row],[Week starting]]&gt;=FFrom,tblChecks[[#This Row],[Week starting]]&lt;=FTo,OR(DashMachine="",tblChecks[[#This Row],[Machine]]=DashMachine)),tblChecks[[#This Row],[Week starting]],""))</f>
        <v>46251</v>
      </c>
      <c r="M10"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10" s="28" t="s">
        <v>249</v>
      </c>
    </row>
    <row r="11" spans="1:14" x14ac:dyDescent="0.25">
      <c r="B11" s="29">
        <v>46251</v>
      </c>
      <c r="C11" s="28" t="s">
        <v>101</v>
      </c>
      <c r="D11" s="31">
        <v>33</v>
      </c>
      <c r="E11" s="31">
        <v>31</v>
      </c>
      <c r="F11" s="41" t="str">
        <f>IF(tblChecks[[#This Row],[Week starting]]="","",IFERROR(INDEX(tblMachines[Area],MATCH(tblChecks[[#This Row],[Machine]],tblMachines[Machine],0)),""))</f>
        <v>Bagging</v>
      </c>
      <c r="G11" s="39">
        <f>IF(tblChecks[[#This Row],[Week starting]]="","",SUMIFS(tblStandard[Checks per week],tblStandard[Machine],tblChecks[[#This Row],[Machine]]))</f>
        <v>33</v>
      </c>
      <c r="H11" s="42">
        <f>IF(tblChecks[[#This Row],[Week starting]]="","",tblChecks[[#This Row],[Checks due]]-tblChecks[[#This Row],[Checks done]])</f>
        <v>2</v>
      </c>
      <c r="I11" s="43">
        <f>IF(tblChecks[[#This Row],[Week starting]]="","",IF(tblChecks[[#This Row],[Checks due]]&gt;0,tblChecks[[#This Row],[Checks done]]/tblChecks[[#This Row],[Checks due]],""))</f>
        <v>0.939393939393939</v>
      </c>
      <c r="J11" s="44" t="str">
        <f>IF(NOT(ISNUMBER(tblChecks[[#This Row],[Compliance]])),"",IF(tblChecks[[#This Row],[Compliance]]&gt;=TargetCompliance,"On target",IF(tblChecks[[#This Row],[Compliance]]&gt;=TargetCompliance*(1-0.05),"Near target","Below target")))</f>
        <v>Near target</v>
      </c>
      <c r="K11" s="42">
        <f>IF(tblChecks[[#This Row],[Week starting]]="","",COUNTIFS(tblTags[Machine],tblChecks[[#This Row],[Machine]],tblTags[Date found],"&gt;="&amp;tblChecks[[#This Row],[Week starting]],tblTags[Date found],"&lt;"&amp;tblChecks[[#This Row],[Week starting]]+7))</f>
        <v>1</v>
      </c>
      <c r="L11" s="45">
        <f>IF(tblChecks[[#This Row],[Week starting]]="","",IF(AND(tblChecks[[#This Row],[Week starting]]&gt;=FFrom,tblChecks[[#This Row],[Week starting]]&lt;=FTo,OR(DashMachine="",tblChecks[[#This Row],[Machine]]=DashMachine)),tblChecks[[#This Row],[Week starting]],""))</f>
        <v>46251</v>
      </c>
      <c r="M11"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11" s="28" t="s">
        <v>248</v>
      </c>
    </row>
    <row r="12" spans="1:14" x14ac:dyDescent="0.25">
      <c r="B12" s="29">
        <v>46258</v>
      </c>
      <c r="C12" s="28" t="s">
        <v>88</v>
      </c>
      <c r="D12" s="31">
        <v>33</v>
      </c>
      <c r="E12" s="31">
        <v>32</v>
      </c>
      <c r="F12" s="41" t="str">
        <f>IF(tblChecks[[#This Row],[Week starting]]="","",IFERROR(INDEX(tblMachines[Area],MATCH(tblChecks[[#This Row],[Machine]],tblMachines[Machine],0)),""))</f>
        <v>Extrusion</v>
      </c>
      <c r="G12" s="39">
        <f>IF(tblChecks[[#This Row],[Week starting]]="","",SUMIFS(tblStandard[Checks per week],tblStandard[Machine],tblChecks[[#This Row],[Machine]]))</f>
        <v>33</v>
      </c>
      <c r="H12" s="42">
        <f>IF(tblChecks[[#This Row],[Week starting]]="","",tblChecks[[#This Row],[Checks due]]-tblChecks[[#This Row],[Checks done]])</f>
        <v>1</v>
      </c>
      <c r="I12" s="43">
        <f>IF(tblChecks[[#This Row],[Week starting]]="","",IF(tblChecks[[#This Row],[Checks due]]&gt;0,tblChecks[[#This Row],[Checks done]]/tblChecks[[#This Row],[Checks due]],""))</f>
        <v>0.96969696969697</v>
      </c>
      <c r="J12" s="44" t="str">
        <f>IF(NOT(ISNUMBER(tblChecks[[#This Row],[Compliance]])),"",IF(tblChecks[[#This Row],[Compliance]]&gt;=TargetCompliance,"On target",IF(tblChecks[[#This Row],[Compliance]]&gt;=TargetCompliance*(1-0.05),"Near target","Below target")))</f>
        <v>On target</v>
      </c>
      <c r="K12" s="42">
        <f>IF(tblChecks[[#This Row],[Week starting]]="","",COUNTIFS(tblTags[Machine],tblChecks[[#This Row],[Machine]],tblTags[Date found],"&gt;="&amp;tblChecks[[#This Row],[Week starting]],tblTags[Date found],"&lt;"&amp;tblChecks[[#This Row],[Week starting]]+7))</f>
        <v>1</v>
      </c>
      <c r="L12" s="45">
        <f>IF(tblChecks[[#This Row],[Week starting]]="","",IF(AND(tblChecks[[#This Row],[Week starting]]&gt;=FFrom,tblChecks[[#This Row],[Week starting]]&lt;=FTo,OR(DashMachine="",tblChecks[[#This Row],[Machine]]=DashMachine)),tblChecks[[#This Row],[Week starting]],""))</f>
        <v>46258</v>
      </c>
      <c r="M12"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12" s="28" t="s">
        <v>248</v>
      </c>
    </row>
    <row r="13" spans="1:14" x14ac:dyDescent="0.25">
      <c r="B13" s="29">
        <v>46258</v>
      </c>
      <c r="C13" s="28" t="s">
        <v>91</v>
      </c>
      <c r="D13" s="31">
        <v>46</v>
      </c>
      <c r="E13" s="31">
        <v>45</v>
      </c>
      <c r="F13" s="41" t="str">
        <f>IF(tblChecks[[#This Row],[Week starting]]="","",IFERROR(INDEX(tblMachines[Area],MATCH(tblChecks[[#This Row],[Machine]],tblMachines[Machine],0)),""))</f>
        <v>Printing</v>
      </c>
      <c r="G13" s="39">
        <f>IF(tblChecks[[#This Row],[Week starting]]="","",SUMIFS(tblStandard[Checks per week],tblStandard[Machine],tblChecks[[#This Row],[Machine]]))</f>
        <v>46</v>
      </c>
      <c r="H13" s="42">
        <f>IF(tblChecks[[#This Row],[Week starting]]="","",tblChecks[[#This Row],[Checks due]]-tblChecks[[#This Row],[Checks done]])</f>
        <v>1</v>
      </c>
      <c r="I13" s="43">
        <f>IF(tblChecks[[#This Row],[Week starting]]="","",IF(tblChecks[[#This Row],[Checks due]]&gt;0,tblChecks[[#This Row],[Checks done]]/tblChecks[[#This Row],[Checks due]],""))</f>
        <v>0.978260869565217</v>
      </c>
      <c r="J13" s="44" t="str">
        <f>IF(NOT(ISNUMBER(tblChecks[[#This Row],[Compliance]])),"",IF(tblChecks[[#This Row],[Compliance]]&gt;=TargetCompliance,"On target",IF(tblChecks[[#This Row],[Compliance]]&gt;=TargetCompliance*(1-0.05),"Near target","Below target")))</f>
        <v>On target</v>
      </c>
      <c r="K13" s="42">
        <f>IF(tblChecks[[#This Row],[Week starting]]="","",COUNTIFS(tblTags[Machine],tblChecks[[#This Row],[Machine]],tblTags[Date found],"&gt;="&amp;tblChecks[[#This Row],[Week starting]],tblTags[Date found],"&lt;"&amp;tblChecks[[#This Row],[Week starting]]+7))</f>
        <v>1</v>
      </c>
      <c r="L13" s="45">
        <f>IF(tblChecks[[#This Row],[Week starting]]="","",IF(AND(tblChecks[[#This Row],[Week starting]]&gt;=FFrom,tblChecks[[#This Row],[Week starting]]&lt;=FTo,OR(DashMachine="",tblChecks[[#This Row],[Machine]]=DashMachine)),tblChecks[[#This Row],[Week starting]],""))</f>
        <v>46258</v>
      </c>
      <c r="M13"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13" s="28" t="s">
        <v>248</v>
      </c>
    </row>
    <row r="14" spans="1:14" x14ac:dyDescent="0.25">
      <c r="B14" s="29">
        <v>46258</v>
      </c>
      <c r="C14" s="28" t="s">
        <v>94</v>
      </c>
      <c r="D14" s="31">
        <v>27</v>
      </c>
      <c r="E14" s="31">
        <v>25</v>
      </c>
      <c r="F14" s="41" t="str">
        <f>IF(tblChecks[[#This Row],[Week starting]]="","",IFERROR(INDEX(tblMachines[Area],MATCH(tblChecks[[#This Row],[Machine]],tblMachines[Machine],0)),""))</f>
        <v>Converting</v>
      </c>
      <c r="G14" s="39">
        <f>IF(tblChecks[[#This Row],[Week starting]]="","",SUMIFS(tblStandard[Checks per week],tblStandard[Machine],tblChecks[[#This Row],[Machine]]))</f>
        <v>27.25</v>
      </c>
      <c r="H14" s="42">
        <f>IF(tblChecks[[#This Row],[Week starting]]="","",tblChecks[[#This Row],[Checks due]]-tblChecks[[#This Row],[Checks done]])</f>
        <v>2</v>
      </c>
      <c r="I14" s="43">
        <f>IF(tblChecks[[#This Row],[Week starting]]="","",IF(tblChecks[[#This Row],[Checks due]]&gt;0,tblChecks[[#This Row],[Checks done]]/tblChecks[[#This Row],[Checks due]],""))</f>
        <v>0.925925925925926</v>
      </c>
      <c r="J14" s="44" t="str">
        <f>IF(NOT(ISNUMBER(tblChecks[[#This Row],[Compliance]])),"",IF(tblChecks[[#This Row],[Compliance]]&gt;=TargetCompliance,"On target",IF(tblChecks[[#This Row],[Compliance]]&gt;=TargetCompliance*(1-0.05),"Near target","Below target")))</f>
        <v>Near target</v>
      </c>
      <c r="K14" s="42">
        <f>IF(tblChecks[[#This Row],[Week starting]]="","",COUNTIFS(tblTags[Machine],tblChecks[[#This Row],[Machine]],tblTags[Date found],"&gt;="&amp;tblChecks[[#This Row],[Week starting]],tblTags[Date found],"&lt;"&amp;tblChecks[[#This Row],[Week starting]]+7))</f>
        <v>1</v>
      </c>
      <c r="L14" s="45">
        <f>IF(tblChecks[[#This Row],[Week starting]]="","",IF(AND(tblChecks[[#This Row],[Week starting]]&gt;=FFrom,tblChecks[[#This Row],[Week starting]]&lt;=FTo,OR(DashMachine="",tblChecks[[#This Row],[Machine]]=DashMachine)),tblChecks[[#This Row],[Week starting]],""))</f>
        <v>46258</v>
      </c>
      <c r="M14"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14" s="28" t="s">
        <v>248</v>
      </c>
    </row>
    <row r="15" spans="1:14" x14ac:dyDescent="0.25">
      <c r="B15" s="29">
        <v>46258</v>
      </c>
      <c r="C15" s="28" t="s">
        <v>97</v>
      </c>
      <c r="D15" s="31">
        <v>41</v>
      </c>
      <c r="E15" s="31">
        <v>39</v>
      </c>
      <c r="F15" s="41" t="str">
        <f>IF(tblChecks[[#This Row],[Week starting]]="","",IFERROR(INDEX(tblMachines[Area],MATCH(tblChecks[[#This Row],[Machine]],tblMachines[Machine],0)),""))</f>
        <v>Converting</v>
      </c>
      <c r="G15" s="39">
        <f>IF(tblChecks[[#This Row],[Week starting]]="","",SUMIFS(tblStandard[Checks per week],tblStandard[Machine],tblChecks[[#This Row],[Machine]]))</f>
        <v>41</v>
      </c>
      <c r="H15" s="42">
        <f>IF(tblChecks[[#This Row],[Week starting]]="","",tblChecks[[#This Row],[Checks due]]-tblChecks[[#This Row],[Checks done]])</f>
        <v>2</v>
      </c>
      <c r="I15" s="43">
        <f>IF(tblChecks[[#This Row],[Week starting]]="","",IF(tblChecks[[#This Row],[Checks due]]&gt;0,tblChecks[[#This Row],[Checks done]]/tblChecks[[#This Row],[Checks due]],""))</f>
        <v>0.951219512195122</v>
      </c>
      <c r="J15" s="44" t="str">
        <f>IF(NOT(ISNUMBER(tblChecks[[#This Row],[Compliance]])),"",IF(tblChecks[[#This Row],[Compliance]]&gt;=TargetCompliance,"On target",IF(tblChecks[[#This Row],[Compliance]]&gt;=TargetCompliance*(1-0.05),"Near target","Below target")))</f>
        <v>On target</v>
      </c>
      <c r="K15" s="42">
        <f>IF(tblChecks[[#This Row],[Week starting]]="","",COUNTIFS(tblTags[Machine],tblChecks[[#This Row],[Machine]],tblTags[Date found],"&gt;="&amp;tblChecks[[#This Row],[Week starting]],tblTags[Date found],"&lt;"&amp;tblChecks[[#This Row],[Week starting]]+7))</f>
        <v>1</v>
      </c>
      <c r="L15" s="45">
        <f>IF(tblChecks[[#This Row],[Week starting]]="","",IF(AND(tblChecks[[#This Row],[Week starting]]&gt;=FFrom,tblChecks[[#This Row],[Week starting]]&lt;=FTo,OR(DashMachine="",tblChecks[[#This Row],[Machine]]=DashMachine)),tblChecks[[#This Row],[Week starting]],""))</f>
        <v>46258</v>
      </c>
      <c r="M15"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15" s="28" t="s">
        <v>248</v>
      </c>
    </row>
    <row r="16" spans="1:14" x14ac:dyDescent="0.25">
      <c r="B16" s="29">
        <v>46258</v>
      </c>
      <c r="C16" s="28" t="s">
        <v>99</v>
      </c>
      <c r="D16" s="31">
        <v>41</v>
      </c>
      <c r="E16" s="31">
        <v>34</v>
      </c>
      <c r="F16" s="41" t="str">
        <f>IF(tblChecks[[#This Row],[Week starting]]="","",IFERROR(INDEX(tblMachines[Area],MATCH(tblChecks[[#This Row],[Machine]],tblMachines[Machine],0)),""))</f>
        <v>Converting</v>
      </c>
      <c r="G16" s="39">
        <f>IF(tblChecks[[#This Row],[Week starting]]="","",SUMIFS(tblStandard[Checks per week],tblStandard[Machine],tblChecks[[#This Row],[Machine]]))</f>
        <v>41</v>
      </c>
      <c r="H16" s="42">
        <f>IF(tblChecks[[#This Row],[Week starting]]="","",tblChecks[[#This Row],[Checks due]]-tblChecks[[#This Row],[Checks done]])</f>
        <v>7</v>
      </c>
      <c r="I16" s="43">
        <f>IF(tblChecks[[#This Row],[Week starting]]="","",IF(tblChecks[[#This Row],[Checks due]]&gt;0,tblChecks[[#This Row],[Checks done]]/tblChecks[[#This Row],[Checks due]],""))</f>
        <v>0.829268292682927</v>
      </c>
      <c r="J16" s="44" t="str">
        <f>IF(NOT(ISNUMBER(tblChecks[[#This Row],[Compliance]])),"",IF(tblChecks[[#This Row],[Compliance]]&gt;=TargetCompliance,"On target",IF(tblChecks[[#This Row],[Compliance]]&gt;=TargetCompliance*(1-0.05),"Near target","Below target")))</f>
        <v>Below target</v>
      </c>
      <c r="K16" s="42">
        <f>IF(tblChecks[[#This Row],[Week starting]]="","",COUNTIFS(tblTags[Machine],tblChecks[[#This Row],[Machine]],tblTags[Date found],"&gt;="&amp;tblChecks[[#This Row],[Week starting]],tblTags[Date found],"&lt;"&amp;tblChecks[[#This Row],[Week starting]]+7))</f>
        <v>2</v>
      </c>
      <c r="L16" s="45">
        <f>IF(tblChecks[[#This Row],[Week starting]]="","",IF(AND(tblChecks[[#This Row],[Week starting]]&gt;=FFrom,tblChecks[[#This Row],[Week starting]]&lt;=FTo,OR(DashMachine="",tblChecks[[#This Row],[Machine]]=DashMachine)),tblChecks[[#This Row],[Week starting]],""))</f>
        <v>46258</v>
      </c>
      <c r="M16"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16" s="28" t="s">
        <v>249</v>
      </c>
    </row>
    <row r="17" spans="2:14" x14ac:dyDescent="0.25">
      <c r="B17" s="29">
        <v>46258</v>
      </c>
      <c r="C17" s="28" t="s">
        <v>101</v>
      </c>
      <c r="D17" s="31">
        <v>33</v>
      </c>
      <c r="E17" s="31">
        <v>33</v>
      </c>
      <c r="F17" s="41" t="str">
        <f>IF(tblChecks[[#This Row],[Week starting]]="","",IFERROR(INDEX(tblMachines[Area],MATCH(tblChecks[[#This Row],[Machine]],tblMachines[Machine],0)),""))</f>
        <v>Bagging</v>
      </c>
      <c r="G17" s="39">
        <f>IF(tblChecks[[#This Row],[Week starting]]="","",SUMIFS(tblStandard[Checks per week],tblStandard[Machine],tblChecks[[#This Row],[Machine]]))</f>
        <v>33</v>
      </c>
      <c r="H17" s="42">
        <f>IF(tblChecks[[#This Row],[Week starting]]="","",tblChecks[[#This Row],[Checks due]]-tblChecks[[#This Row],[Checks done]])</f>
        <v>0</v>
      </c>
      <c r="I17" s="43">
        <f>IF(tblChecks[[#This Row],[Week starting]]="","",IF(tblChecks[[#This Row],[Checks due]]&gt;0,tblChecks[[#This Row],[Checks done]]/tblChecks[[#This Row],[Checks due]],""))</f>
        <v>1</v>
      </c>
      <c r="J17" s="44" t="str">
        <f>IF(NOT(ISNUMBER(tblChecks[[#This Row],[Compliance]])),"",IF(tblChecks[[#This Row],[Compliance]]&gt;=TargetCompliance,"On target",IF(tblChecks[[#This Row],[Compliance]]&gt;=TargetCompliance*(1-0.05),"Near target","Below target")))</f>
        <v>On target</v>
      </c>
      <c r="K17" s="42">
        <f>IF(tblChecks[[#This Row],[Week starting]]="","",COUNTIFS(tblTags[Machine],tblChecks[[#This Row],[Machine]],tblTags[Date found],"&gt;="&amp;tblChecks[[#This Row],[Week starting]],tblTags[Date found],"&lt;"&amp;tblChecks[[#This Row],[Week starting]]+7))</f>
        <v>1</v>
      </c>
      <c r="L17" s="45">
        <f>IF(tblChecks[[#This Row],[Week starting]]="","",IF(AND(tblChecks[[#This Row],[Week starting]]&gt;=FFrom,tblChecks[[#This Row],[Week starting]]&lt;=FTo,OR(DashMachine="",tblChecks[[#This Row],[Machine]]=DashMachine)),tblChecks[[#This Row],[Week starting]],""))</f>
        <v>46258</v>
      </c>
      <c r="M17"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17" s="28" t="s">
        <v>248</v>
      </c>
    </row>
    <row r="18" spans="2:14" x14ac:dyDescent="0.25">
      <c r="B18" s="29">
        <v>46265</v>
      </c>
      <c r="C18" s="28" t="s">
        <v>88</v>
      </c>
      <c r="D18" s="31">
        <v>33</v>
      </c>
      <c r="E18" s="31">
        <v>32</v>
      </c>
      <c r="F18" s="41" t="str">
        <f>IF(tblChecks[[#This Row],[Week starting]]="","",IFERROR(INDEX(tblMachines[Area],MATCH(tblChecks[[#This Row],[Machine]],tblMachines[Machine],0)),""))</f>
        <v>Extrusion</v>
      </c>
      <c r="G18" s="39">
        <f>IF(tblChecks[[#This Row],[Week starting]]="","",SUMIFS(tblStandard[Checks per week],tblStandard[Machine],tblChecks[[#This Row],[Machine]]))</f>
        <v>33</v>
      </c>
      <c r="H18" s="42">
        <f>IF(tblChecks[[#This Row],[Week starting]]="","",tblChecks[[#This Row],[Checks due]]-tblChecks[[#This Row],[Checks done]])</f>
        <v>1</v>
      </c>
      <c r="I18" s="43">
        <f>IF(tblChecks[[#This Row],[Week starting]]="","",IF(tblChecks[[#This Row],[Checks due]]&gt;0,tblChecks[[#This Row],[Checks done]]/tblChecks[[#This Row],[Checks due]],""))</f>
        <v>0.96969696969697</v>
      </c>
      <c r="J18" s="44" t="str">
        <f>IF(NOT(ISNUMBER(tblChecks[[#This Row],[Compliance]])),"",IF(tblChecks[[#This Row],[Compliance]]&gt;=TargetCompliance,"On target",IF(tblChecks[[#This Row],[Compliance]]&gt;=TargetCompliance*(1-0.05),"Near target","Below target")))</f>
        <v>On target</v>
      </c>
      <c r="K18" s="42">
        <f>IF(tblChecks[[#This Row],[Week starting]]="","",COUNTIFS(tblTags[Machine],tblChecks[[#This Row],[Machine]],tblTags[Date found],"&gt;="&amp;tblChecks[[#This Row],[Week starting]],tblTags[Date found],"&lt;"&amp;tblChecks[[#This Row],[Week starting]]+7))</f>
        <v>1</v>
      </c>
      <c r="L18" s="45">
        <f>IF(tblChecks[[#This Row],[Week starting]]="","",IF(AND(tblChecks[[#This Row],[Week starting]]&gt;=FFrom,tblChecks[[#This Row],[Week starting]]&lt;=FTo,OR(DashMachine="",tblChecks[[#This Row],[Machine]]=DashMachine)),tblChecks[[#This Row],[Week starting]],""))</f>
        <v>46265</v>
      </c>
      <c r="M18"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18" s="28" t="s">
        <v>248</v>
      </c>
    </row>
    <row r="19" spans="2:14" x14ac:dyDescent="0.25">
      <c r="B19" s="29">
        <v>46265</v>
      </c>
      <c r="C19" s="28" t="s">
        <v>91</v>
      </c>
      <c r="D19" s="31">
        <v>46</v>
      </c>
      <c r="E19" s="31">
        <v>43</v>
      </c>
      <c r="F19" s="41" t="str">
        <f>IF(tblChecks[[#This Row],[Week starting]]="","",IFERROR(INDEX(tblMachines[Area],MATCH(tblChecks[[#This Row],[Machine]],tblMachines[Machine],0)),""))</f>
        <v>Printing</v>
      </c>
      <c r="G19" s="39">
        <f>IF(tblChecks[[#This Row],[Week starting]]="","",SUMIFS(tblStandard[Checks per week],tblStandard[Machine],tblChecks[[#This Row],[Machine]]))</f>
        <v>46</v>
      </c>
      <c r="H19" s="42">
        <f>IF(tblChecks[[#This Row],[Week starting]]="","",tblChecks[[#This Row],[Checks due]]-tblChecks[[#This Row],[Checks done]])</f>
        <v>3</v>
      </c>
      <c r="I19" s="43">
        <f>IF(tblChecks[[#This Row],[Week starting]]="","",IF(tblChecks[[#This Row],[Checks due]]&gt;0,tblChecks[[#This Row],[Checks done]]/tblChecks[[#This Row],[Checks due]],""))</f>
        <v>0.934782608695652</v>
      </c>
      <c r="J19" s="44" t="str">
        <f>IF(NOT(ISNUMBER(tblChecks[[#This Row],[Compliance]])),"",IF(tblChecks[[#This Row],[Compliance]]&gt;=TargetCompliance,"On target",IF(tblChecks[[#This Row],[Compliance]]&gt;=TargetCompliance*(1-0.05),"Near target","Below target")))</f>
        <v>Near target</v>
      </c>
      <c r="K19" s="42">
        <f>IF(tblChecks[[#This Row],[Week starting]]="","",COUNTIFS(tblTags[Machine],tblChecks[[#This Row],[Machine]],tblTags[Date found],"&gt;="&amp;tblChecks[[#This Row],[Week starting]],tblTags[Date found],"&lt;"&amp;tblChecks[[#This Row],[Week starting]]+7))</f>
        <v>0</v>
      </c>
      <c r="L19" s="45">
        <f>IF(tblChecks[[#This Row],[Week starting]]="","",IF(AND(tblChecks[[#This Row],[Week starting]]&gt;=FFrom,tblChecks[[#This Row],[Week starting]]&lt;=FTo,OR(DashMachine="",tblChecks[[#This Row],[Machine]]=DashMachine)),tblChecks[[#This Row],[Week starting]],""))</f>
        <v>46265</v>
      </c>
      <c r="M19"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19" s="28" t="s">
        <v>248</v>
      </c>
    </row>
    <row r="20" spans="2:14" x14ac:dyDescent="0.25">
      <c r="B20" s="29">
        <v>46265</v>
      </c>
      <c r="C20" s="28" t="s">
        <v>94</v>
      </c>
      <c r="D20" s="31">
        <v>28</v>
      </c>
      <c r="E20" s="31">
        <v>27</v>
      </c>
      <c r="F20" s="41" t="str">
        <f>IF(tblChecks[[#This Row],[Week starting]]="","",IFERROR(INDEX(tblMachines[Area],MATCH(tblChecks[[#This Row],[Machine]],tblMachines[Machine],0)),""))</f>
        <v>Converting</v>
      </c>
      <c r="G20" s="39">
        <f>IF(tblChecks[[#This Row],[Week starting]]="","",SUMIFS(tblStandard[Checks per week],tblStandard[Machine],tblChecks[[#This Row],[Machine]]))</f>
        <v>27.25</v>
      </c>
      <c r="H20" s="42">
        <f>IF(tblChecks[[#This Row],[Week starting]]="","",tblChecks[[#This Row],[Checks due]]-tblChecks[[#This Row],[Checks done]])</f>
        <v>1</v>
      </c>
      <c r="I20" s="43">
        <f>IF(tblChecks[[#This Row],[Week starting]]="","",IF(tblChecks[[#This Row],[Checks due]]&gt;0,tblChecks[[#This Row],[Checks done]]/tblChecks[[#This Row],[Checks due]],""))</f>
        <v>0.964285714285714</v>
      </c>
      <c r="J20" s="44" t="str">
        <f>IF(NOT(ISNUMBER(tblChecks[[#This Row],[Compliance]])),"",IF(tblChecks[[#This Row],[Compliance]]&gt;=TargetCompliance,"On target",IF(tblChecks[[#This Row],[Compliance]]&gt;=TargetCompliance*(1-0.05),"Near target","Below target")))</f>
        <v>On target</v>
      </c>
      <c r="K20" s="42">
        <f>IF(tblChecks[[#This Row],[Week starting]]="","",COUNTIFS(tblTags[Machine],tblChecks[[#This Row],[Machine]],tblTags[Date found],"&gt;="&amp;tblChecks[[#This Row],[Week starting]],tblTags[Date found],"&lt;"&amp;tblChecks[[#This Row],[Week starting]]+7))</f>
        <v>1</v>
      </c>
      <c r="L20" s="45">
        <f>IF(tblChecks[[#This Row],[Week starting]]="","",IF(AND(tblChecks[[#This Row],[Week starting]]&gt;=FFrom,tblChecks[[#This Row],[Week starting]]&lt;=FTo,OR(DashMachine="",tblChecks[[#This Row],[Machine]]=DashMachine)),tblChecks[[#This Row],[Week starting]],""))</f>
        <v>46265</v>
      </c>
      <c r="M20"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20" s="28" t="s">
        <v>248</v>
      </c>
    </row>
    <row r="21" spans="2:14" x14ac:dyDescent="0.25">
      <c r="B21" s="29">
        <v>46265</v>
      </c>
      <c r="C21" s="28" t="s">
        <v>97</v>
      </c>
      <c r="D21" s="31">
        <v>41</v>
      </c>
      <c r="E21" s="31">
        <v>39</v>
      </c>
      <c r="F21" s="41" t="str">
        <f>IF(tblChecks[[#This Row],[Week starting]]="","",IFERROR(INDEX(tblMachines[Area],MATCH(tblChecks[[#This Row],[Machine]],tblMachines[Machine],0)),""))</f>
        <v>Converting</v>
      </c>
      <c r="G21" s="39">
        <f>IF(tblChecks[[#This Row],[Week starting]]="","",SUMIFS(tblStandard[Checks per week],tblStandard[Machine],tblChecks[[#This Row],[Machine]]))</f>
        <v>41</v>
      </c>
      <c r="H21" s="42">
        <f>IF(tblChecks[[#This Row],[Week starting]]="","",tblChecks[[#This Row],[Checks due]]-tblChecks[[#This Row],[Checks done]])</f>
        <v>2</v>
      </c>
      <c r="I21" s="43">
        <f>IF(tblChecks[[#This Row],[Week starting]]="","",IF(tblChecks[[#This Row],[Checks due]]&gt;0,tblChecks[[#This Row],[Checks done]]/tblChecks[[#This Row],[Checks due]],""))</f>
        <v>0.951219512195122</v>
      </c>
      <c r="J21" s="44" t="str">
        <f>IF(NOT(ISNUMBER(tblChecks[[#This Row],[Compliance]])),"",IF(tblChecks[[#This Row],[Compliance]]&gt;=TargetCompliance,"On target",IF(tblChecks[[#This Row],[Compliance]]&gt;=TargetCompliance*(1-0.05),"Near target","Below target")))</f>
        <v>On target</v>
      </c>
      <c r="K21" s="42">
        <f>IF(tblChecks[[#This Row],[Week starting]]="","",COUNTIFS(tblTags[Machine],tblChecks[[#This Row],[Machine]],tblTags[Date found],"&gt;="&amp;tblChecks[[#This Row],[Week starting]],tblTags[Date found],"&lt;"&amp;tblChecks[[#This Row],[Week starting]]+7))</f>
        <v>1</v>
      </c>
      <c r="L21" s="45">
        <f>IF(tblChecks[[#This Row],[Week starting]]="","",IF(AND(tblChecks[[#This Row],[Week starting]]&gt;=FFrom,tblChecks[[#This Row],[Week starting]]&lt;=FTo,OR(DashMachine="",tblChecks[[#This Row],[Machine]]=DashMachine)),tblChecks[[#This Row],[Week starting]],""))</f>
        <v>46265</v>
      </c>
      <c r="M21"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21" s="28" t="s">
        <v>248</v>
      </c>
    </row>
    <row r="22" spans="2:14" x14ac:dyDescent="0.25">
      <c r="B22" s="29">
        <v>46265</v>
      </c>
      <c r="C22" s="28" t="s">
        <v>99</v>
      </c>
      <c r="D22" s="31">
        <v>41</v>
      </c>
      <c r="E22" s="31">
        <v>35</v>
      </c>
      <c r="F22" s="41" t="str">
        <f>IF(tblChecks[[#This Row],[Week starting]]="","",IFERROR(INDEX(tblMachines[Area],MATCH(tblChecks[[#This Row],[Machine]],tblMachines[Machine],0)),""))</f>
        <v>Converting</v>
      </c>
      <c r="G22" s="39">
        <f>IF(tblChecks[[#This Row],[Week starting]]="","",SUMIFS(tblStandard[Checks per week],tblStandard[Machine],tblChecks[[#This Row],[Machine]]))</f>
        <v>41</v>
      </c>
      <c r="H22" s="42">
        <f>IF(tblChecks[[#This Row],[Week starting]]="","",tblChecks[[#This Row],[Checks due]]-tblChecks[[#This Row],[Checks done]])</f>
        <v>6</v>
      </c>
      <c r="I22" s="43">
        <f>IF(tblChecks[[#This Row],[Week starting]]="","",IF(tblChecks[[#This Row],[Checks due]]&gt;0,tblChecks[[#This Row],[Checks done]]/tblChecks[[#This Row],[Checks due]],""))</f>
        <v>0.853658536585366</v>
      </c>
      <c r="J22" s="44" t="str">
        <f>IF(NOT(ISNUMBER(tblChecks[[#This Row],[Compliance]])),"",IF(tblChecks[[#This Row],[Compliance]]&gt;=TargetCompliance,"On target",IF(tblChecks[[#This Row],[Compliance]]&gt;=TargetCompliance*(1-0.05),"Near target","Below target")))</f>
        <v>Below target</v>
      </c>
      <c r="K22" s="42">
        <f>IF(tblChecks[[#This Row],[Week starting]]="","",COUNTIFS(tblTags[Machine],tblChecks[[#This Row],[Machine]],tblTags[Date found],"&gt;="&amp;tblChecks[[#This Row],[Week starting]],tblTags[Date found],"&lt;"&amp;tblChecks[[#This Row],[Week starting]]+7))</f>
        <v>2</v>
      </c>
      <c r="L22" s="45">
        <f>IF(tblChecks[[#This Row],[Week starting]]="","",IF(AND(tblChecks[[#This Row],[Week starting]]&gt;=FFrom,tblChecks[[#This Row],[Week starting]]&lt;=FTo,OR(DashMachine="",tblChecks[[#This Row],[Machine]]=DashMachine)),tblChecks[[#This Row],[Week starting]],""))</f>
        <v>46265</v>
      </c>
      <c r="M22"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22" s="28" t="s">
        <v>248</v>
      </c>
    </row>
    <row r="23" spans="2:14" x14ac:dyDescent="0.25">
      <c r="B23" s="29">
        <v>46265</v>
      </c>
      <c r="C23" s="28" t="s">
        <v>101</v>
      </c>
      <c r="D23" s="31">
        <v>33</v>
      </c>
      <c r="E23" s="31">
        <v>33</v>
      </c>
      <c r="F23" s="41" t="str">
        <f>IF(tblChecks[[#This Row],[Week starting]]="","",IFERROR(INDEX(tblMachines[Area],MATCH(tblChecks[[#This Row],[Machine]],tblMachines[Machine],0)),""))</f>
        <v>Bagging</v>
      </c>
      <c r="G23" s="39">
        <f>IF(tblChecks[[#This Row],[Week starting]]="","",SUMIFS(tblStandard[Checks per week],tblStandard[Machine],tblChecks[[#This Row],[Machine]]))</f>
        <v>33</v>
      </c>
      <c r="H23" s="42">
        <f>IF(tblChecks[[#This Row],[Week starting]]="","",tblChecks[[#This Row],[Checks due]]-tblChecks[[#This Row],[Checks done]])</f>
        <v>0</v>
      </c>
      <c r="I23" s="43">
        <f>IF(tblChecks[[#This Row],[Week starting]]="","",IF(tblChecks[[#This Row],[Checks due]]&gt;0,tblChecks[[#This Row],[Checks done]]/tblChecks[[#This Row],[Checks due]],""))</f>
        <v>1</v>
      </c>
      <c r="J23" s="44" t="str">
        <f>IF(NOT(ISNUMBER(tblChecks[[#This Row],[Compliance]])),"",IF(tblChecks[[#This Row],[Compliance]]&gt;=TargetCompliance,"On target",IF(tblChecks[[#This Row],[Compliance]]&gt;=TargetCompliance*(1-0.05),"Near target","Below target")))</f>
        <v>On target</v>
      </c>
      <c r="K23" s="42">
        <f>IF(tblChecks[[#This Row],[Week starting]]="","",COUNTIFS(tblTags[Machine],tblChecks[[#This Row],[Machine]],tblTags[Date found],"&gt;="&amp;tblChecks[[#This Row],[Week starting]],tblTags[Date found],"&lt;"&amp;tblChecks[[#This Row],[Week starting]]+7))</f>
        <v>1</v>
      </c>
      <c r="L23" s="45">
        <f>IF(tblChecks[[#This Row],[Week starting]]="","",IF(AND(tblChecks[[#This Row],[Week starting]]&gt;=FFrom,tblChecks[[#This Row],[Week starting]]&lt;=FTo,OR(DashMachine="",tblChecks[[#This Row],[Machine]]=DashMachine)),tblChecks[[#This Row],[Week starting]],""))</f>
        <v>46265</v>
      </c>
      <c r="M23"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23" s="28" t="s">
        <v>248</v>
      </c>
    </row>
    <row r="24" spans="2:14" x14ac:dyDescent="0.25">
      <c r="B24" s="29">
        <v>46272</v>
      </c>
      <c r="C24" s="28" t="s">
        <v>88</v>
      </c>
      <c r="D24" s="31">
        <v>27</v>
      </c>
      <c r="E24" s="31">
        <v>25</v>
      </c>
      <c r="F24" s="41" t="str">
        <f>IF(tblChecks[[#This Row],[Week starting]]="","",IFERROR(INDEX(tblMachines[Area],MATCH(tblChecks[[#This Row],[Machine]],tblMachines[Machine],0)),""))</f>
        <v>Extrusion</v>
      </c>
      <c r="G24" s="39">
        <f>IF(tblChecks[[#This Row],[Week starting]]="","",SUMIFS(tblStandard[Checks per week],tblStandard[Machine],tblChecks[[#This Row],[Machine]]))</f>
        <v>33</v>
      </c>
      <c r="H24" s="42">
        <f>IF(tblChecks[[#This Row],[Week starting]]="","",tblChecks[[#This Row],[Checks due]]-tblChecks[[#This Row],[Checks done]])</f>
        <v>2</v>
      </c>
      <c r="I24" s="43">
        <f>IF(tblChecks[[#This Row],[Week starting]]="","",IF(tblChecks[[#This Row],[Checks due]]&gt;0,tblChecks[[#This Row],[Checks done]]/tblChecks[[#This Row],[Checks due]],""))</f>
        <v>0.925925925925926</v>
      </c>
      <c r="J24" s="44" t="str">
        <f>IF(NOT(ISNUMBER(tblChecks[[#This Row],[Compliance]])),"",IF(tblChecks[[#This Row],[Compliance]]&gt;=TargetCompliance,"On target",IF(tblChecks[[#This Row],[Compliance]]&gt;=TargetCompliance*(1-0.05),"Near target","Below target")))</f>
        <v>Near target</v>
      </c>
      <c r="K24" s="42">
        <f>IF(tblChecks[[#This Row],[Week starting]]="","",COUNTIFS(tblTags[Machine],tblChecks[[#This Row],[Machine]],tblTags[Date found],"&gt;="&amp;tblChecks[[#This Row],[Week starting]],tblTags[Date found],"&lt;"&amp;tblChecks[[#This Row],[Week starting]]+7))</f>
        <v>2</v>
      </c>
      <c r="L24" s="45">
        <f>IF(tblChecks[[#This Row],[Week starting]]="","",IF(AND(tblChecks[[#This Row],[Week starting]]&gt;=FFrom,tblChecks[[#This Row],[Week starting]]&lt;=FTo,OR(DashMachine="",tblChecks[[#This Row],[Machine]]=DashMachine)),tblChecks[[#This Row],[Week starting]],""))</f>
        <v>46272</v>
      </c>
      <c r="M24"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24" s="28" t="s">
        <v>250</v>
      </c>
    </row>
    <row r="25" spans="2:14" x14ac:dyDescent="0.25">
      <c r="B25" s="29">
        <v>46272</v>
      </c>
      <c r="C25" s="28" t="s">
        <v>91</v>
      </c>
      <c r="D25" s="31">
        <v>37</v>
      </c>
      <c r="E25" s="31">
        <v>34</v>
      </c>
      <c r="F25" s="41" t="str">
        <f>IF(tblChecks[[#This Row],[Week starting]]="","",IFERROR(INDEX(tblMachines[Area],MATCH(tblChecks[[#This Row],[Machine]],tblMachines[Machine],0)),""))</f>
        <v>Printing</v>
      </c>
      <c r="G25" s="39">
        <f>IF(tblChecks[[#This Row],[Week starting]]="","",SUMIFS(tblStandard[Checks per week],tblStandard[Machine],tblChecks[[#This Row],[Machine]]))</f>
        <v>46</v>
      </c>
      <c r="H25" s="42">
        <f>IF(tblChecks[[#This Row],[Week starting]]="","",tblChecks[[#This Row],[Checks due]]-tblChecks[[#This Row],[Checks done]])</f>
        <v>3</v>
      </c>
      <c r="I25" s="43">
        <f>IF(tblChecks[[#This Row],[Week starting]]="","",IF(tblChecks[[#This Row],[Checks due]]&gt;0,tblChecks[[#This Row],[Checks done]]/tblChecks[[#This Row],[Checks due]],""))</f>
        <v>0.918918918918919</v>
      </c>
      <c r="J25" s="44" t="str">
        <f>IF(NOT(ISNUMBER(tblChecks[[#This Row],[Compliance]])),"",IF(tblChecks[[#This Row],[Compliance]]&gt;=TargetCompliance,"On target",IF(tblChecks[[#This Row],[Compliance]]&gt;=TargetCompliance*(1-0.05),"Near target","Below target")))</f>
        <v>Near target</v>
      </c>
      <c r="K25" s="42">
        <f>IF(tblChecks[[#This Row],[Week starting]]="","",COUNTIFS(tblTags[Machine],tblChecks[[#This Row],[Machine]],tblTags[Date found],"&gt;="&amp;tblChecks[[#This Row],[Week starting]],tblTags[Date found],"&lt;"&amp;tblChecks[[#This Row],[Week starting]]+7))</f>
        <v>0</v>
      </c>
      <c r="L25" s="45">
        <f>IF(tblChecks[[#This Row],[Week starting]]="","",IF(AND(tblChecks[[#This Row],[Week starting]]&gt;=FFrom,tblChecks[[#This Row],[Week starting]]&lt;=FTo,OR(DashMachine="",tblChecks[[#This Row],[Machine]]=DashMachine)),tblChecks[[#This Row],[Week starting]],""))</f>
        <v>46272</v>
      </c>
      <c r="M25"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25" s="28" t="s">
        <v>250</v>
      </c>
    </row>
    <row r="26" spans="2:14" x14ac:dyDescent="0.25">
      <c r="B26" s="29">
        <v>46272</v>
      </c>
      <c r="C26" s="28" t="s">
        <v>94</v>
      </c>
      <c r="D26" s="31">
        <v>22</v>
      </c>
      <c r="E26" s="31">
        <v>20</v>
      </c>
      <c r="F26" s="41" t="str">
        <f>IF(tblChecks[[#This Row],[Week starting]]="","",IFERROR(INDEX(tblMachines[Area],MATCH(tblChecks[[#This Row],[Machine]],tblMachines[Machine],0)),""))</f>
        <v>Converting</v>
      </c>
      <c r="G26" s="39">
        <f>IF(tblChecks[[#This Row],[Week starting]]="","",SUMIFS(tblStandard[Checks per week],tblStandard[Machine],tblChecks[[#This Row],[Machine]]))</f>
        <v>27.25</v>
      </c>
      <c r="H26" s="42">
        <f>IF(tblChecks[[#This Row],[Week starting]]="","",tblChecks[[#This Row],[Checks due]]-tblChecks[[#This Row],[Checks done]])</f>
        <v>2</v>
      </c>
      <c r="I26" s="43">
        <f>IF(tblChecks[[#This Row],[Week starting]]="","",IF(tblChecks[[#This Row],[Checks due]]&gt;0,tblChecks[[#This Row],[Checks done]]/tblChecks[[#This Row],[Checks due]],""))</f>
        <v>0.909090909090909</v>
      </c>
      <c r="J26" s="44" t="str">
        <f>IF(NOT(ISNUMBER(tblChecks[[#This Row],[Compliance]])),"",IF(tblChecks[[#This Row],[Compliance]]&gt;=TargetCompliance,"On target",IF(tblChecks[[#This Row],[Compliance]]&gt;=TargetCompliance*(1-0.05),"Near target","Below target")))</f>
        <v>Near target</v>
      </c>
      <c r="K26" s="42">
        <f>IF(tblChecks[[#This Row],[Week starting]]="","",COUNTIFS(tblTags[Machine],tblChecks[[#This Row],[Machine]],tblTags[Date found],"&gt;="&amp;tblChecks[[#This Row],[Week starting]],tblTags[Date found],"&lt;"&amp;tblChecks[[#This Row],[Week starting]]+7))</f>
        <v>1</v>
      </c>
      <c r="L26" s="45">
        <f>IF(tblChecks[[#This Row],[Week starting]]="","",IF(AND(tblChecks[[#This Row],[Week starting]]&gt;=FFrom,tblChecks[[#This Row],[Week starting]]&lt;=FTo,OR(DashMachine="",tblChecks[[#This Row],[Machine]]=DashMachine)),tblChecks[[#This Row],[Week starting]],""))</f>
        <v>46272</v>
      </c>
      <c r="M26"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26" s="28" t="s">
        <v>250</v>
      </c>
    </row>
    <row r="27" spans="2:14" x14ac:dyDescent="0.25">
      <c r="B27" s="29">
        <v>46272</v>
      </c>
      <c r="C27" s="28" t="s">
        <v>97</v>
      </c>
      <c r="D27" s="31">
        <v>33</v>
      </c>
      <c r="E27" s="31">
        <v>30</v>
      </c>
      <c r="F27" s="41" t="str">
        <f>IF(tblChecks[[#This Row],[Week starting]]="","",IFERROR(INDEX(tblMachines[Area],MATCH(tblChecks[[#This Row],[Machine]],tblMachines[Machine],0)),""))</f>
        <v>Converting</v>
      </c>
      <c r="G27" s="39">
        <f>IF(tblChecks[[#This Row],[Week starting]]="","",SUMIFS(tblStandard[Checks per week],tblStandard[Machine],tblChecks[[#This Row],[Machine]]))</f>
        <v>41</v>
      </c>
      <c r="H27" s="42">
        <f>IF(tblChecks[[#This Row],[Week starting]]="","",tblChecks[[#This Row],[Checks due]]-tblChecks[[#This Row],[Checks done]])</f>
        <v>3</v>
      </c>
      <c r="I27" s="43">
        <f>IF(tblChecks[[#This Row],[Week starting]]="","",IF(tblChecks[[#This Row],[Checks due]]&gt;0,tblChecks[[#This Row],[Checks done]]/tblChecks[[#This Row],[Checks due]],""))</f>
        <v>0.909090909090909</v>
      </c>
      <c r="J27" s="44" t="str">
        <f>IF(NOT(ISNUMBER(tblChecks[[#This Row],[Compliance]])),"",IF(tblChecks[[#This Row],[Compliance]]&gt;=TargetCompliance,"On target",IF(tblChecks[[#This Row],[Compliance]]&gt;=TargetCompliance*(1-0.05),"Near target","Below target")))</f>
        <v>Near target</v>
      </c>
      <c r="K27" s="42">
        <f>IF(tblChecks[[#This Row],[Week starting]]="","",COUNTIFS(tblTags[Machine],tblChecks[[#This Row],[Machine]],tblTags[Date found],"&gt;="&amp;tblChecks[[#This Row],[Week starting]],tblTags[Date found],"&lt;"&amp;tblChecks[[#This Row],[Week starting]]+7))</f>
        <v>1</v>
      </c>
      <c r="L27" s="45">
        <f>IF(tblChecks[[#This Row],[Week starting]]="","",IF(AND(tblChecks[[#This Row],[Week starting]]&gt;=FFrom,tblChecks[[#This Row],[Week starting]]&lt;=FTo,OR(DashMachine="",tblChecks[[#This Row],[Machine]]=DashMachine)),tblChecks[[#This Row],[Week starting]],""))</f>
        <v>46272</v>
      </c>
      <c r="M27"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27" s="28" t="s">
        <v>250</v>
      </c>
    </row>
    <row r="28" spans="2:14" x14ac:dyDescent="0.25">
      <c r="B28" s="29">
        <v>46272</v>
      </c>
      <c r="C28" s="28" t="s">
        <v>99</v>
      </c>
      <c r="D28" s="31">
        <v>33</v>
      </c>
      <c r="E28" s="31">
        <v>25</v>
      </c>
      <c r="F28" s="41" t="str">
        <f>IF(tblChecks[[#This Row],[Week starting]]="","",IFERROR(INDEX(tblMachines[Area],MATCH(tblChecks[[#This Row],[Machine]],tblMachines[Machine],0)),""))</f>
        <v>Converting</v>
      </c>
      <c r="G28" s="39">
        <f>IF(tblChecks[[#This Row],[Week starting]]="","",SUMIFS(tblStandard[Checks per week],tblStandard[Machine],tblChecks[[#This Row],[Machine]]))</f>
        <v>41</v>
      </c>
      <c r="H28" s="42">
        <f>IF(tblChecks[[#This Row],[Week starting]]="","",tblChecks[[#This Row],[Checks due]]-tblChecks[[#This Row],[Checks done]])</f>
        <v>8</v>
      </c>
      <c r="I28" s="43">
        <f>IF(tblChecks[[#This Row],[Week starting]]="","",IF(tblChecks[[#This Row],[Checks due]]&gt;0,tblChecks[[#This Row],[Checks done]]/tblChecks[[#This Row],[Checks due]],""))</f>
        <v>0.757575757575758</v>
      </c>
      <c r="J28" s="44" t="str">
        <f>IF(NOT(ISNUMBER(tblChecks[[#This Row],[Compliance]])),"",IF(tblChecks[[#This Row],[Compliance]]&gt;=TargetCompliance,"On target",IF(tblChecks[[#This Row],[Compliance]]&gt;=TargetCompliance*(1-0.05),"Near target","Below target")))</f>
        <v>Below target</v>
      </c>
      <c r="K28" s="42">
        <f>IF(tblChecks[[#This Row],[Week starting]]="","",COUNTIFS(tblTags[Machine],tblChecks[[#This Row],[Machine]],tblTags[Date found],"&gt;="&amp;tblChecks[[#This Row],[Week starting]],tblTags[Date found],"&lt;"&amp;tblChecks[[#This Row],[Week starting]]+7))</f>
        <v>2</v>
      </c>
      <c r="L28" s="45">
        <f>IF(tblChecks[[#This Row],[Week starting]]="","",IF(AND(tblChecks[[#This Row],[Week starting]]&gt;=FFrom,tblChecks[[#This Row],[Week starting]]&lt;=FTo,OR(DashMachine="",tblChecks[[#This Row],[Machine]]=DashMachine)),tblChecks[[#This Row],[Week starting]],""))</f>
        <v>46272</v>
      </c>
      <c r="M28"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28" s="28" t="s">
        <v>250</v>
      </c>
    </row>
    <row r="29" spans="2:14" x14ac:dyDescent="0.25">
      <c r="B29" s="29">
        <v>46272</v>
      </c>
      <c r="C29" s="28" t="s">
        <v>101</v>
      </c>
      <c r="D29" s="31">
        <v>27</v>
      </c>
      <c r="E29" s="31">
        <v>25</v>
      </c>
      <c r="F29" s="41" t="str">
        <f>IF(tblChecks[[#This Row],[Week starting]]="","",IFERROR(INDEX(tblMachines[Area],MATCH(tblChecks[[#This Row],[Machine]],tblMachines[Machine],0)),""))</f>
        <v>Bagging</v>
      </c>
      <c r="G29" s="39">
        <f>IF(tblChecks[[#This Row],[Week starting]]="","",SUMIFS(tblStandard[Checks per week],tblStandard[Machine],tblChecks[[#This Row],[Machine]]))</f>
        <v>33</v>
      </c>
      <c r="H29" s="42">
        <f>IF(tblChecks[[#This Row],[Week starting]]="","",tblChecks[[#This Row],[Checks due]]-tblChecks[[#This Row],[Checks done]])</f>
        <v>2</v>
      </c>
      <c r="I29" s="43">
        <f>IF(tblChecks[[#This Row],[Week starting]]="","",IF(tblChecks[[#This Row],[Checks due]]&gt;0,tblChecks[[#This Row],[Checks done]]/tblChecks[[#This Row],[Checks due]],""))</f>
        <v>0.925925925925926</v>
      </c>
      <c r="J29" s="44" t="str">
        <f>IF(NOT(ISNUMBER(tblChecks[[#This Row],[Compliance]])),"",IF(tblChecks[[#This Row],[Compliance]]&gt;=TargetCompliance,"On target",IF(tblChecks[[#This Row],[Compliance]]&gt;=TargetCompliance*(1-0.05),"Near target","Below target")))</f>
        <v>Near target</v>
      </c>
      <c r="K29" s="42">
        <f>IF(tblChecks[[#This Row],[Week starting]]="","",COUNTIFS(tblTags[Machine],tblChecks[[#This Row],[Machine]],tblTags[Date found],"&gt;="&amp;tblChecks[[#This Row],[Week starting]],tblTags[Date found],"&lt;"&amp;tblChecks[[#This Row],[Week starting]]+7))</f>
        <v>1</v>
      </c>
      <c r="L29" s="45">
        <f>IF(tblChecks[[#This Row],[Week starting]]="","",IF(AND(tblChecks[[#This Row],[Week starting]]&gt;=FFrom,tblChecks[[#This Row],[Week starting]]&lt;=FTo,OR(DashMachine="",tblChecks[[#This Row],[Machine]]=DashMachine)),tblChecks[[#This Row],[Week starting]],""))</f>
        <v>46272</v>
      </c>
      <c r="M29"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29" s="28" t="s">
        <v>250</v>
      </c>
    </row>
    <row r="30" spans="2:14" x14ac:dyDescent="0.25">
      <c r="B30" s="29">
        <v>46279</v>
      </c>
      <c r="C30" s="28" t="s">
        <v>88</v>
      </c>
      <c r="D30" s="31">
        <v>33</v>
      </c>
      <c r="E30" s="31">
        <v>31</v>
      </c>
      <c r="F30" s="41" t="str">
        <f>IF(tblChecks[[#This Row],[Week starting]]="","",IFERROR(INDEX(tblMachines[Area],MATCH(tblChecks[[#This Row],[Machine]],tblMachines[Machine],0)),""))</f>
        <v>Extrusion</v>
      </c>
      <c r="G30" s="39">
        <f>IF(tblChecks[[#This Row],[Week starting]]="","",SUMIFS(tblStandard[Checks per week],tblStandard[Machine],tblChecks[[#This Row],[Machine]]))</f>
        <v>33</v>
      </c>
      <c r="H30" s="42">
        <f>IF(tblChecks[[#This Row],[Week starting]]="","",tblChecks[[#This Row],[Checks due]]-tblChecks[[#This Row],[Checks done]])</f>
        <v>2</v>
      </c>
      <c r="I30" s="43">
        <f>IF(tblChecks[[#This Row],[Week starting]]="","",IF(tblChecks[[#This Row],[Checks due]]&gt;0,tblChecks[[#This Row],[Checks done]]/tblChecks[[#This Row],[Checks due]],""))</f>
        <v>0.939393939393939</v>
      </c>
      <c r="J30" s="44" t="str">
        <f>IF(NOT(ISNUMBER(tblChecks[[#This Row],[Compliance]])),"",IF(tblChecks[[#This Row],[Compliance]]&gt;=TargetCompliance,"On target",IF(tblChecks[[#This Row],[Compliance]]&gt;=TargetCompliance*(1-0.05),"Near target","Below target")))</f>
        <v>Near target</v>
      </c>
      <c r="K30" s="42">
        <f>IF(tblChecks[[#This Row],[Week starting]]="","",COUNTIFS(tblTags[Machine],tblChecks[[#This Row],[Machine]],tblTags[Date found],"&gt;="&amp;tblChecks[[#This Row],[Week starting]],tblTags[Date found],"&lt;"&amp;tblChecks[[#This Row],[Week starting]]+7))</f>
        <v>0</v>
      </c>
      <c r="L30" s="45">
        <f>IF(tblChecks[[#This Row],[Week starting]]="","",IF(AND(tblChecks[[#This Row],[Week starting]]&gt;=FFrom,tblChecks[[#This Row],[Week starting]]&lt;=FTo,OR(DashMachine="",tblChecks[[#This Row],[Machine]]=DashMachine)),tblChecks[[#This Row],[Week starting]],""))</f>
        <v>46279</v>
      </c>
      <c r="M30"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30" s="28" t="s">
        <v>248</v>
      </c>
    </row>
    <row r="31" spans="2:14" x14ac:dyDescent="0.25">
      <c r="B31" s="29">
        <v>46279</v>
      </c>
      <c r="C31" s="28" t="s">
        <v>91</v>
      </c>
      <c r="D31" s="31">
        <v>46</v>
      </c>
      <c r="E31" s="31">
        <v>42</v>
      </c>
      <c r="F31" s="41" t="str">
        <f>IF(tblChecks[[#This Row],[Week starting]]="","",IFERROR(INDEX(tblMachines[Area],MATCH(tblChecks[[#This Row],[Machine]],tblMachines[Machine],0)),""))</f>
        <v>Printing</v>
      </c>
      <c r="G31" s="39">
        <f>IF(tblChecks[[#This Row],[Week starting]]="","",SUMIFS(tblStandard[Checks per week],tblStandard[Machine],tblChecks[[#This Row],[Machine]]))</f>
        <v>46</v>
      </c>
      <c r="H31" s="42">
        <f>IF(tblChecks[[#This Row],[Week starting]]="","",tblChecks[[#This Row],[Checks due]]-tblChecks[[#This Row],[Checks done]])</f>
        <v>4</v>
      </c>
      <c r="I31" s="43">
        <f>IF(tblChecks[[#This Row],[Week starting]]="","",IF(tblChecks[[#This Row],[Checks due]]&gt;0,tblChecks[[#This Row],[Checks done]]/tblChecks[[#This Row],[Checks due]],""))</f>
        <v>0.91304347826087</v>
      </c>
      <c r="J31" s="44" t="str">
        <f>IF(NOT(ISNUMBER(tblChecks[[#This Row],[Compliance]])),"",IF(tblChecks[[#This Row],[Compliance]]&gt;=TargetCompliance,"On target",IF(tblChecks[[#This Row],[Compliance]]&gt;=TargetCompliance*(1-0.05),"Near target","Below target")))</f>
        <v>Near target</v>
      </c>
      <c r="K31" s="42">
        <f>IF(tblChecks[[#This Row],[Week starting]]="","",COUNTIFS(tblTags[Machine],tblChecks[[#This Row],[Machine]],tblTags[Date found],"&gt;="&amp;tblChecks[[#This Row],[Week starting]],tblTags[Date found],"&lt;"&amp;tblChecks[[#This Row],[Week starting]]+7))</f>
        <v>2</v>
      </c>
      <c r="L31" s="45">
        <f>IF(tblChecks[[#This Row],[Week starting]]="","",IF(AND(tblChecks[[#This Row],[Week starting]]&gt;=FFrom,tblChecks[[#This Row],[Week starting]]&lt;=FTo,OR(DashMachine="",tblChecks[[#This Row],[Machine]]=DashMachine)),tblChecks[[#This Row],[Week starting]],""))</f>
        <v>46279</v>
      </c>
      <c r="M31"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31" s="28" t="s">
        <v>248</v>
      </c>
    </row>
    <row r="32" spans="2:14" x14ac:dyDescent="0.25">
      <c r="B32" s="29">
        <v>46279</v>
      </c>
      <c r="C32" s="28" t="s">
        <v>94</v>
      </c>
      <c r="D32" s="31">
        <v>27</v>
      </c>
      <c r="E32" s="31">
        <v>24</v>
      </c>
      <c r="F32" s="41" t="str">
        <f>IF(tblChecks[[#This Row],[Week starting]]="","",IFERROR(INDEX(tblMachines[Area],MATCH(tblChecks[[#This Row],[Machine]],tblMachines[Machine],0)),""))</f>
        <v>Converting</v>
      </c>
      <c r="G32" s="39">
        <f>IF(tblChecks[[#This Row],[Week starting]]="","",SUMIFS(tblStandard[Checks per week],tblStandard[Machine],tblChecks[[#This Row],[Machine]]))</f>
        <v>27.25</v>
      </c>
      <c r="H32" s="42">
        <f>IF(tblChecks[[#This Row],[Week starting]]="","",tblChecks[[#This Row],[Checks due]]-tblChecks[[#This Row],[Checks done]])</f>
        <v>3</v>
      </c>
      <c r="I32" s="43">
        <f>IF(tblChecks[[#This Row],[Week starting]]="","",IF(tblChecks[[#This Row],[Checks due]]&gt;0,tblChecks[[#This Row],[Checks done]]/tblChecks[[#This Row],[Checks due]],""))</f>
        <v>0.888888888888889</v>
      </c>
      <c r="J32" s="44" t="str">
        <f>IF(NOT(ISNUMBER(tblChecks[[#This Row],[Compliance]])),"",IF(tblChecks[[#This Row],[Compliance]]&gt;=TargetCompliance,"On target",IF(tblChecks[[#This Row],[Compliance]]&gt;=TargetCompliance*(1-0.05),"Near target","Below target")))</f>
        <v>Below target</v>
      </c>
      <c r="K32" s="42">
        <f>IF(tblChecks[[#This Row],[Week starting]]="","",COUNTIFS(tblTags[Machine],tblChecks[[#This Row],[Machine]],tblTags[Date found],"&gt;="&amp;tblChecks[[#This Row],[Week starting]],tblTags[Date found],"&lt;"&amp;tblChecks[[#This Row],[Week starting]]+7))</f>
        <v>1</v>
      </c>
      <c r="L32" s="45">
        <f>IF(tblChecks[[#This Row],[Week starting]]="","",IF(AND(tblChecks[[#This Row],[Week starting]]&gt;=FFrom,tblChecks[[#This Row],[Week starting]]&lt;=FTo,OR(DashMachine="",tblChecks[[#This Row],[Machine]]=DashMachine)),tblChecks[[#This Row],[Week starting]],""))</f>
        <v>46279</v>
      </c>
      <c r="M32"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32" s="28" t="s">
        <v>248</v>
      </c>
    </row>
    <row r="33" spans="2:14" x14ac:dyDescent="0.25">
      <c r="B33" s="29">
        <v>46279</v>
      </c>
      <c r="C33" s="28" t="s">
        <v>97</v>
      </c>
      <c r="D33" s="31">
        <v>41</v>
      </c>
      <c r="E33" s="31">
        <v>36</v>
      </c>
      <c r="F33" s="41" t="str">
        <f>IF(tblChecks[[#This Row],[Week starting]]="","",IFERROR(INDEX(tblMachines[Area],MATCH(tblChecks[[#This Row],[Machine]],tblMachines[Machine],0)),""))</f>
        <v>Converting</v>
      </c>
      <c r="G33" s="39">
        <f>IF(tblChecks[[#This Row],[Week starting]]="","",SUMIFS(tblStandard[Checks per week],tblStandard[Machine],tblChecks[[#This Row],[Machine]]))</f>
        <v>41</v>
      </c>
      <c r="H33" s="42">
        <f>IF(tblChecks[[#This Row],[Week starting]]="","",tblChecks[[#This Row],[Checks due]]-tblChecks[[#This Row],[Checks done]])</f>
        <v>5</v>
      </c>
      <c r="I33" s="43">
        <f>IF(tblChecks[[#This Row],[Week starting]]="","",IF(tblChecks[[#This Row],[Checks due]]&gt;0,tblChecks[[#This Row],[Checks done]]/tblChecks[[#This Row],[Checks due]],""))</f>
        <v>0.878048780487805</v>
      </c>
      <c r="J33" s="44" t="str">
        <f>IF(NOT(ISNUMBER(tblChecks[[#This Row],[Compliance]])),"",IF(tblChecks[[#This Row],[Compliance]]&gt;=TargetCompliance,"On target",IF(tblChecks[[#This Row],[Compliance]]&gt;=TargetCompliance*(1-0.05),"Near target","Below target")))</f>
        <v>Below target</v>
      </c>
      <c r="K33" s="42">
        <f>IF(tblChecks[[#This Row],[Week starting]]="","",COUNTIFS(tblTags[Machine],tblChecks[[#This Row],[Machine]],tblTags[Date found],"&gt;="&amp;tblChecks[[#This Row],[Week starting]],tblTags[Date found],"&lt;"&amp;tblChecks[[#This Row],[Week starting]]+7))</f>
        <v>1</v>
      </c>
      <c r="L33" s="45">
        <f>IF(tblChecks[[#This Row],[Week starting]]="","",IF(AND(tblChecks[[#This Row],[Week starting]]&gt;=FFrom,tblChecks[[#This Row],[Week starting]]&lt;=FTo,OR(DashMachine="",tblChecks[[#This Row],[Machine]]=DashMachine)),tblChecks[[#This Row],[Week starting]],""))</f>
        <v>46279</v>
      </c>
      <c r="M33"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33" s="28" t="s">
        <v>248</v>
      </c>
    </row>
    <row r="34" spans="2:14" x14ac:dyDescent="0.25">
      <c r="B34" s="29">
        <v>46279</v>
      </c>
      <c r="C34" s="28" t="s">
        <v>99</v>
      </c>
      <c r="D34" s="31">
        <v>41</v>
      </c>
      <c r="E34" s="31">
        <v>33</v>
      </c>
      <c r="F34" s="41" t="str">
        <f>IF(tblChecks[[#This Row],[Week starting]]="","",IFERROR(INDEX(tblMachines[Area],MATCH(tblChecks[[#This Row],[Machine]],tblMachines[Machine],0)),""))</f>
        <v>Converting</v>
      </c>
      <c r="G34" s="39">
        <f>IF(tblChecks[[#This Row],[Week starting]]="","",SUMIFS(tblStandard[Checks per week],tblStandard[Machine],tblChecks[[#This Row],[Machine]]))</f>
        <v>41</v>
      </c>
      <c r="H34" s="42">
        <f>IF(tblChecks[[#This Row],[Week starting]]="","",tblChecks[[#This Row],[Checks due]]-tblChecks[[#This Row],[Checks done]])</f>
        <v>8</v>
      </c>
      <c r="I34" s="43">
        <f>IF(tblChecks[[#This Row],[Week starting]]="","",IF(tblChecks[[#This Row],[Checks due]]&gt;0,tblChecks[[#This Row],[Checks done]]/tblChecks[[#This Row],[Checks due]],""))</f>
        <v>0.804878048780488</v>
      </c>
      <c r="J34" s="44" t="str">
        <f>IF(NOT(ISNUMBER(tblChecks[[#This Row],[Compliance]])),"",IF(tblChecks[[#This Row],[Compliance]]&gt;=TargetCompliance,"On target",IF(tblChecks[[#This Row],[Compliance]]&gt;=TargetCompliance*(1-0.05),"Near target","Below target")))</f>
        <v>Below target</v>
      </c>
      <c r="K34" s="42">
        <f>IF(tblChecks[[#This Row],[Week starting]]="","",COUNTIFS(tblTags[Machine],tblChecks[[#This Row],[Machine]],tblTags[Date found],"&gt;="&amp;tblChecks[[#This Row],[Week starting]],tblTags[Date found],"&lt;"&amp;tblChecks[[#This Row],[Week starting]]+7))</f>
        <v>2</v>
      </c>
      <c r="L34" s="45">
        <f>IF(tblChecks[[#This Row],[Week starting]]="","",IF(AND(tblChecks[[#This Row],[Week starting]]&gt;=FFrom,tblChecks[[#This Row],[Week starting]]&lt;=FTo,OR(DashMachine="",tblChecks[[#This Row],[Machine]]=DashMachine)),tblChecks[[#This Row],[Week starting]],""))</f>
        <v>46279</v>
      </c>
      <c r="M34"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34" s="28" t="s">
        <v>249</v>
      </c>
    </row>
    <row r="35" spans="2:14" x14ac:dyDescent="0.25">
      <c r="B35" s="29">
        <v>46279</v>
      </c>
      <c r="C35" s="28" t="s">
        <v>101</v>
      </c>
      <c r="D35" s="31">
        <v>33</v>
      </c>
      <c r="E35" s="31">
        <v>30</v>
      </c>
      <c r="F35" s="41" t="str">
        <f>IF(tblChecks[[#This Row],[Week starting]]="","",IFERROR(INDEX(tblMachines[Area],MATCH(tblChecks[[#This Row],[Machine]],tblMachines[Machine],0)),""))</f>
        <v>Bagging</v>
      </c>
      <c r="G35" s="39">
        <f>IF(tblChecks[[#This Row],[Week starting]]="","",SUMIFS(tblStandard[Checks per week],tblStandard[Machine],tblChecks[[#This Row],[Machine]]))</f>
        <v>33</v>
      </c>
      <c r="H35" s="42">
        <f>IF(tblChecks[[#This Row],[Week starting]]="","",tblChecks[[#This Row],[Checks due]]-tblChecks[[#This Row],[Checks done]])</f>
        <v>3</v>
      </c>
      <c r="I35" s="43">
        <f>IF(tblChecks[[#This Row],[Week starting]]="","",IF(tblChecks[[#This Row],[Checks due]]&gt;0,tblChecks[[#This Row],[Checks done]]/tblChecks[[#This Row],[Checks due]],""))</f>
        <v>0.909090909090909</v>
      </c>
      <c r="J35" s="44" t="str">
        <f>IF(NOT(ISNUMBER(tblChecks[[#This Row],[Compliance]])),"",IF(tblChecks[[#This Row],[Compliance]]&gt;=TargetCompliance,"On target",IF(tblChecks[[#This Row],[Compliance]]&gt;=TargetCompliance*(1-0.05),"Near target","Below target")))</f>
        <v>Near target</v>
      </c>
      <c r="K35" s="42">
        <f>IF(tblChecks[[#This Row],[Week starting]]="","",COUNTIFS(tblTags[Machine],tblChecks[[#This Row],[Machine]],tblTags[Date found],"&gt;="&amp;tblChecks[[#This Row],[Week starting]],tblTags[Date found],"&lt;"&amp;tblChecks[[#This Row],[Week starting]]+7))</f>
        <v>0</v>
      </c>
      <c r="L35" s="45">
        <f>IF(tblChecks[[#This Row],[Week starting]]="","",IF(AND(tblChecks[[#This Row],[Week starting]]&gt;=FFrom,tblChecks[[#This Row],[Week starting]]&lt;=FTo,OR(DashMachine="",tblChecks[[#This Row],[Machine]]=DashMachine)),tblChecks[[#This Row],[Week starting]],""))</f>
        <v>46279</v>
      </c>
      <c r="M35"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35" s="28" t="s">
        <v>248</v>
      </c>
    </row>
    <row r="36" spans="2:14" x14ac:dyDescent="0.25">
      <c r="B36" s="29">
        <v>46286</v>
      </c>
      <c r="C36" s="28" t="s">
        <v>88</v>
      </c>
      <c r="D36" s="31">
        <v>33</v>
      </c>
      <c r="E36" s="31">
        <v>32</v>
      </c>
      <c r="F36" s="41" t="str">
        <f>IF(tblChecks[[#This Row],[Week starting]]="","",IFERROR(INDEX(tblMachines[Area],MATCH(tblChecks[[#This Row],[Machine]],tblMachines[Machine],0)),""))</f>
        <v>Extrusion</v>
      </c>
      <c r="G36" s="39">
        <f>IF(tblChecks[[#This Row],[Week starting]]="","",SUMIFS(tblStandard[Checks per week],tblStandard[Machine],tblChecks[[#This Row],[Machine]]))</f>
        <v>33</v>
      </c>
      <c r="H36" s="42">
        <f>IF(tblChecks[[#This Row],[Week starting]]="","",tblChecks[[#This Row],[Checks due]]-tblChecks[[#This Row],[Checks done]])</f>
        <v>1</v>
      </c>
      <c r="I36" s="43">
        <f>IF(tblChecks[[#This Row],[Week starting]]="","",IF(tblChecks[[#This Row],[Checks due]]&gt;0,tblChecks[[#This Row],[Checks done]]/tblChecks[[#This Row],[Checks due]],""))</f>
        <v>0.96969696969697</v>
      </c>
      <c r="J36" s="44" t="str">
        <f>IF(NOT(ISNUMBER(tblChecks[[#This Row],[Compliance]])),"",IF(tblChecks[[#This Row],[Compliance]]&gt;=TargetCompliance,"On target",IF(tblChecks[[#This Row],[Compliance]]&gt;=TargetCompliance*(1-0.05),"Near target","Below target")))</f>
        <v>On target</v>
      </c>
      <c r="K36" s="42">
        <f>IF(tblChecks[[#This Row],[Week starting]]="","",COUNTIFS(tblTags[Machine],tblChecks[[#This Row],[Machine]],tblTags[Date found],"&gt;="&amp;tblChecks[[#This Row],[Week starting]],tblTags[Date found],"&lt;"&amp;tblChecks[[#This Row],[Week starting]]+7))</f>
        <v>2</v>
      </c>
      <c r="L36" s="45">
        <f>IF(tblChecks[[#This Row],[Week starting]]="","",IF(AND(tblChecks[[#This Row],[Week starting]]&gt;=FFrom,tblChecks[[#This Row],[Week starting]]&lt;=FTo,OR(DashMachine="",tblChecks[[#This Row],[Machine]]=DashMachine)),tblChecks[[#This Row],[Week starting]],""))</f>
        <v>46286</v>
      </c>
      <c r="M36"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36" s="28" t="s">
        <v>248</v>
      </c>
    </row>
    <row r="37" spans="2:14" x14ac:dyDescent="0.25">
      <c r="B37" s="29">
        <v>46286</v>
      </c>
      <c r="C37" s="28" t="s">
        <v>91</v>
      </c>
      <c r="D37" s="31">
        <v>46</v>
      </c>
      <c r="E37" s="31">
        <v>44</v>
      </c>
      <c r="F37" s="41" t="str">
        <f>IF(tblChecks[[#This Row],[Week starting]]="","",IFERROR(INDEX(tblMachines[Area],MATCH(tblChecks[[#This Row],[Machine]],tblMachines[Machine],0)),""))</f>
        <v>Printing</v>
      </c>
      <c r="G37" s="39">
        <f>IF(tblChecks[[#This Row],[Week starting]]="","",SUMIFS(tblStandard[Checks per week],tblStandard[Machine],tblChecks[[#This Row],[Machine]]))</f>
        <v>46</v>
      </c>
      <c r="H37" s="42">
        <f>IF(tblChecks[[#This Row],[Week starting]]="","",tblChecks[[#This Row],[Checks due]]-tblChecks[[#This Row],[Checks done]])</f>
        <v>2</v>
      </c>
      <c r="I37" s="43">
        <f>IF(tblChecks[[#This Row],[Week starting]]="","",IF(tblChecks[[#This Row],[Checks due]]&gt;0,tblChecks[[#This Row],[Checks done]]/tblChecks[[#This Row],[Checks due]],""))</f>
        <v>0.956521739130435</v>
      </c>
      <c r="J37" s="44" t="str">
        <f>IF(NOT(ISNUMBER(tblChecks[[#This Row],[Compliance]])),"",IF(tblChecks[[#This Row],[Compliance]]&gt;=TargetCompliance,"On target",IF(tblChecks[[#This Row],[Compliance]]&gt;=TargetCompliance*(1-0.05),"Near target","Below target")))</f>
        <v>On target</v>
      </c>
      <c r="K37" s="42">
        <f>IF(tblChecks[[#This Row],[Week starting]]="","",COUNTIFS(tblTags[Machine],tblChecks[[#This Row],[Machine]],tblTags[Date found],"&gt;="&amp;tblChecks[[#This Row],[Week starting]],tblTags[Date found],"&lt;"&amp;tblChecks[[#This Row],[Week starting]]+7))</f>
        <v>1</v>
      </c>
      <c r="L37" s="45">
        <f>IF(tblChecks[[#This Row],[Week starting]]="","",IF(AND(tblChecks[[#This Row],[Week starting]]&gt;=FFrom,tblChecks[[#This Row],[Week starting]]&lt;=FTo,OR(DashMachine="",tblChecks[[#This Row],[Machine]]=DashMachine)),tblChecks[[#This Row],[Week starting]],""))</f>
        <v>46286</v>
      </c>
      <c r="M37"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37" s="28" t="s">
        <v>248</v>
      </c>
    </row>
    <row r="38" spans="2:14" x14ac:dyDescent="0.25">
      <c r="B38" s="29">
        <v>46286</v>
      </c>
      <c r="C38" s="28" t="s">
        <v>94</v>
      </c>
      <c r="D38" s="31">
        <v>27</v>
      </c>
      <c r="E38" s="31">
        <v>26</v>
      </c>
      <c r="F38" s="41" t="str">
        <f>IF(tblChecks[[#This Row],[Week starting]]="","",IFERROR(INDEX(tblMachines[Area],MATCH(tblChecks[[#This Row],[Machine]],tblMachines[Machine],0)),""))</f>
        <v>Converting</v>
      </c>
      <c r="G38" s="39">
        <f>IF(tblChecks[[#This Row],[Week starting]]="","",SUMIFS(tblStandard[Checks per week],tblStandard[Machine],tblChecks[[#This Row],[Machine]]))</f>
        <v>27.25</v>
      </c>
      <c r="H38" s="42">
        <f>IF(tblChecks[[#This Row],[Week starting]]="","",tblChecks[[#This Row],[Checks due]]-tblChecks[[#This Row],[Checks done]])</f>
        <v>1</v>
      </c>
      <c r="I38" s="43">
        <f>IF(tblChecks[[#This Row],[Week starting]]="","",IF(tblChecks[[#This Row],[Checks due]]&gt;0,tblChecks[[#This Row],[Checks done]]/tblChecks[[#This Row],[Checks due]],""))</f>
        <v>0.962962962962963</v>
      </c>
      <c r="J38" s="44" t="str">
        <f>IF(NOT(ISNUMBER(tblChecks[[#This Row],[Compliance]])),"",IF(tblChecks[[#This Row],[Compliance]]&gt;=TargetCompliance,"On target",IF(tblChecks[[#This Row],[Compliance]]&gt;=TargetCompliance*(1-0.05),"Near target","Below target")))</f>
        <v>On target</v>
      </c>
      <c r="K38" s="42">
        <f>IF(tblChecks[[#This Row],[Week starting]]="","",COUNTIFS(tblTags[Machine],tblChecks[[#This Row],[Machine]],tblTags[Date found],"&gt;="&amp;tblChecks[[#This Row],[Week starting]],tblTags[Date found],"&lt;"&amp;tblChecks[[#This Row],[Week starting]]+7))</f>
        <v>1</v>
      </c>
      <c r="L38" s="45">
        <f>IF(tblChecks[[#This Row],[Week starting]]="","",IF(AND(tblChecks[[#This Row],[Week starting]]&gt;=FFrom,tblChecks[[#This Row],[Week starting]]&lt;=FTo,OR(DashMachine="",tblChecks[[#This Row],[Machine]]=DashMachine)),tblChecks[[#This Row],[Week starting]],""))</f>
        <v>46286</v>
      </c>
      <c r="M38"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38" s="28" t="s">
        <v>248</v>
      </c>
    </row>
    <row r="39" spans="2:14" x14ac:dyDescent="0.25">
      <c r="B39" s="29">
        <v>46286</v>
      </c>
      <c r="C39" s="28" t="s">
        <v>97</v>
      </c>
      <c r="D39" s="31">
        <v>41</v>
      </c>
      <c r="E39" s="31">
        <v>38</v>
      </c>
      <c r="F39" s="41" t="str">
        <f>IF(tblChecks[[#This Row],[Week starting]]="","",IFERROR(INDEX(tblMachines[Area],MATCH(tblChecks[[#This Row],[Machine]],tblMachines[Machine],0)),""))</f>
        <v>Converting</v>
      </c>
      <c r="G39" s="39">
        <f>IF(tblChecks[[#This Row],[Week starting]]="","",SUMIFS(tblStandard[Checks per week],tblStandard[Machine],tblChecks[[#This Row],[Machine]]))</f>
        <v>41</v>
      </c>
      <c r="H39" s="42">
        <f>IF(tblChecks[[#This Row],[Week starting]]="","",tblChecks[[#This Row],[Checks due]]-tblChecks[[#This Row],[Checks done]])</f>
        <v>3</v>
      </c>
      <c r="I39" s="43">
        <f>IF(tblChecks[[#This Row],[Week starting]]="","",IF(tblChecks[[#This Row],[Checks due]]&gt;0,tblChecks[[#This Row],[Checks done]]/tblChecks[[#This Row],[Checks due]],""))</f>
        <v>0.926829268292683</v>
      </c>
      <c r="J39" s="44" t="str">
        <f>IF(NOT(ISNUMBER(tblChecks[[#This Row],[Compliance]])),"",IF(tblChecks[[#This Row],[Compliance]]&gt;=TargetCompliance,"On target",IF(tblChecks[[#This Row],[Compliance]]&gt;=TargetCompliance*(1-0.05),"Near target","Below target")))</f>
        <v>Near target</v>
      </c>
      <c r="K39" s="42">
        <f>IF(tblChecks[[#This Row],[Week starting]]="","",COUNTIFS(tblTags[Machine],tblChecks[[#This Row],[Machine]],tblTags[Date found],"&gt;="&amp;tblChecks[[#This Row],[Week starting]],tblTags[Date found],"&lt;"&amp;tblChecks[[#This Row],[Week starting]]+7))</f>
        <v>1</v>
      </c>
      <c r="L39" s="45">
        <f>IF(tblChecks[[#This Row],[Week starting]]="","",IF(AND(tblChecks[[#This Row],[Week starting]]&gt;=FFrom,tblChecks[[#This Row],[Week starting]]&lt;=FTo,OR(DashMachine="",tblChecks[[#This Row],[Machine]]=DashMachine)),tblChecks[[#This Row],[Week starting]],""))</f>
        <v>46286</v>
      </c>
      <c r="M39"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39" s="28" t="s">
        <v>248</v>
      </c>
    </row>
    <row r="40" spans="2:14" x14ac:dyDescent="0.25">
      <c r="B40" s="29">
        <v>46286</v>
      </c>
      <c r="C40" s="28" t="s">
        <v>99</v>
      </c>
      <c r="D40" s="31">
        <v>41</v>
      </c>
      <c r="E40" s="31">
        <v>35</v>
      </c>
      <c r="F40" s="41" t="str">
        <f>IF(tblChecks[[#This Row],[Week starting]]="","",IFERROR(INDEX(tblMachines[Area],MATCH(tblChecks[[#This Row],[Machine]],tblMachines[Machine],0)),""))</f>
        <v>Converting</v>
      </c>
      <c r="G40" s="39">
        <f>IF(tblChecks[[#This Row],[Week starting]]="","",SUMIFS(tblStandard[Checks per week],tblStandard[Machine],tblChecks[[#This Row],[Machine]]))</f>
        <v>41</v>
      </c>
      <c r="H40" s="42">
        <f>IF(tblChecks[[#This Row],[Week starting]]="","",tblChecks[[#This Row],[Checks due]]-tblChecks[[#This Row],[Checks done]])</f>
        <v>6</v>
      </c>
      <c r="I40" s="43">
        <f>IF(tblChecks[[#This Row],[Week starting]]="","",IF(tblChecks[[#This Row],[Checks due]]&gt;0,tblChecks[[#This Row],[Checks done]]/tblChecks[[#This Row],[Checks due]],""))</f>
        <v>0.853658536585366</v>
      </c>
      <c r="J40" s="44" t="str">
        <f>IF(NOT(ISNUMBER(tblChecks[[#This Row],[Compliance]])),"",IF(tblChecks[[#This Row],[Compliance]]&gt;=TargetCompliance,"On target",IF(tblChecks[[#This Row],[Compliance]]&gt;=TargetCompliance*(1-0.05),"Near target","Below target")))</f>
        <v>Below target</v>
      </c>
      <c r="K40" s="42">
        <f>IF(tblChecks[[#This Row],[Week starting]]="","",COUNTIFS(tblTags[Machine],tblChecks[[#This Row],[Machine]],tblTags[Date found],"&gt;="&amp;tblChecks[[#This Row],[Week starting]],tblTags[Date found],"&lt;"&amp;tblChecks[[#This Row],[Week starting]]+7))</f>
        <v>2</v>
      </c>
      <c r="L40" s="45">
        <f>IF(tblChecks[[#This Row],[Week starting]]="","",IF(AND(tblChecks[[#This Row],[Week starting]]&gt;=FFrom,tblChecks[[#This Row],[Week starting]]&lt;=FTo,OR(DashMachine="",tblChecks[[#This Row],[Machine]]=DashMachine)),tblChecks[[#This Row],[Week starting]],""))</f>
        <v>46286</v>
      </c>
      <c r="M40"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40" s="28" t="s">
        <v>248</v>
      </c>
    </row>
    <row r="41" spans="2:14" x14ac:dyDescent="0.25">
      <c r="B41" s="29">
        <v>46286</v>
      </c>
      <c r="C41" s="28" t="s">
        <v>101</v>
      </c>
      <c r="D41" s="31">
        <v>33</v>
      </c>
      <c r="E41" s="31">
        <v>32</v>
      </c>
      <c r="F41" s="41" t="str">
        <f>IF(tblChecks[[#This Row],[Week starting]]="","",IFERROR(INDEX(tblMachines[Area],MATCH(tblChecks[[#This Row],[Machine]],tblMachines[Machine],0)),""))</f>
        <v>Bagging</v>
      </c>
      <c r="G41" s="39">
        <f>IF(tblChecks[[#This Row],[Week starting]]="","",SUMIFS(tblStandard[Checks per week],tblStandard[Machine],tblChecks[[#This Row],[Machine]]))</f>
        <v>33</v>
      </c>
      <c r="H41" s="42">
        <f>IF(tblChecks[[#This Row],[Week starting]]="","",tblChecks[[#This Row],[Checks due]]-tblChecks[[#This Row],[Checks done]])</f>
        <v>1</v>
      </c>
      <c r="I41" s="43">
        <f>IF(tblChecks[[#This Row],[Week starting]]="","",IF(tblChecks[[#This Row],[Checks due]]&gt;0,tblChecks[[#This Row],[Checks done]]/tblChecks[[#This Row],[Checks due]],""))</f>
        <v>0.96969696969697</v>
      </c>
      <c r="J41" s="44" t="str">
        <f>IF(NOT(ISNUMBER(tblChecks[[#This Row],[Compliance]])),"",IF(tblChecks[[#This Row],[Compliance]]&gt;=TargetCompliance,"On target",IF(tblChecks[[#This Row],[Compliance]]&gt;=TargetCompliance*(1-0.05),"Near target","Below target")))</f>
        <v>On target</v>
      </c>
      <c r="K41" s="42">
        <f>IF(tblChecks[[#This Row],[Week starting]]="","",COUNTIFS(tblTags[Machine],tblChecks[[#This Row],[Machine]],tblTags[Date found],"&gt;="&amp;tblChecks[[#This Row],[Week starting]],tblTags[Date found],"&lt;"&amp;tblChecks[[#This Row],[Week starting]]+7))</f>
        <v>1</v>
      </c>
      <c r="L41" s="45">
        <f>IF(tblChecks[[#This Row],[Week starting]]="","",IF(AND(tblChecks[[#This Row],[Week starting]]&gt;=FFrom,tblChecks[[#This Row],[Week starting]]&lt;=FTo,OR(DashMachine="",tblChecks[[#This Row],[Machine]]=DashMachine)),tblChecks[[#This Row],[Week starting]],""))</f>
        <v>46286</v>
      </c>
      <c r="M41"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41" s="28" t="s">
        <v>248</v>
      </c>
    </row>
    <row r="42" spans="2:14" x14ac:dyDescent="0.25">
      <c r="B42" s="29">
        <v>46293</v>
      </c>
      <c r="C42" s="28" t="s">
        <v>88</v>
      </c>
      <c r="D42" s="31">
        <v>33</v>
      </c>
      <c r="E42" s="31">
        <v>32</v>
      </c>
      <c r="F42" s="41" t="str">
        <f>IF(tblChecks[[#This Row],[Week starting]]="","",IFERROR(INDEX(tblMachines[Area],MATCH(tblChecks[[#This Row],[Machine]],tblMachines[Machine],0)),""))</f>
        <v>Extrusion</v>
      </c>
      <c r="G42" s="39">
        <f>IF(tblChecks[[#This Row],[Week starting]]="","",SUMIFS(tblStandard[Checks per week],tblStandard[Machine],tblChecks[[#This Row],[Machine]]))</f>
        <v>33</v>
      </c>
      <c r="H42" s="42">
        <f>IF(tblChecks[[#This Row],[Week starting]]="","",tblChecks[[#This Row],[Checks due]]-tblChecks[[#This Row],[Checks done]])</f>
        <v>1</v>
      </c>
      <c r="I42" s="43">
        <f>IF(tblChecks[[#This Row],[Week starting]]="","",IF(tblChecks[[#This Row],[Checks due]]&gt;0,tblChecks[[#This Row],[Checks done]]/tblChecks[[#This Row],[Checks due]],""))</f>
        <v>0.96969696969697</v>
      </c>
      <c r="J42" s="44" t="str">
        <f>IF(NOT(ISNUMBER(tblChecks[[#This Row],[Compliance]])),"",IF(tblChecks[[#This Row],[Compliance]]&gt;=TargetCompliance,"On target",IF(tblChecks[[#This Row],[Compliance]]&gt;=TargetCompliance*(1-0.05),"Near target","Below target")))</f>
        <v>On target</v>
      </c>
      <c r="K42" s="42">
        <f>IF(tblChecks[[#This Row],[Week starting]]="","",COUNTIFS(tblTags[Machine],tblChecks[[#This Row],[Machine]],tblTags[Date found],"&gt;="&amp;tblChecks[[#This Row],[Week starting]],tblTags[Date found],"&lt;"&amp;tblChecks[[#This Row],[Week starting]]+7))</f>
        <v>2</v>
      </c>
      <c r="L42" s="45">
        <f>IF(tblChecks[[#This Row],[Week starting]]="","",IF(AND(tblChecks[[#This Row],[Week starting]]&gt;=FFrom,tblChecks[[#This Row],[Week starting]]&lt;=FTo,OR(DashMachine="",tblChecks[[#This Row],[Machine]]=DashMachine)),tblChecks[[#This Row],[Week starting]],""))</f>
        <v>46293</v>
      </c>
      <c r="M42"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42" s="28" t="s">
        <v>248</v>
      </c>
    </row>
    <row r="43" spans="2:14" x14ac:dyDescent="0.25">
      <c r="B43" s="29">
        <v>46293</v>
      </c>
      <c r="C43" s="28" t="s">
        <v>91</v>
      </c>
      <c r="D43" s="31">
        <v>46</v>
      </c>
      <c r="E43" s="31">
        <v>44</v>
      </c>
      <c r="F43" s="41" t="str">
        <f>IF(tblChecks[[#This Row],[Week starting]]="","",IFERROR(INDEX(tblMachines[Area],MATCH(tblChecks[[#This Row],[Machine]],tblMachines[Machine],0)),""))</f>
        <v>Printing</v>
      </c>
      <c r="G43" s="39">
        <f>IF(tblChecks[[#This Row],[Week starting]]="","",SUMIFS(tblStandard[Checks per week],tblStandard[Machine],tblChecks[[#This Row],[Machine]]))</f>
        <v>46</v>
      </c>
      <c r="H43" s="42">
        <f>IF(tblChecks[[#This Row],[Week starting]]="","",tblChecks[[#This Row],[Checks due]]-tblChecks[[#This Row],[Checks done]])</f>
        <v>2</v>
      </c>
      <c r="I43" s="43">
        <f>IF(tblChecks[[#This Row],[Week starting]]="","",IF(tblChecks[[#This Row],[Checks due]]&gt;0,tblChecks[[#This Row],[Checks done]]/tblChecks[[#This Row],[Checks due]],""))</f>
        <v>0.956521739130435</v>
      </c>
      <c r="J43" s="44" t="str">
        <f>IF(NOT(ISNUMBER(tblChecks[[#This Row],[Compliance]])),"",IF(tblChecks[[#This Row],[Compliance]]&gt;=TargetCompliance,"On target",IF(tblChecks[[#This Row],[Compliance]]&gt;=TargetCompliance*(1-0.05),"Near target","Below target")))</f>
        <v>On target</v>
      </c>
      <c r="K43" s="42">
        <f>IF(tblChecks[[#This Row],[Week starting]]="","",COUNTIFS(tblTags[Machine],tblChecks[[#This Row],[Machine]],tblTags[Date found],"&gt;="&amp;tblChecks[[#This Row],[Week starting]],tblTags[Date found],"&lt;"&amp;tblChecks[[#This Row],[Week starting]]+7))</f>
        <v>2</v>
      </c>
      <c r="L43" s="45">
        <f>IF(tblChecks[[#This Row],[Week starting]]="","",IF(AND(tblChecks[[#This Row],[Week starting]]&gt;=FFrom,tblChecks[[#This Row],[Week starting]]&lt;=FTo,OR(DashMachine="",tblChecks[[#This Row],[Machine]]=DashMachine)),tblChecks[[#This Row],[Week starting]],""))</f>
        <v>46293</v>
      </c>
      <c r="M43"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43" s="28" t="s">
        <v>248</v>
      </c>
    </row>
    <row r="44" spans="2:14" x14ac:dyDescent="0.25">
      <c r="B44" s="29">
        <v>46293</v>
      </c>
      <c r="C44" s="28" t="s">
        <v>94</v>
      </c>
      <c r="D44" s="31">
        <v>28</v>
      </c>
      <c r="E44" s="31">
        <v>27</v>
      </c>
      <c r="F44" s="41" t="str">
        <f>IF(tblChecks[[#This Row],[Week starting]]="","",IFERROR(INDEX(tblMachines[Area],MATCH(tblChecks[[#This Row],[Machine]],tblMachines[Machine],0)),""))</f>
        <v>Converting</v>
      </c>
      <c r="G44" s="39">
        <f>IF(tblChecks[[#This Row],[Week starting]]="","",SUMIFS(tblStandard[Checks per week],tblStandard[Machine],tblChecks[[#This Row],[Machine]]))</f>
        <v>27.25</v>
      </c>
      <c r="H44" s="42">
        <f>IF(tblChecks[[#This Row],[Week starting]]="","",tblChecks[[#This Row],[Checks due]]-tblChecks[[#This Row],[Checks done]])</f>
        <v>1</v>
      </c>
      <c r="I44" s="43">
        <f>IF(tblChecks[[#This Row],[Week starting]]="","",IF(tblChecks[[#This Row],[Checks due]]&gt;0,tblChecks[[#This Row],[Checks done]]/tblChecks[[#This Row],[Checks due]],""))</f>
        <v>0.964285714285714</v>
      </c>
      <c r="J44" s="44" t="str">
        <f>IF(NOT(ISNUMBER(tblChecks[[#This Row],[Compliance]])),"",IF(tblChecks[[#This Row],[Compliance]]&gt;=TargetCompliance,"On target",IF(tblChecks[[#This Row],[Compliance]]&gt;=TargetCompliance*(1-0.05),"Near target","Below target")))</f>
        <v>On target</v>
      </c>
      <c r="K44" s="42">
        <f>IF(tblChecks[[#This Row],[Week starting]]="","",COUNTIFS(tblTags[Machine],tblChecks[[#This Row],[Machine]],tblTags[Date found],"&gt;="&amp;tblChecks[[#This Row],[Week starting]],tblTags[Date found],"&lt;"&amp;tblChecks[[#This Row],[Week starting]]+7))</f>
        <v>1</v>
      </c>
      <c r="L44" s="45">
        <f>IF(tblChecks[[#This Row],[Week starting]]="","",IF(AND(tblChecks[[#This Row],[Week starting]]&gt;=FFrom,tblChecks[[#This Row],[Week starting]]&lt;=FTo,OR(DashMachine="",tblChecks[[#This Row],[Machine]]=DashMachine)),tblChecks[[#This Row],[Week starting]],""))</f>
        <v>46293</v>
      </c>
      <c r="M44"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44" s="28" t="s">
        <v>248</v>
      </c>
    </row>
    <row r="45" spans="2:14" x14ac:dyDescent="0.25">
      <c r="B45" s="29">
        <v>46293</v>
      </c>
      <c r="C45" s="28" t="s">
        <v>97</v>
      </c>
      <c r="D45" s="31">
        <v>41</v>
      </c>
      <c r="E45" s="31">
        <v>38</v>
      </c>
      <c r="F45" s="41" t="str">
        <f>IF(tblChecks[[#This Row],[Week starting]]="","",IFERROR(INDEX(tblMachines[Area],MATCH(tblChecks[[#This Row],[Machine]],tblMachines[Machine],0)),""))</f>
        <v>Converting</v>
      </c>
      <c r="G45" s="39">
        <f>IF(tblChecks[[#This Row],[Week starting]]="","",SUMIFS(tblStandard[Checks per week],tblStandard[Machine],tblChecks[[#This Row],[Machine]]))</f>
        <v>41</v>
      </c>
      <c r="H45" s="42">
        <f>IF(tblChecks[[#This Row],[Week starting]]="","",tblChecks[[#This Row],[Checks due]]-tblChecks[[#This Row],[Checks done]])</f>
        <v>3</v>
      </c>
      <c r="I45" s="43">
        <f>IF(tblChecks[[#This Row],[Week starting]]="","",IF(tblChecks[[#This Row],[Checks due]]&gt;0,tblChecks[[#This Row],[Checks done]]/tblChecks[[#This Row],[Checks due]],""))</f>
        <v>0.926829268292683</v>
      </c>
      <c r="J45" s="44" t="str">
        <f>IF(NOT(ISNUMBER(tblChecks[[#This Row],[Compliance]])),"",IF(tblChecks[[#This Row],[Compliance]]&gt;=TargetCompliance,"On target",IF(tblChecks[[#This Row],[Compliance]]&gt;=TargetCompliance*(1-0.05),"Near target","Below target")))</f>
        <v>Near target</v>
      </c>
      <c r="K45" s="42">
        <f>IF(tblChecks[[#This Row],[Week starting]]="","",COUNTIFS(tblTags[Machine],tblChecks[[#This Row],[Machine]],tblTags[Date found],"&gt;="&amp;tblChecks[[#This Row],[Week starting]],tblTags[Date found],"&lt;"&amp;tblChecks[[#This Row],[Week starting]]+7))</f>
        <v>1</v>
      </c>
      <c r="L45" s="45">
        <f>IF(tblChecks[[#This Row],[Week starting]]="","",IF(AND(tblChecks[[#This Row],[Week starting]]&gt;=FFrom,tblChecks[[#This Row],[Week starting]]&lt;=FTo,OR(DashMachine="",tblChecks[[#This Row],[Machine]]=DashMachine)),tblChecks[[#This Row],[Week starting]],""))</f>
        <v>46293</v>
      </c>
      <c r="M45"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45" s="28" t="s">
        <v>248</v>
      </c>
    </row>
    <row r="46" spans="2:14" x14ac:dyDescent="0.25">
      <c r="B46" s="29">
        <v>46293</v>
      </c>
      <c r="C46" s="28" t="s">
        <v>99</v>
      </c>
      <c r="D46" s="31">
        <v>41</v>
      </c>
      <c r="E46" s="31">
        <v>35</v>
      </c>
      <c r="F46" s="41" t="str">
        <f>IF(tblChecks[[#This Row],[Week starting]]="","",IFERROR(INDEX(tblMachines[Area],MATCH(tblChecks[[#This Row],[Machine]],tblMachines[Machine],0)),""))</f>
        <v>Converting</v>
      </c>
      <c r="G46" s="39">
        <f>IF(tblChecks[[#This Row],[Week starting]]="","",SUMIFS(tblStandard[Checks per week],tblStandard[Machine],tblChecks[[#This Row],[Machine]]))</f>
        <v>41</v>
      </c>
      <c r="H46" s="42">
        <f>IF(tblChecks[[#This Row],[Week starting]]="","",tblChecks[[#This Row],[Checks due]]-tblChecks[[#This Row],[Checks done]])</f>
        <v>6</v>
      </c>
      <c r="I46" s="43">
        <f>IF(tblChecks[[#This Row],[Week starting]]="","",IF(tblChecks[[#This Row],[Checks due]]&gt;0,tblChecks[[#This Row],[Checks done]]/tblChecks[[#This Row],[Checks due]],""))</f>
        <v>0.853658536585366</v>
      </c>
      <c r="J46" s="44" t="str">
        <f>IF(NOT(ISNUMBER(tblChecks[[#This Row],[Compliance]])),"",IF(tblChecks[[#This Row],[Compliance]]&gt;=TargetCompliance,"On target",IF(tblChecks[[#This Row],[Compliance]]&gt;=TargetCompliance*(1-0.05),"Near target","Below target")))</f>
        <v>Below target</v>
      </c>
      <c r="K46" s="42">
        <f>IF(tblChecks[[#This Row],[Week starting]]="","",COUNTIFS(tblTags[Machine],tblChecks[[#This Row],[Machine]],tblTags[Date found],"&gt;="&amp;tblChecks[[#This Row],[Week starting]],tblTags[Date found],"&lt;"&amp;tblChecks[[#This Row],[Week starting]]+7))</f>
        <v>1</v>
      </c>
      <c r="L46" s="45">
        <f>IF(tblChecks[[#This Row],[Week starting]]="","",IF(AND(tblChecks[[#This Row],[Week starting]]&gt;=FFrom,tblChecks[[#This Row],[Week starting]]&lt;=FTo,OR(DashMachine="",tblChecks[[#This Row],[Machine]]=DashMachine)),tblChecks[[#This Row],[Week starting]],""))</f>
        <v>46293</v>
      </c>
      <c r="M46"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46" s="28" t="s">
        <v>248</v>
      </c>
    </row>
    <row r="47" spans="2:14" x14ac:dyDescent="0.25">
      <c r="B47" s="29">
        <v>46293</v>
      </c>
      <c r="C47" s="28" t="s">
        <v>101</v>
      </c>
      <c r="D47" s="31">
        <v>33</v>
      </c>
      <c r="E47" s="31">
        <v>32</v>
      </c>
      <c r="F47" s="41" t="str">
        <f>IF(tblChecks[[#This Row],[Week starting]]="","",IFERROR(INDEX(tblMachines[Area],MATCH(tblChecks[[#This Row],[Machine]],tblMachines[Machine],0)),""))</f>
        <v>Bagging</v>
      </c>
      <c r="G47" s="39">
        <f>IF(tblChecks[[#This Row],[Week starting]]="","",SUMIFS(tblStandard[Checks per week],tblStandard[Machine],tblChecks[[#This Row],[Machine]]))</f>
        <v>33</v>
      </c>
      <c r="H47" s="42">
        <f>IF(tblChecks[[#This Row],[Week starting]]="","",tblChecks[[#This Row],[Checks due]]-tblChecks[[#This Row],[Checks done]])</f>
        <v>1</v>
      </c>
      <c r="I47" s="43">
        <f>IF(tblChecks[[#This Row],[Week starting]]="","",IF(tblChecks[[#This Row],[Checks due]]&gt;0,tblChecks[[#This Row],[Checks done]]/tblChecks[[#This Row],[Checks due]],""))</f>
        <v>0.96969696969697</v>
      </c>
      <c r="J47" s="44" t="str">
        <f>IF(NOT(ISNUMBER(tblChecks[[#This Row],[Compliance]])),"",IF(tblChecks[[#This Row],[Compliance]]&gt;=TargetCompliance,"On target",IF(tblChecks[[#This Row],[Compliance]]&gt;=TargetCompliance*(1-0.05),"Near target","Below target")))</f>
        <v>On target</v>
      </c>
      <c r="K47" s="42">
        <f>IF(tblChecks[[#This Row],[Week starting]]="","",COUNTIFS(tblTags[Machine],tblChecks[[#This Row],[Machine]],tblTags[Date found],"&gt;="&amp;tblChecks[[#This Row],[Week starting]],tblTags[Date found],"&lt;"&amp;tblChecks[[#This Row],[Week starting]]+7))</f>
        <v>1</v>
      </c>
      <c r="L47" s="45">
        <f>IF(tblChecks[[#This Row],[Week starting]]="","",IF(AND(tblChecks[[#This Row],[Week starting]]&gt;=FFrom,tblChecks[[#This Row],[Week starting]]&lt;=FTo,OR(DashMachine="",tblChecks[[#This Row],[Machine]]=DashMachine)),tblChecks[[#This Row],[Week starting]],""))</f>
        <v>46293</v>
      </c>
      <c r="M47"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47" s="28" t="s">
        <v>248</v>
      </c>
    </row>
    <row r="48" spans="2:14" x14ac:dyDescent="0.25">
      <c r="B48" s="29">
        <v>46300</v>
      </c>
      <c r="C48" s="28" t="s">
        <v>88</v>
      </c>
      <c r="D48" s="31">
        <v>33</v>
      </c>
      <c r="E48" s="31">
        <v>31</v>
      </c>
      <c r="F48" s="41" t="str">
        <f>IF(tblChecks[[#This Row],[Week starting]]="","",IFERROR(INDEX(tblMachines[Area],MATCH(tblChecks[[#This Row],[Machine]],tblMachines[Machine],0)),""))</f>
        <v>Extrusion</v>
      </c>
      <c r="G48" s="39">
        <f>IF(tblChecks[[#This Row],[Week starting]]="","",SUMIFS(tblStandard[Checks per week],tblStandard[Machine],tblChecks[[#This Row],[Machine]]))</f>
        <v>33</v>
      </c>
      <c r="H48" s="42">
        <f>IF(tblChecks[[#This Row],[Week starting]]="","",tblChecks[[#This Row],[Checks due]]-tblChecks[[#This Row],[Checks done]])</f>
        <v>2</v>
      </c>
      <c r="I48" s="43">
        <f>IF(tblChecks[[#This Row],[Week starting]]="","",IF(tblChecks[[#This Row],[Checks due]]&gt;0,tblChecks[[#This Row],[Checks done]]/tblChecks[[#This Row],[Checks due]],""))</f>
        <v>0.939393939393939</v>
      </c>
      <c r="J48" s="44" t="str">
        <f>IF(NOT(ISNUMBER(tblChecks[[#This Row],[Compliance]])),"",IF(tblChecks[[#This Row],[Compliance]]&gt;=TargetCompliance,"On target",IF(tblChecks[[#This Row],[Compliance]]&gt;=TargetCompliance*(1-0.05),"Near target","Below target")))</f>
        <v>Near target</v>
      </c>
      <c r="K48" s="42">
        <f>IF(tblChecks[[#This Row],[Week starting]]="","",COUNTIFS(tblTags[Machine],tblChecks[[#This Row],[Machine]],tblTags[Date found],"&gt;="&amp;tblChecks[[#This Row],[Week starting]],tblTags[Date found],"&lt;"&amp;tblChecks[[#This Row],[Week starting]]+7))</f>
        <v>1</v>
      </c>
      <c r="L48" s="45">
        <f>IF(tblChecks[[#This Row],[Week starting]]="","",IF(AND(tblChecks[[#This Row],[Week starting]]&gt;=FFrom,tblChecks[[#This Row],[Week starting]]&lt;=FTo,OR(DashMachine="",tblChecks[[#This Row],[Machine]]=DashMachine)),tblChecks[[#This Row],[Week starting]],""))</f>
        <v>46300</v>
      </c>
      <c r="M48"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48" s="28" t="s">
        <v>248</v>
      </c>
    </row>
    <row r="49" spans="2:14" x14ac:dyDescent="0.25">
      <c r="B49" s="29">
        <v>46300</v>
      </c>
      <c r="C49" s="28" t="s">
        <v>91</v>
      </c>
      <c r="D49" s="31">
        <v>46</v>
      </c>
      <c r="E49" s="31">
        <v>45</v>
      </c>
      <c r="F49" s="41" t="str">
        <f>IF(tblChecks[[#This Row],[Week starting]]="","",IFERROR(INDEX(tblMachines[Area],MATCH(tblChecks[[#This Row],[Machine]],tblMachines[Machine],0)),""))</f>
        <v>Printing</v>
      </c>
      <c r="G49" s="39">
        <f>IF(tblChecks[[#This Row],[Week starting]]="","",SUMIFS(tblStandard[Checks per week],tblStandard[Machine],tblChecks[[#This Row],[Machine]]))</f>
        <v>46</v>
      </c>
      <c r="H49" s="42">
        <f>IF(tblChecks[[#This Row],[Week starting]]="","",tblChecks[[#This Row],[Checks due]]-tblChecks[[#This Row],[Checks done]])</f>
        <v>1</v>
      </c>
      <c r="I49" s="43">
        <f>IF(tblChecks[[#This Row],[Week starting]]="","",IF(tblChecks[[#This Row],[Checks due]]&gt;0,tblChecks[[#This Row],[Checks done]]/tblChecks[[#This Row],[Checks due]],""))</f>
        <v>0.978260869565217</v>
      </c>
      <c r="J49" s="44" t="str">
        <f>IF(NOT(ISNUMBER(tblChecks[[#This Row],[Compliance]])),"",IF(tblChecks[[#This Row],[Compliance]]&gt;=TargetCompliance,"On target",IF(tblChecks[[#This Row],[Compliance]]&gt;=TargetCompliance*(1-0.05),"Near target","Below target")))</f>
        <v>On target</v>
      </c>
      <c r="K49" s="42">
        <f>IF(tblChecks[[#This Row],[Week starting]]="","",COUNTIFS(tblTags[Machine],tblChecks[[#This Row],[Machine]],tblTags[Date found],"&gt;="&amp;tblChecks[[#This Row],[Week starting]],tblTags[Date found],"&lt;"&amp;tblChecks[[#This Row],[Week starting]]+7))</f>
        <v>0</v>
      </c>
      <c r="L49" s="45">
        <f>IF(tblChecks[[#This Row],[Week starting]]="","",IF(AND(tblChecks[[#This Row],[Week starting]]&gt;=FFrom,tblChecks[[#This Row],[Week starting]]&lt;=FTo,OR(DashMachine="",tblChecks[[#This Row],[Machine]]=DashMachine)),tblChecks[[#This Row],[Week starting]],""))</f>
        <v>46300</v>
      </c>
      <c r="M49"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49" s="28" t="s">
        <v>248</v>
      </c>
    </row>
    <row r="50" spans="2:14" x14ac:dyDescent="0.25">
      <c r="B50" s="29">
        <v>46300</v>
      </c>
      <c r="C50" s="28" t="s">
        <v>94</v>
      </c>
      <c r="D50" s="31">
        <v>27</v>
      </c>
      <c r="E50" s="31">
        <v>26</v>
      </c>
      <c r="F50" s="41" t="str">
        <f>IF(tblChecks[[#This Row],[Week starting]]="","",IFERROR(INDEX(tblMachines[Area],MATCH(tblChecks[[#This Row],[Machine]],tblMachines[Machine],0)),""))</f>
        <v>Converting</v>
      </c>
      <c r="G50" s="39">
        <f>IF(tblChecks[[#This Row],[Week starting]]="","",SUMIFS(tblStandard[Checks per week],tblStandard[Machine],tblChecks[[#This Row],[Machine]]))</f>
        <v>27.25</v>
      </c>
      <c r="H50" s="42">
        <f>IF(tblChecks[[#This Row],[Week starting]]="","",tblChecks[[#This Row],[Checks due]]-tblChecks[[#This Row],[Checks done]])</f>
        <v>1</v>
      </c>
      <c r="I50" s="43">
        <f>IF(tblChecks[[#This Row],[Week starting]]="","",IF(tblChecks[[#This Row],[Checks due]]&gt;0,tblChecks[[#This Row],[Checks done]]/tblChecks[[#This Row],[Checks due]],""))</f>
        <v>0.962962962962963</v>
      </c>
      <c r="J50" s="44" t="str">
        <f>IF(NOT(ISNUMBER(tblChecks[[#This Row],[Compliance]])),"",IF(tblChecks[[#This Row],[Compliance]]&gt;=TargetCompliance,"On target",IF(tblChecks[[#This Row],[Compliance]]&gt;=TargetCompliance*(1-0.05),"Near target","Below target")))</f>
        <v>On target</v>
      </c>
      <c r="K50" s="42">
        <f>IF(tblChecks[[#This Row],[Week starting]]="","",COUNTIFS(tblTags[Machine],tblChecks[[#This Row],[Machine]],tblTags[Date found],"&gt;="&amp;tblChecks[[#This Row],[Week starting]],tblTags[Date found],"&lt;"&amp;tblChecks[[#This Row],[Week starting]]+7))</f>
        <v>1</v>
      </c>
      <c r="L50" s="45">
        <f>IF(tblChecks[[#This Row],[Week starting]]="","",IF(AND(tblChecks[[#This Row],[Week starting]]&gt;=FFrom,tblChecks[[#This Row],[Week starting]]&lt;=FTo,OR(DashMachine="",tblChecks[[#This Row],[Machine]]=DashMachine)),tblChecks[[#This Row],[Week starting]],""))</f>
        <v>46300</v>
      </c>
      <c r="M50"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50" s="28" t="s">
        <v>248</v>
      </c>
    </row>
    <row r="51" spans="2:14" x14ac:dyDescent="0.25">
      <c r="B51" s="29">
        <v>46300</v>
      </c>
      <c r="C51" s="28" t="s">
        <v>97</v>
      </c>
      <c r="D51" s="31">
        <v>41</v>
      </c>
      <c r="E51" s="31">
        <v>37</v>
      </c>
      <c r="F51" s="41" t="str">
        <f>IF(tblChecks[[#This Row],[Week starting]]="","",IFERROR(INDEX(tblMachines[Area],MATCH(tblChecks[[#This Row],[Machine]],tblMachines[Machine],0)),""))</f>
        <v>Converting</v>
      </c>
      <c r="G51" s="39">
        <f>IF(tblChecks[[#This Row],[Week starting]]="","",SUMIFS(tblStandard[Checks per week],tblStandard[Machine],tblChecks[[#This Row],[Machine]]))</f>
        <v>41</v>
      </c>
      <c r="H51" s="42">
        <f>IF(tblChecks[[#This Row],[Week starting]]="","",tblChecks[[#This Row],[Checks due]]-tblChecks[[#This Row],[Checks done]])</f>
        <v>4</v>
      </c>
      <c r="I51" s="43">
        <f>IF(tblChecks[[#This Row],[Week starting]]="","",IF(tblChecks[[#This Row],[Checks due]]&gt;0,tblChecks[[#This Row],[Checks done]]/tblChecks[[#This Row],[Checks due]],""))</f>
        <v>0.902439024390244</v>
      </c>
      <c r="J51" s="44" t="str">
        <f>IF(NOT(ISNUMBER(tblChecks[[#This Row],[Compliance]])),"",IF(tblChecks[[#This Row],[Compliance]]&gt;=TargetCompliance,"On target",IF(tblChecks[[#This Row],[Compliance]]&gt;=TargetCompliance*(1-0.05),"Near target","Below target")))</f>
        <v>Below target</v>
      </c>
      <c r="K51" s="42">
        <f>IF(tblChecks[[#This Row],[Week starting]]="","",COUNTIFS(tblTags[Machine],tblChecks[[#This Row],[Machine]],tblTags[Date found],"&gt;="&amp;tblChecks[[#This Row],[Week starting]],tblTags[Date found],"&lt;"&amp;tblChecks[[#This Row],[Week starting]]+7))</f>
        <v>1</v>
      </c>
      <c r="L51" s="45">
        <f>IF(tblChecks[[#This Row],[Week starting]]="","",IF(AND(tblChecks[[#This Row],[Week starting]]&gt;=FFrom,tblChecks[[#This Row],[Week starting]]&lt;=FTo,OR(DashMachine="",tblChecks[[#This Row],[Machine]]=DashMachine)),tblChecks[[#This Row],[Week starting]],""))</f>
        <v>46300</v>
      </c>
      <c r="M51"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51" s="28" t="s">
        <v>248</v>
      </c>
    </row>
    <row r="52" spans="2:14" x14ac:dyDescent="0.25">
      <c r="B52" s="29">
        <v>46300</v>
      </c>
      <c r="C52" s="28" t="s">
        <v>99</v>
      </c>
      <c r="D52" s="31">
        <v>41</v>
      </c>
      <c r="E52" s="31">
        <v>33</v>
      </c>
      <c r="F52" s="41" t="str">
        <f>IF(tblChecks[[#This Row],[Week starting]]="","",IFERROR(INDEX(tblMachines[Area],MATCH(tblChecks[[#This Row],[Machine]],tblMachines[Machine],0)),""))</f>
        <v>Converting</v>
      </c>
      <c r="G52" s="39">
        <f>IF(tblChecks[[#This Row],[Week starting]]="","",SUMIFS(tblStandard[Checks per week],tblStandard[Machine],tblChecks[[#This Row],[Machine]]))</f>
        <v>41</v>
      </c>
      <c r="H52" s="42">
        <f>IF(tblChecks[[#This Row],[Week starting]]="","",tblChecks[[#This Row],[Checks due]]-tblChecks[[#This Row],[Checks done]])</f>
        <v>8</v>
      </c>
      <c r="I52" s="43">
        <f>IF(tblChecks[[#This Row],[Week starting]]="","",IF(tblChecks[[#This Row],[Checks due]]&gt;0,tblChecks[[#This Row],[Checks done]]/tblChecks[[#This Row],[Checks due]],""))</f>
        <v>0.804878048780488</v>
      </c>
      <c r="J52" s="44" t="str">
        <f>IF(NOT(ISNUMBER(tblChecks[[#This Row],[Compliance]])),"",IF(tblChecks[[#This Row],[Compliance]]&gt;=TargetCompliance,"On target",IF(tblChecks[[#This Row],[Compliance]]&gt;=TargetCompliance*(1-0.05),"Near target","Below target")))</f>
        <v>Below target</v>
      </c>
      <c r="K52" s="42">
        <f>IF(tblChecks[[#This Row],[Week starting]]="","",COUNTIFS(tblTags[Machine],tblChecks[[#This Row],[Machine]],tblTags[Date found],"&gt;="&amp;tblChecks[[#This Row],[Week starting]],tblTags[Date found],"&lt;"&amp;tblChecks[[#This Row],[Week starting]]+7))</f>
        <v>1</v>
      </c>
      <c r="L52" s="45">
        <f>IF(tblChecks[[#This Row],[Week starting]]="","",IF(AND(tblChecks[[#This Row],[Week starting]]&gt;=FFrom,tblChecks[[#This Row],[Week starting]]&lt;=FTo,OR(DashMachine="",tblChecks[[#This Row],[Machine]]=DashMachine)),tblChecks[[#This Row],[Week starting]],""))</f>
        <v>46300</v>
      </c>
      <c r="M52"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52" s="28" t="s">
        <v>249</v>
      </c>
    </row>
    <row r="53" spans="2:14" x14ac:dyDescent="0.25">
      <c r="B53" s="29">
        <v>46300</v>
      </c>
      <c r="C53" s="28" t="s">
        <v>101</v>
      </c>
      <c r="D53" s="31">
        <v>33</v>
      </c>
      <c r="E53" s="31">
        <v>32</v>
      </c>
      <c r="F53" s="41" t="str">
        <f>IF(tblChecks[[#This Row],[Week starting]]="","",IFERROR(INDEX(tblMachines[Area],MATCH(tblChecks[[#This Row],[Machine]],tblMachines[Machine],0)),""))</f>
        <v>Bagging</v>
      </c>
      <c r="G53" s="39">
        <f>IF(tblChecks[[#This Row],[Week starting]]="","",SUMIFS(tblStandard[Checks per week],tblStandard[Machine],tblChecks[[#This Row],[Machine]]))</f>
        <v>33</v>
      </c>
      <c r="H53" s="42">
        <f>IF(tblChecks[[#This Row],[Week starting]]="","",tblChecks[[#This Row],[Checks due]]-tblChecks[[#This Row],[Checks done]])</f>
        <v>1</v>
      </c>
      <c r="I53" s="43">
        <f>IF(tblChecks[[#This Row],[Week starting]]="","",IF(tblChecks[[#This Row],[Checks due]]&gt;0,tblChecks[[#This Row],[Checks done]]/tblChecks[[#This Row],[Checks due]],""))</f>
        <v>0.96969696969697</v>
      </c>
      <c r="J53" s="44" t="str">
        <f>IF(NOT(ISNUMBER(tblChecks[[#This Row],[Compliance]])),"",IF(tblChecks[[#This Row],[Compliance]]&gt;=TargetCompliance,"On target",IF(tblChecks[[#This Row],[Compliance]]&gt;=TargetCompliance*(1-0.05),"Near target","Below target")))</f>
        <v>On target</v>
      </c>
      <c r="K53" s="42">
        <f>IF(tblChecks[[#This Row],[Week starting]]="","",COUNTIFS(tblTags[Machine],tblChecks[[#This Row],[Machine]],tblTags[Date found],"&gt;="&amp;tblChecks[[#This Row],[Week starting]],tblTags[Date found],"&lt;"&amp;tblChecks[[#This Row],[Week starting]]+7))</f>
        <v>0</v>
      </c>
      <c r="L53" s="45">
        <f>IF(tblChecks[[#This Row],[Week starting]]="","",IF(AND(tblChecks[[#This Row],[Week starting]]&gt;=FFrom,tblChecks[[#This Row],[Week starting]]&lt;=FTo,OR(DashMachine="",tblChecks[[#This Row],[Machine]]=DashMachine)),tblChecks[[#This Row],[Week starting]],""))</f>
        <v>46300</v>
      </c>
      <c r="M53" s="40" t="str">
        <f>IF(tblChecks[[#This Row],[Week starting]]="","",IF(tblChecks[[#This Row],[Machine]]="","Missing machine",IF(tblChecks[[#This Row],[Checks due]]="","Missing checks due",IF(tblChecks[[#This Row],[Checks done]]="","Missing checks done",IF(tblChecks[[#This Row],[Area]]="","Machine not on Setup list",IF(tblChecks[[#This Row],[Checks done]]&gt;tblChecks[[#This Row],[Checks due]],"Done &gt; due",IF(WEEKDAY(tblChecks[[#This Row],[Week starting]],2)&lt;&gt;1,"Week does not start on a Monday",IF(COUNTIFS(tblChecks[Week starting],tblChecks[[#This Row],[Week starting]],tblChecks[Machine],tblChecks[[#This Row],[Machine]])&gt;1,"Duplicate week and machine","OK"))))))))</f>
        <v>OK</v>
      </c>
      <c r="N53" s="28" t="s">
        <v>248</v>
      </c>
    </row>
  </sheetData>
  <mergeCells count="3">
    <mergeCell ref="A1:N1"/>
    <mergeCell ref="B2:M2"/>
    <mergeCell ref="B4:N4"/>
  </mergeCells>
  <conditionalFormatting sqref="I6:I553">
    <cfRule type="expression" dxfId="3" priority="1" stopIfTrue="1">
      <formula>AND(ISNUMBER(I6),I6&gt;=(TargetCompliance))</formula>
    </cfRule>
    <cfRule type="expression" dxfId="4" priority="2" stopIfTrue="1">
      <formula>AND(ISNUMBER(I6),I6&gt;=(TargetCompliance)*(1-0.05))</formula>
    </cfRule>
    <cfRule type="expression" dxfId="5" priority="3">
      <formula>ISNUMBER(I6)</formula>
    </cfRule>
    <cfRule type="dataBar" priority="4">
      <dataBar>
        <cfvo type="num" val="0"/>
        <cfvo type="max"/>
        <color rgb="FFA8BDF0"/>
      </dataBar>
      <extLst>
        <ext xmlns:x14="http://schemas.microsoft.com/office/spreadsheetml/2009/9/main" uri="{B025F937-C7B1-47D3-B67F-A62EFF666E3E}">
          <x14:id>{DA7ABA51-AAAA-BBBB-0004-000000000001}</x14:id>
        </ext>
      </extLst>
    </cfRule>
  </conditionalFormatting>
  <conditionalFormatting sqref="J6:J553">
    <cfRule type="cellIs" dxfId="0" priority="5" operator="equal">
      <formula>"On target"</formula>
    </cfRule>
    <cfRule type="cellIs" dxfId="0" priority="6" operator="equal">
      <formula>"PASS"</formula>
    </cfRule>
    <cfRule type="cellIs" dxfId="0" priority="7" operator="equal">
      <formula>"OK"</formula>
    </cfRule>
    <cfRule type="cellIs" dxfId="0" priority="8" operator="equal">
      <formula>"Within limits"</formula>
    </cfRule>
    <cfRule type="cellIs" dxfId="0" priority="9" operator="equal">
      <formula>"Under capacity"</formula>
    </cfRule>
    <cfRule type="cellIs" dxfId="0" priority="10" operator="equal">
      <formula>"Complete"</formula>
    </cfRule>
    <cfRule type="cellIs" dxfId="0" priority="11" operator="equal">
      <formula>"Yes"</formula>
    </cfRule>
    <cfRule type="cellIs" dxfId="1" priority="12" operator="equal">
      <formula>"Near target"</formula>
    </cfRule>
    <cfRule type="cellIs" dxfId="1" priority="13" operator="equal">
      <formula>"Check"</formula>
    </cfRule>
    <cfRule type="cellIs" dxfId="1" priority="14" operator="equal">
      <formula>"Due soon"</formula>
    </cfRule>
    <cfRule type="cellIs" dxfId="1" priority="15" operator="equal">
      <formula>"Near capacity"</formula>
    </cfRule>
    <cfRule type="cellIs" dxfId="1" priority="16" operator="equal">
      <formula>"In progress"</formula>
    </cfRule>
    <cfRule type="cellIs" dxfId="1" priority="17" operator="equal">
      <formula>"Partial"</formula>
    </cfRule>
    <cfRule type="cellIs" dxfId="2" priority="18" operator="equal">
      <formula>"Below target"</formula>
    </cfRule>
    <cfRule type="cellIs" dxfId="2" priority="19" operator="equal">
      <formula>"Above target"</formula>
    </cfRule>
    <cfRule type="cellIs" dxfId="2" priority="20" operator="equal">
      <formula>"FAIL"</formula>
    </cfRule>
    <cfRule type="cellIs" dxfId="2" priority="21" operator="equal">
      <formula>"Over capacity"</formula>
    </cfRule>
    <cfRule type="cellIs" dxfId="2" priority="22" operator="equal">
      <formula>"Overdue"</formula>
    </cfRule>
    <cfRule type="cellIs" dxfId="2" priority="23" operator="equal">
      <formula>"Out of limits"</formula>
    </cfRule>
    <cfRule type="cellIs" dxfId="2" priority="24" operator="equal">
      <formula>"No"</formula>
    </cfRule>
  </conditionalFormatting>
  <conditionalFormatting sqref="M6:M553">
    <cfRule type="expression" dxfId="3" priority="25">
      <formula>$M6="OK"</formula>
    </cfRule>
    <cfRule type="expression" dxfId="1" priority="26">
      <formula>AND($M6&lt;&gt;"",$M6&lt;&gt;"OK")</formula>
    </cfRule>
  </conditionalFormatting>
  <dataValidations count="5">
    <dataValidation type="date" allowBlank="1" showInputMessage="1" showErrorMessage="1" errorTitle="Check this entry" error="Enter a date between 01 Jan 2000 and 31 Dec 2100." promptTitle="Week starting" prompt="The Monday of the week. Enter a date between 01 Jan 2000 and 31 Dec 2100." sqref="B6:B553">
      <formula1>36526</formula1>
      <formula2>73415</formula2>
    </dataValidation>
    <dataValidation type="list" allowBlank="1" showInputMessage="1" showErrorMessage="1" errorTitle="Check this entry" error="Pick from the list (edit the list on Setup: Machines)." promptTitle="Machine" prompt="Pick from the list (edit the list on Setup: Machines)." sqref="C6:C553">
      <formula1>Machines</formula1>
    </dataValidation>
    <dataValidation type="whole" allowBlank="1" showInputMessage="1" showErrorMessage="1" errorTitle="Check this entry" error="Enter a whole number from 0 to 100,000." promptTitle="Checks due" prompt="Boxes on the week's check sheets that had to be filled: each point x the times it was due (fewer in a short week). Enter a whole number from 0 to 100,000." sqref="D6:D553">
      <formula1>0</formula1>
      <formula2>100000</formula2>
    </dataValidation>
    <dataValidation type="whole" allowBlank="1" showInputMessage="1" showErrorMessage="1" errorTitle="Check this entry" error="Enter a whole number from 0 to 100,000." promptTitle="Checks done" prompt="Boxes initialled as done, on their shift or day. Enter a whole number from 0 to 100,000." sqref="E6:E553">
      <formula1>0</formula1>
      <formula2>100000</formula2>
    </dataValidation>
    <dataValidation type="textLength" allowBlank="1" showInputMessage="1" showErrorMessage="1" errorTitle="Check this entry" error="Text up to 255 characters." promptTitle="Notes" prompt="Text up to 255 characters." sqref="N6:N553">
      <formula1>0</formula1>
      <formula2>255</formula2>
    </dataValidation>
  </dataValidations>
  <hyperlinks>
    <hyperlink ref="N2" r:id="rId1" tooltip="Free manufacturing calculators and templates"/>
  </hyperlinks>
  <pageMargins left="0.4" right="0.4" top="0.7" bottom="0.65" header="0.3" footer="0.3"/>
  <pageSetup fitToHeight="0" orientation="landscape"/>
  <headerFooter>
    <oddHeader>&amp;L&amp;8MFG Calcs - TPM Autonomous Maintenance Checklist&amp;R&amp;8&amp;A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4-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I6:I553</xm:sqref>
        </x14:conditionalFormatting>
      </x14:conditionalFormattings>
    </ext>
  </extLst>
</worksheet>
</file>

<file path=xl/worksheets/sheet5.xml><?xml version="1.0" encoding="utf-8"?>
<worksheet xmlns="http://schemas.openxmlformats.org/spreadsheetml/2006/main" xmlns:r="http://schemas.openxmlformats.org/officeDocument/2006/relationships">
  <sheetPr>
    <tabColor rgb="FF3B64D8"/>
    <pageSetUpPr fitToPage="1"/>
  </sheetPr>
  <dimension ref="A1:Q57"/>
  <sheetViews>
    <sheetView workbookViewId="0">
      <pane xSplit="3" ySplit="5" topLeftCell="D6" activePane="bottomRight" state="frozen"/>
      <selection pane="topRight" activeCell="D1" sqref="D1"/>
      <selection pane="bottomLeft" activeCell="A6" sqref="A6"/>
      <selection pane="bottomRight"/>
    </sheetView>
  </sheetViews>
  <sheetFormatPr defaultRowHeight="15"/>
  <cols>
    <col min="1" max="1" width="2.7109375" customWidth="1"/>
    <col min="2" max="2" width="10.28515625" customWidth="1"/>
    <col min="3" max="3" width="12.28515625" customWidth="1"/>
    <col min="4" max="4" width="9.7109375" customWidth="1"/>
    <col min="5" max="5" width="12.28515625" customWidth="1"/>
    <col min="6" max="6" width="19.7109375" customWidth="1"/>
    <col min="7" max="7" width="14.7109375" customWidth="1"/>
    <col min="8" max="8" width="40.7109375" customWidth="1"/>
    <col min="9" max="9" width="9.28515625" customWidth="1"/>
    <col min="10" max="10" width="12.28515625" customWidth="1"/>
    <col min="11" max="11" width="8.7109375" customWidth="1"/>
    <col min="12" max="12" width="12.28515625" customWidth="1"/>
    <col min="13" max="13" width="8.28515625" customWidth="1"/>
    <col min="14" max="14" width="10.7109375" customWidth="1"/>
    <col min="15" max="15" width="9.28515625" customWidth="1"/>
    <col min="16" max="16" width="12.28515625" customWidth="1"/>
    <col min="17" max="17" width="24.7109375" customWidth="1"/>
  </cols>
  <sheetData>
    <row r="1" spans="1:17" ht="30" customHeight="1">
      <c r="A1" s="1" t="s">
        <v>0</v>
      </c>
      <c r="B1" s="1"/>
      <c r="C1" s="1"/>
      <c r="D1" s="1"/>
      <c r="E1" s="1"/>
      <c r="F1" s="1"/>
      <c r="G1" s="1"/>
      <c r="H1" s="1"/>
      <c r="I1" s="1"/>
      <c r="J1" s="1"/>
      <c r="K1" s="1"/>
      <c r="L1" s="1"/>
      <c r="M1" s="1"/>
      <c r="N1" s="1"/>
      <c r="O1" s="1"/>
      <c r="P1" s="1"/>
      <c r="Q1" s="1"/>
    </row>
    <row r="2" spans="1:17" ht="21" customHeight="1">
      <c r="B2" s="2" t="s">
        <v>26</v>
      </c>
      <c r="C2" s="2"/>
      <c r="D2" s="2"/>
      <c r="E2" s="2"/>
      <c r="F2" s="2"/>
      <c r="G2" s="2"/>
      <c r="H2" s="2"/>
      <c r="I2" s="2"/>
      <c r="J2" s="2"/>
      <c r="K2" s="2"/>
      <c r="L2" s="2"/>
      <c r="M2" s="2"/>
      <c r="N2" s="2"/>
      <c r="O2" s="2"/>
      <c r="P2" s="2"/>
      <c r="Q2" s="3" t="s">
        <v>2</v>
      </c>
    </row>
    <row r="3" spans="1:17" ht="6" customHeight="1"/>
    <row r="4" spans="1:17" ht="29.76" customHeight="1">
      <c r="B4" s="35" t="s">
        <v>259</v>
      </c>
      <c r="C4" s="35"/>
      <c r="D4" s="35"/>
      <c r="E4" s="35"/>
      <c r="F4" s="35"/>
      <c r="G4" s="35"/>
      <c r="H4" s="35"/>
      <c r="I4" s="35"/>
      <c r="J4" s="35"/>
      <c r="K4" s="35"/>
      <c r="L4" s="35"/>
      <c r="M4" s="35"/>
      <c r="N4" s="35"/>
      <c r="O4" s="35"/>
      <c r="P4" s="35"/>
      <c r="Q4" s="35"/>
    </row>
    <row r="5" spans="1:17" ht="32" customHeight="1">
      <c r="B5" s="33" t="s">
        <v>251</v>
      </c>
      <c r="C5" s="33" t="s">
        <v>252</v>
      </c>
      <c r="D5" s="33" t="s">
        <v>66</v>
      </c>
      <c r="E5" s="33" t="s">
        <v>253</v>
      </c>
      <c r="F5" s="33" t="s">
        <v>72</v>
      </c>
      <c r="G5" s="33" t="s">
        <v>75</v>
      </c>
      <c r="H5" s="33" t="s">
        <v>68</v>
      </c>
      <c r="I5" s="33" t="s">
        <v>243</v>
      </c>
      <c r="J5" s="33" t="s">
        <v>254</v>
      </c>
      <c r="K5" s="33" t="s">
        <v>76</v>
      </c>
      <c r="L5" s="33" t="s">
        <v>255</v>
      </c>
      <c r="M5" s="33" t="s">
        <v>256</v>
      </c>
      <c r="N5" s="33" t="s">
        <v>257</v>
      </c>
      <c r="O5" s="33" t="s">
        <v>258</v>
      </c>
      <c r="P5" s="33" t="s">
        <v>245</v>
      </c>
      <c r="Q5" s="33" t="s">
        <v>143</v>
      </c>
    </row>
    <row r="6" spans="1:17">
      <c r="B6" s="28" t="s">
        <v>260</v>
      </c>
      <c r="C6" s="29">
        <v>46251</v>
      </c>
      <c r="D6" s="28" t="s">
        <v>94</v>
      </c>
      <c r="E6" s="28" t="s">
        <v>261</v>
      </c>
      <c r="F6" s="28" t="s">
        <v>124</v>
      </c>
      <c r="G6" s="28" t="s">
        <v>122</v>
      </c>
      <c r="H6" s="36" t="s">
        <v>262</v>
      </c>
      <c r="I6" s="28" t="s">
        <v>263</v>
      </c>
      <c r="J6" s="29">
        <v>46283</v>
      </c>
      <c r="K6" s="42">
        <f>IF(tblTags[[#This Row],[Tag no.]]="","",IFERROR(INDEX(tblTagTypes[Target (days)],MATCH(tblTags[[#This Row],[Tag type]],tblTagTypes[Tag type],0)),""))</f>
        <v>21</v>
      </c>
      <c r="L6" s="45">
        <f>IF(tblTags[[#This Row],[Tag no.]]="","",IF(tblTags[[#This Row],[Target (days)]]="","",tblTags[[#This Row],[Date found]]+tblTags[[#This Row],[Target (days)]]))</f>
        <v>46272</v>
      </c>
      <c r="M6" s="42">
        <f>IF(tblTags[[#This Row],[Tag no.]]="","",IF(tblTags[[#This Row],[Status]]="Closed",IF(tblTags[[#This Row],[Date closed]]="","",tblTags[[#This Row],[Date closed]]-tblTags[[#This Row],[Date found]]),AsOf-tblTags[[#This Row],[Date found]]))</f>
        <v>32</v>
      </c>
      <c r="N6" s="44" t="str">
        <f>IF(tblTags[[#This Row],[Tag no.]]="","",IF(tblTags[[#This Row],[Status]]="Closed","Complete",IF(tblTags[[#This Row],[Due date]]="","",IF(AsOf&gt;tblTags[[#This Row],[Due date]],"Overdue",IF(tblTags[[#This Row],[Due date]]-AsOf&lt;=TagDueSoon,"Due soon","OK")))))</f>
        <v>Complete</v>
      </c>
      <c r="O6" s="44" t="str">
        <f>IF(tblTags[[#This Row],[Tag no.]]="","",IF(OR(tblTags[[#This Row],[Status]]&lt;&gt;"Closed",tblTags[[#This Row],[Date closed]]="",tblTags[[#This Row],[Due date]]=""),"",IF(tblTags[[#This Row],[Date closed]]&lt;=tblTags[[#This Row],[Due date]],"Yes","No")))</f>
        <v>No</v>
      </c>
      <c r="P6" s="45">
        <f>IF(tblTags[[#This Row],[Tag no.]]="","",IF(AND(tblTags[[#This Row],[Date found]]&gt;=FFrom,tblTags[[#This Row],[Date found]]&lt;=FTo,OR(DashMachine="",tblTags[[#This Row],[Machine]]=DashMachine)),tblTags[[#This Row],[Date found]],""))</f>
        <v>46251</v>
      </c>
      <c r="Q6"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7" spans="1:17">
      <c r="B7" s="28" t="s">
        <v>264</v>
      </c>
      <c r="C7" s="29">
        <v>46251</v>
      </c>
      <c r="D7" s="28" t="s">
        <v>97</v>
      </c>
      <c r="E7" s="28" t="s">
        <v>265</v>
      </c>
      <c r="F7" s="28" t="s">
        <v>114</v>
      </c>
      <c r="G7" s="28" t="s">
        <v>115</v>
      </c>
      <c r="H7" s="36" t="s">
        <v>266</v>
      </c>
      <c r="I7" s="28" t="s">
        <v>263</v>
      </c>
      <c r="J7" s="29">
        <v>46253</v>
      </c>
      <c r="K7" s="42">
        <f>IF(tblTags[[#This Row],[Tag no.]]="","",IFERROR(INDEX(tblTagTypes[Target (days)],MATCH(tblTags[[#This Row],[Tag type]],tblTagTypes[Tag type],0)),""))</f>
        <v>7</v>
      </c>
      <c r="L7" s="45">
        <f>IF(tblTags[[#This Row],[Tag no.]]="","",IF(tblTags[[#This Row],[Target (days)]]="","",tblTags[[#This Row],[Date found]]+tblTags[[#This Row],[Target (days)]]))</f>
        <v>46258</v>
      </c>
      <c r="M7" s="42">
        <f>IF(tblTags[[#This Row],[Tag no.]]="","",IF(tblTags[[#This Row],[Status]]="Closed",IF(tblTags[[#This Row],[Date closed]]="","",tblTags[[#This Row],[Date closed]]-tblTags[[#This Row],[Date found]]),AsOf-tblTags[[#This Row],[Date found]]))</f>
        <v>2</v>
      </c>
      <c r="N7" s="44" t="str">
        <f>IF(tblTags[[#This Row],[Tag no.]]="","",IF(tblTags[[#This Row],[Status]]="Closed","Complete",IF(tblTags[[#This Row],[Due date]]="","",IF(AsOf&gt;tblTags[[#This Row],[Due date]],"Overdue",IF(tblTags[[#This Row],[Due date]]-AsOf&lt;=TagDueSoon,"Due soon","OK")))))</f>
        <v>Complete</v>
      </c>
      <c r="O7" s="44" t="str">
        <f>IF(tblTags[[#This Row],[Tag no.]]="","",IF(OR(tblTags[[#This Row],[Status]]&lt;&gt;"Closed",tblTags[[#This Row],[Date closed]]="",tblTags[[#This Row],[Due date]]=""),"",IF(tblTags[[#This Row],[Date closed]]&lt;=tblTags[[#This Row],[Due date]],"Yes","No")))</f>
        <v>Yes</v>
      </c>
      <c r="P7" s="45">
        <f>IF(tblTags[[#This Row],[Tag no.]]="","",IF(AND(tblTags[[#This Row],[Date found]]&gt;=FFrom,tblTags[[#This Row],[Date found]]&lt;=FTo,OR(DashMachine="",tblTags[[#This Row],[Machine]]=DashMachine)),tblTags[[#This Row],[Date found]],""))</f>
        <v>46251</v>
      </c>
      <c r="Q7"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8" spans="1:17">
      <c r="B8" s="28" t="s">
        <v>267</v>
      </c>
      <c r="C8" s="29">
        <v>46252</v>
      </c>
      <c r="D8" s="28" t="s">
        <v>91</v>
      </c>
      <c r="E8" s="28" t="s">
        <v>265</v>
      </c>
      <c r="F8" s="28" t="s">
        <v>114</v>
      </c>
      <c r="G8" s="28" t="s">
        <v>115</v>
      </c>
      <c r="H8" s="36" t="s">
        <v>268</v>
      </c>
      <c r="I8" s="28" t="s">
        <v>263</v>
      </c>
      <c r="J8" s="29">
        <v>46262</v>
      </c>
      <c r="K8" s="42">
        <f>IF(tblTags[[#This Row],[Tag no.]]="","",IFERROR(INDEX(tblTagTypes[Target (days)],MATCH(tblTags[[#This Row],[Tag type]],tblTagTypes[Tag type],0)),""))</f>
        <v>7</v>
      </c>
      <c r="L8" s="45">
        <f>IF(tblTags[[#This Row],[Tag no.]]="","",IF(tblTags[[#This Row],[Target (days)]]="","",tblTags[[#This Row],[Date found]]+tblTags[[#This Row],[Target (days)]]))</f>
        <v>46259</v>
      </c>
      <c r="M8" s="42">
        <f>IF(tblTags[[#This Row],[Tag no.]]="","",IF(tblTags[[#This Row],[Status]]="Closed",IF(tblTags[[#This Row],[Date closed]]="","",tblTags[[#This Row],[Date closed]]-tblTags[[#This Row],[Date found]]),AsOf-tblTags[[#This Row],[Date found]]))</f>
        <v>10</v>
      </c>
      <c r="N8" s="44" t="str">
        <f>IF(tblTags[[#This Row],[Tag no.]]="","",IF(tblTags[[#This Row],[Status]]="Closed","Complete",IF(tblTags[[#This Row],[Due date]]="","",IF(AsOf&gt;tblTags[[#This Row],[Due date]],"Overdue",IF(tblTags[[#This Row],[Due date]]-AsOf&lt;=TagDueSoon,"Due soon","OK")))))</f>
        <v>Complete</v>
      </c>
      <c r="O8" s="44" t="str">
        <f>IF(tblTags[[#This Row],[Tag no.]]="","",IF(OR(tblTags[[#This Row],[Status]]&lt;&gt;"Closed",tblTags[[#This Row],[Date closed]]="",tblTags[[#This Row],[Due date]]=""),"",IF(tblTags[[#This Row],[Date closed]]&lt;=tblTags[[#This Row],[Due date]],"Yes","No")))</f>
        <v>No</v>
      </c>
      <c r="P8" s="45">
        <f>IF(tblTags[[#This Row],[Tag no.]]="","",IF(AND(tblTags[[#This Row],[Date found]]&gt;=FFrom,tblTags[[#This Row],[Date found]]&lt;=FTo,OR(DashMachine="",tblTags[[#This Row],[Machine]]=DashMachine)),tblTags[[#This Row],[Date found]],""))</f>
        <v>46252</v>
      </c>
      <c r="Q8"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9" spans="1:17">
      <c r="B9" s="28" t="s">
        <v>269</v>
      </c>
      <c r="C9" s="29">
        <v>46254</v>
      </c>
      <c r="D9" s="28" t="s">
        <v>99</v>
      </c>
      <c r="E9" s="28" t="s">
        <v>265</v>
      </c>
      <c r="F9" s="28" t="s">
        <v>117</v>
      </c>
      <c r="G9" s="28" t="s">
        <v>115</v>
      </c>
      <c r="H9" s="36" t="s">
        <v>270</v>
      </c>
      <c r="I9" s="28" t="s">
        <v>263</v>
      </c>
      <c r="J9" s="29">
        <v>46259</v>
      </c>
      <c r="K9" s="42">
        <f>IF(tblTags[[#This Row],[Tag no.]]="","",IFERROR(INDEX(tblTagTypes[Target (days)],MATCH(tblTags[[#This Row],[Tag type]],tblTagTypes[Tag type],0)),""))</f>
        <v>7</v>
      </c>
      <c r="L9" s="45">
        <f>IF(tblTags[[#This Row],[Tag no.]]="","",IF(tblTags[[#This Row],[Target (days)]]="","",tblTags[[#This Row],[Date found]]+tblTags[[#This Row],[Target (days)]]))</f>
        <v>46261</v>
      </c>
      <c r="M9" s="42">
        <f>IF(tblTags[[#This Row],[Tag no.]]="","",IF(tblTags[[#This Row],[Status]]="Closed",IF(tblTags[[#This Row],[Date closed]]="","",tblTags[[#This Row],[Date closed]]-tblTags[[#This Row],[Date found]]),AsOf-tblTags[[#This Row],[Date found]]))</f>
        <v>5</v>
      </c>
      <c r="N9" s="44" t="str">
        <f>IF(tblTags[[#This Row],[Tag no.]]="","",IF(tblTags[[#This Row],[Status]]="Closed","Complete",IF(tblTags[[#This Row],[Due date]]="","",IF(AsOf&gt;tblTags[[#This Row],[Due date]],"Overdue",IF(tblTags[[#This Row],[Due date]]-AsOf&lt;=TagDueSoon,"Due soon","OK")))))</f>
        <v>Complete</v>
      </c>
      <c r="O9" s="44" t="str">
        <f>IF(tblTags[[#This Row],[Tag no.]]="","",IF(OR(tblTags[[#This Row],[Status]]&lt;&gt;"Closed",tblTags[[#This Row],[Date closed]]="",tblTags[[#This Row],[Due date]]=""),"",IF(tblTags[[#This Row],[Date closed]]&lt;=tblTags[[#This Row],[Due date]],"Yes","No")))</f>
        <v>Yes</v>
      </c>
      <c r="P9" s="45">
        <f>IF(tblTags[[#This Row],[Tag no.]]="","",IF(AND(tblTags[[#This Row],[Date found]]&gt;=FFrom,tblTags[[#This Row],[Date found]]&lt;=FTo,OR(DashMachine="",tblTags[[#This Row],[Machine]]=DashMachine)),tblTags[[#This Row],[Date found]],""))</f>
        <v>46254</v>
      </c>
      <c r="Q9"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10" spans="1:17">
      <c r="B10" s="28" t="s">
        <v>271</v>
      </c>
      <c r="C10" s="29">
        <v>46254</v>
      </c>
      <c r="D10" s="28" t="s">
        <v>99</v>
      </c>
      <c r="E10" s="28" t="s">
        <v>272</v>
      </c>
      <c r="F10" s="28" t="s">
        <v>119</v>
      </c>
      <c r="G10" s="28" t="s">
        <v>115</v>
      </c>
      <c r="H10" s="36" t="s">
        <v>273</v>
      </c>
      <c r="I10" s="28" t="s">
        <v>263</v>
      </c>
      <c r="J10" s="29">
        <v>46255</v>
      </c>
      <c r="K10" s="42">
        <f>IF(tblTags[[#This Row],[Tag no.]]="","",IFERROR(INDEX(tblTagTypes[Target (days)],MATCH(tblTags[[#This Row],[Tag type]],tblTagTypes[Tag type],0)),""))</f>
        <v>7</v>
      </c>
      <c r="L10" s="45">
        <f>IF(tblTags[[#This Row],[Tag no.]]="","",IF(tblTags[[#This Row],[Target (days)]]="","",tblTags[[#This Row],[Date found]]+tblTags[[#This Row],[Target (days)]]))</f>
        <v>46261</v>
      </c>
      <c r="M10" s="42">
        <f>IF(tblTags[[#This Row],[Tag no.]]="","",IF(tblTags[[#This Row],[Status]]="Closed",IF(tblTags[[#This Row],[Date closed]]="","",tblTags[[#This Row],[Date closed]]-tblTags[[#This Row],[Date found]]),AsOf-tblTags[[#This Row],[Date found]]))</f>
        <v>1</v>
      </c>
      <c r="N10" s="44" t="str">
        <f>IF(tblTags[[#This Row],[Tag no.]]="","",IF(tblTags[[#This Row],[Status]]="Closed","Complete",IF(tblTags[[#This Row],[Due date]]="","",IF(AsOf&gt;tblTags[[#This Row],[Due date]],"Overdue",IF(tblTags[[#This Row],[Due date]]-AsOf&lt;=TagDueSoon,"Due soon","OK")))))</f>
        <v>Complete</v>
      </c>
      <c r="O10" s="44" t="str">
        <f>IF(tblTags[[#This Row],[Tag no.]]="","",IF(OR(tblTags[[#This Row],[Status]]&lt;&gt;"Closed",tblTags[[#This Row],[Date closed]]="",tblTags[[#This Row],[Due date]]=""),"",IF(tblTags[[#This Row],[Date closed]]&lt;=tblTags[[#This Row],[Due date]],"Yes","No")))</f>
        <v>Yes</v>
      </c>
      <c r="P10" s="45">
        <f>IF(tblTags[[#This Row],[Tag no.]]="","",IF(AND(tblTags[[#This Row],[Date found]]&gt;=FFrom,tblTags[[#This Row],[Date found]]&lt;=FTo,OR(DashMachine="",tblTags[[#This Row],[Machine]]=DashMachine)),tblTags[[#This Row],[Date found]],""))</f>
        <v>46254</v>
      </c>
      <c r="Q10"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11" spans="1:17">
      <c r="B11" s="28" t="s">
        <v>274</v>
      </c>
      <c r="C11" s="29">
        <v>46254</v>
      </c>
      <c r="D11" s="28" t="s">
        <v>101</v>
      </c>
      <c r="E11" s="28" t="s">
        <v>272</v>
      </c>
      <c r="F11" s="28" t="s">
        <v>114</v>
      </c>
      <c r="G11" s="28" t="s">
        <v>115</v>
      </c>
      <c r="H11" s="36" t="s">
        <v>275</v>
      </c>
      <c r="I11" s="28" t="s">
        <v>263</v>
      </c>
      <c r="J11" s="29">
        <v>46256</v>
      </c>
      <c r="K11" s="42">
        <f>IF(tblTags[[#This Row],[Tag no.]]="","",IFERROR(INDEX(tblTagTypes[Target (days)],MATCH(tblTags[[#This Row],[Tag type]],tblTagTypes[Tag type],0)),""))</f>
        <v>7</v>
      </c>
      <c r="L11" s="45">
        <f>IF(tblTags[[#This Row],[Tag no.]]="","",IF(tblTags[[#This Row],[Target (days)]]="","",tblTags[[#This Row],[Date found]]+tblTags[[#This Row],[Target (days)]]))</f>
        <v>46261</v>
      </c>
      <c r="M11" s="42">
        <f>IF(tblTags[[#This Row],[Tag no.]]="","",IF(tblTags[[#This Row],[Status]]="Closed",IF(tblTags[[#This Row],[Date closed]]="","",tblTags[[#This Row],[Date closed]]-tblTags[[#This Row],[Date found]]),AsOf-tblTags[[#This Row],[Date found]]))</f>
        <v>2</v>
      </c>
      <c r="N11" s="44" t="str">
        <f>IF(tblTags[[#This Row],[Tag no.]]="","",IF(tblTags[[#This Row],[Status]]="Closed","Complete",IF(tblTags[[#This Row],[Due date]]="","",IF(AsOf&gt;tblTags[[#This Row],[Due date]],"Overdue",IF(tblTags[[#This Row],[Due date]]-AsOf&lt;=TagDueSoon,"Due soon","OK")))))</f>
        <v>Complete</v>
      </c>
      <c r="O11" s="44" t="str">
        <f>IF(tblTags[[#This Row],[Tag no.]]="","",IF(OR(tblTags[[#This Row],[Status]]&lt;&gt;"Closed",tblTags[[#This Row],[Date closed]]="",tblTags[[#This Row],[Due date]]=""),"",IF(tblTags[[#This Row],[Date closed]]&lt;=tblTags[[#This Row],[Due date]],"Yes","No")))</f>
        <v>Yes</v>
      </c>
      <c r="P11" s="45">
        <f>IF(tblTags[[#This Row],[Tag no.]]="","",IF(AND(tblTags[[#This Row],[Date found]]&gt;=FFrom,tblTags[[#This Row],[Date found]]&lt;=FTo,OR(DashMachine="",tblTags[[#This Row],[Machine]]=DashMachine)),tblTags[[#This Row],[Date found]],""))</f>
        <v>46254</v>
      </c>
      <c r="Q11"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12" spans="1:17">
      <c r="B12" s="28" t="s">
        <v>276</v>
      </c>
      <c r="C12" s="29">
        <v>46258</v>
      </c>
      <c r="D12" s="28" t="s">
        <v>91</v>
      </c>
      <c r="E12" s="28" t="s">
        <v>265</v>
      </c>
      <c r="F12" s="28" t="s">
        <v>124</v>
      </c>
      <c r="G12" s="28" t="s">
        <v>122</v>
      </c>
      <c r="H12" s="36" t="s">
        <v>262</v>
      </c>
      <c r="I12" s="28" t="s">
        <v>263</v>
      </c>
      <c r="J12" s="29">
        <v>46272</v>
      </c>
      <c r="K12" s="42">
        <f>IF(tblTags[[#This Row],[Tag no.]]="","",IFERROR(INDEX(tblTagTypes[Target (days)],MATCH(tblTags[[#This Row],[Tag type]],tblTagTypes[Tag type],0)),""))</f>
        <v>21</v>
      </c>
      <c r="L12" s="45">
        <f>IF(tblTags[[#This Row],[Tag no.]]="","",IF(tblTags[[#This Row],[Target (days)]]="","",tblTags[[#This Row],[Date found]]+tblTags[[#This Row],[Target (days)]]))</f>
        <v>46279</v>
      </c>
      <c r="M12" s="42">
        <f>IF(tblTags[[#This Row],[Tag no.]]="","",IF(tblTags[[#This Row],[Status]]="Closed",IF(tblTags[[#This Row],[Date closed]]="","",tblTags[[#This Row],[Date closed]]-tblTags[[#This Row],[Date found]]),AsOf-tblTags[[#This Row],[Date found]]))</f>
        <v>14</v>
      </c>
      <c r="N12" s="44" t="str">
        <f>IF(tblTags[[#This Row],[Tag no.]]="","",IF(tblTags[[#This Row],[Status]]="Closed","Complete",IF(tblTags[[#This Row],[Due date]]="","",IF(AsOf&gt;tblTags[[#This Row],[Due date]],"Overdue",IF(tblTags[[#This Row],[Due date]]-AsOf&lt;=TagDueSoon,"Due soon","OK")))))</f>
        <v>Complete</v>
      </c>
      <c r="O12" s="44" t="str">
        <f>IF(tblTags[[#This Row],[Tag no.]]="","",IF(OR(tblTags[[#This Row],[Status]]&lt;&gt;"Closed",tblTags[[#This Row],[Date closed]]="",tblTags[[#This Row],[Due date]]=""),"",IF(tblTags[[#This Row],[Date closed]]&lt;=tblTags[[#This Row],[Due date]],"Yes","No")))</f>
        <v>Yes</v>
      </c>
      <c r="P12" s="45">
        <f>IF(tblTags[[#This Row],[Tag no.]]="","",IF(AND(tblTags[[#This Row],[Date found]]&gt;=FFrom,tblTags[[#This Row],[Date found]]&lt;=FTo,OR(DashMachine="",tblTags[[#This Row],[Machine]]=DashMachine)),tblTags[[#This Row],[Date found]],""))</f>
        <v>46258</v>
      </c>
      <c r="Q12"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13" spans="1:17">
      <c r="B13" s="28" t="s">
        <v>277</v>
      </c>
      <c r="C13" s="29">
        <v>46258</v>
      </c>
      <c r="D13" s="28" t="s">
        <v>94</v>
      </c>
      <c r="E13" s="28" t="s">
        <v>265</v>
      </c>
      <c r="F13" s="28" t="s">
        <v>119</v>
      </c>
      <c r="G13" s="28" t="s">
        <v>115</v>
      </c>
      <c r="H13" s="36" t="s">
        <v>278</v>
      </c>
      <c r="I13" s="28" t="s">
        <v>263</v>
      </c>
      <c r="J13" s="29">
        <v>46259</v>
      </c>
      <c r="K13" s="42">
        <f>IF(tblTags[[#This Row],[Tag no.]]="","",IFERROR(INDEX(tblTagTypes[Target (days)],MATCH(tblTags[[#This Row],[Tag type]],tblTagTypes[Tag type],0)),""))</f>
        <v>7</v>
      </c>
      <c r="L13" s="45">
        <f>IF(tblTags[[#This Row],[Tag no.]]="","",IF(tblTags[[#This Row],[Target (days)]]="","",tblTags[[#This Row],[Date found]]+tblTags[[#This Row],[Target (days)]]))</f>
        <v>46265</v>
      </c>
      <c r="M13" s="42">
        <f>IF(tblTags[[#This Row],[Tag no.]]="","",IF(tblTags[[#This Row],[Status]]="Closed",IF(tblTags[[#This Row],[Date closed]]="","",tblTags[[#This Row],[Date closed]]-tblTags[[#This Row],[Date found]]),AsOf-tblTags[[#This Row],[Date found]]))</f>
        <v>1</v>
      </c>
      <c r="N13" s="44" t="str">
        <f>IF(tblTags[[#This Row],[Tag no.]]="","",IF(tblTags[[#This Row],[Status]]="Closed","Complete",IF(tblTags[[#This Row],[Due date]]="","",IF(AsOf&gt;tblTags[[#This Row],[Due date]],"Overdue",IF(tblTags[[#This Row],[Due date]]-AsOf&lt;=TagDueSoon,"Due soon","OK")))))</f>
        <v>Complete</v>
      </c>
      <c r="O13" s="44" t="str">
        <f>IF(tblTags[[#This Row],[Tag no.]]="","",IF(OR(tblTags[[#This Row],[Status]]&lt;&gt;"Closed",tblTags[[#This Row],[Date closed]]="",tblTags[[#This Row],[Due date]]=""),"",IF(tblTags[[#This Row],[Date closed]]&lt;=tblTags[[#This Row],[Due date]],"Yes","No")))</f>
        <v>Yes</v>
      </c>
      <c r="P13" s="45">
        <f>IF(tblTags[[#This Row],[Tag no.]]="","",IF(AND(tblTags[[#This Row],[Date found]]&gt;=FFrom,tblTags[[#This Row],[Date found]]&lt;=FTo,OR(DashMachine="",tblTags[[#This Row],[Machine]]=DashMachine)),tblTags[[#This Row],[Date found]],""))</f>
        <v>46258</v>
      </c>
      <c r="Q13"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14" spans="1:17">
      <c r="B14" s="28" t="s">
        <v>279</v>
      </c>
      <c r="C14" s="29">
        <v>46258</v>
      </c>
      <c r="D14" s="28" t="s">
        <v>99</v>
      </c>
      <c r="E14" s="28" t="s">
        <v>261</v>
      </c>
      <c r="F14" s="28" t="s">
        <v>119</v>
      </c>
      <c r="G14" s="28" t="s">
        <v>122</v>
      </c>
      <c r="H14" s="36" t="s">
        <v>280</v>
      </c>
      <c r="I14" s="28" t="s">
        <v>263</v>
      </c>
      <c r="J14" s="29">
        <v>46283</v>
      </c>
      <c r="K14" s="42">
        <f>IF(tblTags[[#This Row],[Tag no.]]="","",IFERROR(INDEX(tblTagTypes[Target (days)],MATCH(tblTags[[#This Row],[Tag type]],tblTagTypes[Tag type],0)),""))</f>
        <v>21</v>
      </c>
      <c r="L14" s="45">
        <f>IF(tblTags[[#This Row],[Tag no.]]="","",IF(tblTags[[#This Row],[Target (days)]]="","",tblTags[[#This Row],[Date found]]+tblTags[[#This Row],[Target (days)]]))</f>
        <v>46279</v>
      </c>
      <c r="M14" s="42">
        <f>IF(tblTags[[#This Row],[Tag no.]]="","",IF(tblTags[[#This Row],[Status]]="Closed",IF(tblTags[[#This Row],[Date closed]]="","",tblTags[[#This Row],[Date closed]]-tblTags[[#This Row],[Date found]]),AsOf-tblTags[[#This Row],[Date found]]))</f>
        <v>25</v>
      </c>
      <c r="N14" s="44" t="str">
        <f>IF(tblTags[[#This Row],[Tag no.]]="","",IF(tblTags[[#This Row],[Status]]="Closed","Complete",IF(tblTags[[#This Row],[Due date]]="","",IF(AsOf&gt;tblTags[[#This Row],[Due date]],"Overdue",IF(tblTags[[#This Row],[Due date]]-AsOf&lt;=TagDueSoon,"Due soon","OK")))))</f>
        <v>Complete</v>
      </c>
      <c r="O14" s="44" t="str">
        <f>IF(tblTags[[#This Row],[Tag no.]]="","",IF(OR(tblTags[[#This Row],[Status]]&lt;&gt;"Closed",tblTags[[#This Row],[Date closed]]="",tblTags[[#This Row],[Due date]]=""),"",IF(tblTags[[#This Row],[Date closed]]&lt;=tblTags[[#This Row],[Due date]],"Yes","No")))</f>
        <v>No</v>
      </c>
      <c r="P14" s="45">
        <f>IF(tblTags[[#This Row],[Tag no.]]="","",IF(AND(tblTags[[#This Row],[Date found]]&gt;=FFrom,tblTags[[#This Row],[Date found]]&lt;=FTo,OR(DashMachine="",tblTags[[#This Row],[Machine]]=DashMachine)),tblTags[[#This Row],[Date found]],""))</f>
        <v>46258</v>
      </c>
      <c r="Q14"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15" spans="1:17">
      <c r="B15" s="28" t="s">
        <v>281</v>
      </c>
      <c r="C15" s="29">
        <v>46258</v>
      </c>
      <c r="D15" s="28" t="s">
        <v>101</v>
      </c>
      <c r="E15" s="28" t="s">
        <v>265</v>
      </c>
      <c r="F15" s="28" t="s">
        <v>119</v>
      </c>
      <c r="G15" s="28" t="s">
        <v>115</v>
      </c>
      <c r="H15" s="36" t="s">
        <v>282</v>
      </c>
      <c r="I15" s="28" t="s">
        <v>263</v>
      </c>
      <c r="J15" s="29">
        <v>46262</v>
      </c>
      <c r="K15" s="42">
        <f>IF(tblTags[[#This Row],[Tag no.]]="","",IFERROR(INDEX(tblTagTypes[Target (days)],MATCH(tblTags[[#This Row],[Tag type]],tblTagTypes[Tag type],0)),""))</f>
        <v>7</v>
      </c>
      <c r="L15" s="45">
        <f>IF(tblTags[[#This Row],[Tag no.]]="","",IF(tblTags[[#This Row],[Target (days)]]="","",tblTags[[#This Row],[Date found]]+tblTags[[#This Row],[Target (days)]]))</f>
        <v>46265</v>
      </c>
      <c r="M15" s="42">
        <f>IF(tblTags[[#This Row],[Tag no.]]="","",IF(tblTags[[#This Row],[Status]]="Closed",IF(tblTags[[#This Row],[Date closed]]="","",tblTags[[#This Row],[Date closed]]-tblTags[[#This Row],[Date found]]),AsOf-tblTags[[#This Row],[Date found]]))</f>
        <v>4</v>
      </c>
      <c r="N15" s="44" t="str">
        <f>IF(tblTags[[#This Row],[Tag no.]]="","",IF(tblTags[[#This Row],[Status]]="Closed","Complete",IF(tblTags[[#This Row],[Due date]]="","",IF(AsOf&gt;tblTags[[#This Row],[Due date]],"Overdue",IF(tblTags[[#This Row],[Due date]]-AsOf&lt;=TagDueSoon,"Due soon","OK")))))</f>
        <v>Complete</v>
      </c>
      <c r="O15" s="44" t="str">
        <f>IF(tblTags[[#This Row],[Tag no.]]="","",IF(OR(tblTags[[#This Row],[Status]]&lt;&gt;"Closed",tblTags[[#This Row],[Date closed]]="",tblTags[[#This Row],[Due date]]=""),"",IF(tblTags[[#This Row],[Date closed]]&lt;=tblTags[[#This Row],[Due date]],"Yes","No")))</f>
        <v>Yes</v>
      </c>
      <c r="P15" s="45">
        <f>IF(tblTags[[#This Row],[Tag no.]]="","",IF(AND(tblTags[[#This Row],[Date found]]&gt;=FFrom,tblTags[[#This Row],[Date found]]&lt;=FTo,OR(DashMachine="",tblTags[[#This Row],[Machine]]=DashMachine)),tblTags[[#This Row],[Date found]],""))</f>
        <v>46258</v>
      </c>
      <c r="Q15"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16" spans="1:17">
      <c r="B16" s="28" t="s">
        <v>283</v>
      </c>
      <c r="C16" s="29">
        <v>46260</v>
      </c>
      <c r="D16" s="28" t="s">
        <v>97</v>
      </c>
      <c r="E16" s="28" t="s">
        <v>265</v>
      </c>
      <c r="F16" s="28" t="s">
        <v>114</v>
      </c>
      <c r="G16" s="28" t="s">
        <v>122</v>
      </c>
      <c r="H16" s="36" t="s">
        <v>266</v>
      </c>
      <c r="I16" s="28" t="s">
        <v>284</v>
      </c>
      <c r="J16" s="29"/>
      <c r="K16" s="42">
        <f>IF(tblTags[[#This Row],[Tag no.]]="","",IFERROR(INDEX(tblTagTypes[Target (days)],MATCH(tblTags[[#This Row],[Tag type]],tblTagTypes[Tag type],0)),""))</f>
        <v>21</v>
      </c>
      <c r="L16" s="45">
        <f>IF(tblTags[[#This Row],[Tag no.]]="","",IF(tblTags[[#This Row],[Target (days)]]="","",tblTags[[#This Row],[Date found]]+tblTags[[#This Row],[Target (days)]]))</f>
        <v>46281</v>
      </c>
      <c r="M16" s="42">
        <f>IF(tblTags[[#This Row],[Tag no.]]="","",IF(tblTags[[#This Row],[Status]]="Closed",IF(tblTags[[#This Row],[Date closed]]="","",tblTags[[#This Row],[Date closed]]-tblTags[[#This Row],[Date found]]),AsOf-tblTags[[#This Row],[Date found]]))</f>
        <v>44</v>
      </c>
      <c r="N16" s="44" t="str">
        <f>IF(tblTags[[#This Row],[Tag no.]]="","",IF(tblTags[[#This Row],[Status]]="Closed","Complete",IF(tblTags[[#This Row],[Due date]]="","",IF(AsOf&gt;tblTags[[#This Row],[Due date]],"Overdue",IF(tblTags[[#This Row],[Due date]]-AsOf&lt;=TagDueSoon,"Due soon","OK")))))</f>
        <v>Overdue</v>
      </c>
      <c r="O16" s="44">
        <f>IF(tblTags[[#This Row],[Tag no.]]="","",IF(OR(tblTags[[#This Row],[Status]]&lt;&gt;"Closed",tblTags[[#This Row],[Date closed]]="",tblTags[[#This Row],[Due date]]=""),"",IF(tblTags[[#This Row],[Date closed]]&lt;=tblTags[[#This Row],[Due date]],"Yes","No")))</f>
        <v/>
      </c>
      <c r="P16" s="45">
        <f>IF(tblTags[[#This Row],[Tag no.]]="","",IF(AND(tblTags[[#This Row],[Date found]]&gt;=FFrom,tblTags[[#This Row],[Date found]]&lt;=FTo,OR(DashMachine="",tblTags[[#This Row],[Machine]]=DashMachine)),tblTags[[#This Row],[Date found]],""))</f>
        <v>46260</v>
      </c>
      <c r="Q16"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17" spans="2:17">
      <c r="B17" s="28" t="s">
        <v>285</v>
      </c>
      <c r="C17" s="29">
        <v>46261</v>
      </c>
      <c r="D17" s="28" t="s">
        <v>99</v>
      </c>
      <c r="E17" s="28" t="s">
        <v>272</v>
      </c>
      <c r="F17" s="28" t="s">
        <v>117</v>
      </c>
      <c r="G17" s="28" t="s">
        <v>115</v>
      </c>
      <c r="H17" s="36" t="s">
        <v>286</v>
      </c>
      <c r="I17" s="28" t="s">
        <v>263</v>
      </c>
      <c r="J17" s="29">
        <v>46266</v>
      </c>
      <c r="K17" s="42">
        <f>IF(tblTags[[#This Row],[Tag no.]]="","",IFERROR(INDEX(tblTagTypes[Target (days)],MATCH(tblTags[[#This Row],[Tag type]],tblTagTypes[Tag type],0)),""))</f>
        <v>7</v>
      </c>
      <c r="L17" s="45">
        <f>IF(tblTags[[#This Row],[Tag no.]]="","",IF(tblTags[[#This Row],[Target (days)]]="","",tblTags[[#This Row],[Date found]]+tblTags[[#This Row],[Target (days)]]))</f>
        <v>46268</v>
      </c>
      <c r="M17" s="42">
        <f>IF(tblTags[[#This Row],[Tag no.]]="","",IF(tblTags[[#This Row],[Status]]="Closed",IF(tblTags[[#This Row],[Date closed]]="","",tblTags[[#This Row],[Date closed]]-tblTags[[#This Row],[Date found]]),AsOf-tblTags[[#This Row],[Date found]]))</f>
        <v>5</v>
      </c>
      <c r="N17" s="44" t="str">
        <f>IF(tblTags[[#This Row],[Tag no.]]="","",IF(tblTags[[#This Row],[Status]]="Closed","Complete",IF(tblTags[[#This Row],[Due date]]="","",IF(AsOf&gt;tblTags[[#This Row],[Due date]],"Overdue",IF(tblTags[[#This Row],[Due date]]-AsOf&lt;=TagDueSoon,"Due soon","OK")))))</f>
        <v>Complete</v>
      </c>
      <c r="O17" s="44" t="str">
        <f>IF(tblTags[[#This Row],[Tag no.]]="","",IF(OR(tblTags[[#This Row],[Status]]&lt;&gt;"Closed",tblTags[[#This Row],[Date closed]]="",tblTags[[#This Row],[Due date]]=""),"",IF(tblTags[[#This Row],[Date closed]]&lt;=tblTags[[#This Row],[Due date]],"Yes","No")))</f>
        <v>Yes</v>
      </c>
      <c r="P17" s="45">
        <f>IF(tblTags[[#This Row],[Tag no.]]="","",IF(AND(tblTags[[#This Row],[Date found]]&gt;=FFrom,tblTags[[#This Row],[Date found]]&lt;=FTo,OR(DashMachine="",tblTags[[#This Row],[Machine]]=DashMachine)),tblTags[[#This Row],[Date found]],""))</f>
        <v>46261</v>
      </c>
      <c r="Q17"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18" spans="2:17">
      <c r="B18" s="28" t="s">
        <v>287</v>
      </c>
      <c r="C18" s="29">
        <v>46262</v>
      </c>
      <c r="D18" s="28" t="s">
        <v>88</v>
      </c>
      <c r="E18" s="28" t="s">
        <v>265</v>
      </c>
      <c r="F18" s="28" t="s">
        <v>114</v>
      </c>
      <c r="G18" s="28" t="s">
        <v>115</v>
      </c>
      <c r="H18" s="36" t="s">
        <v>266</v>
      </c>
      <c r="I18" s="28" t="s">
        <v>263</v>
      </c>
      <c r="J18" s="29">
        <v>46263</v>
      </c>
      <c r="K18" s="42">
        <f>IF(tblTags[[#This Row],[Tag no.]]="","",IFERROR(INDEX(tblTagTypes[Target (days)],MATCH(tblTags[[#This Row],[Tag type]],tblTagTypes[Tag type],0)),""))</f>
        <v>7</v>
      </c>
      <c r="L18" s="45">
        <f>IF(tblTags[[#This Row],[Tag no.]]="","",IF(tblTags[[#This Row],[Target (days)]]="","",tblTags[[#This Row],[Date found]]+tblTags[[#This Row],[Target (days)]]))</f>
        <v>46269</v>
      </c>
      <c r="M18" s="42">
        <f>IF(tblTags[[#This Row],[Tag no.]]="","",IF(tblTags[[#This Row],[Status]]="Closed",IF(tblTags[[#This Row],[Date closed]]="","",tblTags[[#This Row],[Date closed]]-tblTags[[#This Row],[Date found]]),AsOf-tblTags[[#This Row],[Date found]]))</f>
        <v>1</v>
      </c>
      <c r="N18" s="44" t="str">
        <f>IF(tblTags[[#This Row],[Tag no.]]="","",IF(tblTags[[#This Row],[Status]]="Closed","Complete",IF(tblTags[[#This Row],[Due date]]="","",IF(AsOf&gt;tblTags[[#This Row],[Due date]],"Overdue",IF(tblTags[[#This Row],[Due date]]-AsOf&lt;=TagDueSoon,"Due soon","OK")))))</f>
        <v>Complete</v>
      </c>
      <c r="O18" s="44" t="str">
        <f>IF(tblTags[[#This Row],[Tag no.]]="","",IF(OR(tblTags[[#This Row],[Status]]&lt;&gt;"Closed",tblTags[[#This Row],[Date closed]]="",tblTags[[#This Row],[Due date]]=""),"",IF(tblTags[[#This Row],[Date closed]]&lt;=tblTags[[#This Row],[Due date]],"Yes","No")))</f>
        <v>Yes</v>
      </c>
      <c r="P18" s="45">
        <f>IF(tblTags[[#This Row],[Tag no.]]="","",IF(AND(tblTags[[#This Row],[Date found]]&gt;=FFrom,tblTags[[#This Row],[Date found]]&lt;=FTo,OR(DashMachine="",tblTags[[#This Row],[Machine]]=DashMachine)),tblTags[[#This Row],[Date found]],""))</f>
        <v>46262</v>
      </c>
      <c r="Q18"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19" spans="2:17">
      <c r="B19" s="28" t="s">
        <v>288</v>
      </c>
      <c r="C19" s="29">
        <v>46265</v>
      </c>
      <c r="D19" s="28" t="s">
        <v>94</v>
      </c>
      <c r="E19" s="28" t="s">
        <v>265</v>
      </c>
      <c r="F19" s="28" t="s">
        <v>126</v>
      </c>
      <c r="G19" s="28" t="s">
        <v>115</v>
      </c>
      <c r="H19" s="36" t="s">
        <v>289</v>
      </c>
      <c r="I19" s="28" t="s">
        <v>263</v>
      </c>
      <c r="J19" s="29">
        <v>46270</v>
      </c>
      <c r="K19" s="42">
        <f>IF(tblTags[[#This Row],[Tag no.]]="","",IFERROR(INDEX(tblTagTypes[Target (days)],MATCH(tblTags[[#This Row],[Tag type]],tblTagTypes[Tag type],0)),""))</f>
        <v>7</v>
      </c>
      <c r="L19" s="45">
        <f>IF(tblTags[[#This Row],[Tag no.]]="","",IF(tblTags[[#This Row],[Target (days)]]="","",tblTags[[#This Row],[Date found]]+tblTags[[#This Row],[Target (days)]]))</f>
        <v>46272</v>
      </c>
      <c r="M19" s="42">
        <f>IF(tblTags[[#This Row],[Tag no.]]="","",IF(tblTags[[#This Row],[Status]]="Closed",IF(tblTags[[#This Row],[Date closed]]="","",tblTags[[#This Row],[Date closed]]-tblTags[[#This Row],[Date found]]),AsOf-tblTags[[#This Row],[Date found]]))</f>
        <v>5</v>
      </c>
      <c r="N19" s="44" t="str">
        <f>IF(tblTags[[#This Row],[Tag no.]]="","",IF(tblTags[[#This Row],[Status]]="Closed","Complete",IF(tblTags[[#This Row],[Due date]]="","",IF(AsOf&gt;tblTags[[#This Row],[Due date]],"Overdue",IF(tblTags[[#This Row],[Due date]]-AsOf&lt;=TagDueSoon,"Due soon","OK")))))</f>
        <v>Complete</v>
      </c>
      <c r="O19" s="44" t="str">
        <f>IF(tblTags[[#This Row],[Tag no.]]="","",IF(OR(tblTags[[#This Row],[Status]]&lt;&gt;"Closed",tblTags[[#This Row],[Date closed]]="",tblTags[[#This Row],[Due date]]=""),"",IF(tblTags[[#This Row],[Date closed]]&lt;=tblTags[[#This Row],[Due date]],"Yes","No")))</f>
        <v>Yes</v>
      </c>
      <c r="P19" s="45">
        <f>IF(tblTags[[#This Row],[Tag no.]]="","",IF(AND(tblTags[[#This Row],[Date found]]&gt;=FFrom,tblTags[[#This Row],[Date found]]&lt;=FTo,OR(DashMachine="",tblTags[[#This Row],[Machine]]=DashMachine)),tblTags[[#This Row],[Date found]],""))</f>
        <v>46265</v>
      </c>
      <c r="Q19"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20" spans="2:17">
      <c r="B20" s="28" t="s">
        <v>290</v>
      </c>
      <c r="C20" s="29">
        <v>46265</v>
      </c>
      <c r="D20" s="28" t="s">
        <v>97</v>
      </c>
      <c r="E20" s="28" t="s">
        <v>265</v>
      </c>
      <c r="F20" s="28" t="s">
        <v>117</v>
      </c>
      <c r="G20" s="28" t="s">
        <v>115</v>
      </c>
      <c r="H20" s="36" t="s">
        <v>286</v>
      </c>
      <c r="I20" s="28" t="s">
        <v>263</v>
      </c>
      <c r="J20" s="29">
        <v>46267</v>
      </c>
      <c r="K20" s="42">
        <f>IF(tblTags[[#This Row],[Tag no.]]="","",IFERROR(INDEX(tblTagTypes[Target (days)],MATCH(tblTags[[#This Row],[Tag type]],tblTagTypes[Tag type],0)),""))</f>
        <v>7</v>
      </c>
      <c r="L20" s="45">
        <f>IF(tblTags[[#This Row],[Tag no.]]="","",IF(tblTags[[#This Row],[Target (days)]]="","",tblTags[[#This Row],[Date found]]+tblTags[[#This Row],[Target (days)]]))</f>
        <v>46272</v>
      </c>
      <c r="M20" s="42">
        <f>IF(tblTags[[#This Row],[Tag no.]]="","",IF(tblTags[[#This Row],[Status]]="Closed",IF(tblTags[[#This Row],[Date closed]]="","",tblTags[[#This Row],[Date closed]]-tblTags[[#This Row],[Date found]]),AsOf-tblTags[[#This Row],[Date found]]))</f>
        <v>2</v>
      </c>
      <c r="N20" s="44" t="str">
        <f>IF(tblTags[[#This Row],[Tag no.]]="","",IF(tblTags[[#This Row],[Status]]="Closed","Complete",IF(tblTags[[#This Row],[Due date]]="","",IF(AsOf&gt;tblTags[[#This Row],[Due date]],"Overdue",IF(tblTags[[#This Row],[Due date]]-AsOf&lt;=TagDueSoon,"Due soon","OK")))))</f>
        <v>Complete</v>
      </c>
      <c r="O20" s="44" t="str">
        <f>IF(tblTags[[#This Row],[Tag no.]]="","",IF(OR(tblTags[[#This Row],[Status]]&lt;&gt;"Closed",tblTags[[#This Row],[Date closed]]="",tblTags[[#This Row],[Due date]]=""),"",IF(tblTags[[#This Row],[Date closed]]&lt;=tblTags[[#This Row],[Due date]],"Yes","No")))</f>
        <v>Yes</v>
      </c>
      <c r="P20" s="45">
        <f>IF(tblTags[[#This Row],[Tag no.]]="","",IF(AND(tblTags[[#This Row],[Date found]]&gt;=FFrom,tblTags[[#This Row],[Date found]]&lt;=FTo,OR(DashMachine="",tblTags[[#This Row],[Machine]]=DashMachine)),tblTags[[#This Row],[Date found]],""))</f>
        <v>46265</v>
      </c>
      <c r="Q20"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21" spans="2:17">
      <c r="B21" s="28" t="s">
        <v>291</v>
      </c>
      <c r="C21" s="29">
        <v>46265</v>
      </c>
      <c r="D21" s="28" t="s">
        <v>99</v>
      </c>
      <c r="E21" s="28" t="s">
        <v>265</v>
      </c>
      <c r="F21" s="28" t="s">
        <v>114</v>
      </c>
      <c r="G21" s="28" t="s">
        <v>115</v>
      </c>
      <c r="H21" s="36" t="s">
        <v>292</v>
      </c>
      <c r="I21" s="28" t="s">
        <v>263</v>
      </c>
      <c r="J21" s="29">
        <v>46275</v>
      </c>
      <c r="K21" s="42">
        <f>IF(tblTags[[#This Row],[Tag no.]]="","",IFERROR(INDEX(tblTagTypes[Target (days)],MATCH(tblTags[[#This Row],[Tag type]],tblTagTypes[Tag type],0)),""))</f>
        <v>7</v>
      </c>
      <c r="L21" s="45">
        <f>IF(tblTags[[#This Row],[Tag no.]]="","",IF(tblTags[[#This Row],[Target (days)]]="","",tblTags[[#This Row],[Date found]]+tblTags[[#This Row],[Target (days)]]))</f>
        <v>46272</v>
      </c>
      <c r="M21" s="42">
        <f>IF(tblTags[[#This Row],[Tag no.]]="","",IF(tblTags[[#This Row],[Status]]="Closed",IF(tblTags[[#This Row],[Date closed]]="","",tblTags[[#This Row],[Date closed]]-tblTags[[#This Row],[Date found]]),AsOf-tblTags[[#This Row],[Date found]]))</f>
        <v>10</v>
      </c>
      <c r="N21" s="44" t="str">
        <f>IF(tblTags[[#This Row],[Tag no.]]="","",IF(tblTags[[#This Row],[Status]]="Closed","Complete",IF(tblTags[[#This Row],[Due date]]="","",IF(AsOf&gt;tblTags[[#This Row],[Due date]],"Overdue",IF(tblTags[[#This Row],[Due date]]-AsOf&lt;=TagDueSoon,"Due soon","OK")))))</f>
        <v>Complete</v>
      </c>
      <c r="O21" s="44" t="str">
        <f>IF(tblTags[[#This Row],[Tag no.]]="","",IF(OR(tblTags[[#This Row],[Status]]&lt;&gt;"Closed",tblTags[[#This Row],[Date closed]]="",tblTags[[#This Row],[Due date]]=""),"",IF(tblTags[[#This Row],[Date closed]]&lt;=tblTags[[#This Row],[Due date]],"Yes","No")))</f>
        <v>No</v>
      </c>
      <c r="P21" s="45">
        <f>IF(tblTags[[#This Row],[Tag no.]]="","",IF(AND(tblTags[[#This Row],[Date found]]&gt;=FFrom,tblTags[[#This Row],[Date found]]&lt;=FTo,OR(DashMachine="",tblTags[[#This Row],[Machine]]=DashMachine)),tblTags[[#This Row],[Date found]],""))</f>
        <v>46265</v>
      </c>
      <c r="Q21"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22" spans="2:17">
      <c r="B22" s="28" t="s">
        <v>293</v>
      </c>
      <c r="C22" s="29">
        <v>46266</v>
      </c>
      <c r="D22" s="28" t="s">
        <v>101</v>
      </c>
      <c r="E22" s="28" t="s">
        <v>265</v>
      </c>
      <c r="F22" s="28" t="s">
        <v>114</v>
      </c>
      <c r="G22" s="28" t="s">
        <v>115</v>
      </c>
      <c r="H22" s="36" t="s">
        <v>266</v>
      </c>
      <c r="I22" s="28" t="s">
        <v>263</v>
      </c>
      <c r="J22" s="29">
        <v>46274</v>
      </c>
      <c r="K22" s="42">
        <f>IF(tblTags[[#This Row],[Tag no.]]="","",IFERROR(INDEX(tblTagTypes[Target (days)],MATCH(tblTags[[#This Row],[Tag type]],tblTagTypes[Tag type],0)),""))</f>
        <v>7</v>
      </c>
      <c r="L22" s="45">
        <f>IF(tblTags[[#This Row],[Tag no.]]="","",IF(tblTags[[#This Row],[Target (days)]]="","",tblTags[[#This Row],[Date found]]+tblTags[[#This Row],[Target (days)]]))</f>
        <v>46273</v>
      </c>
      <c r="M22" s="42">
        <f>IF(tblTags[[#This Row],[Tag no.]]="","",IF(tblTags[[#This Row],[Status]]="Closed",IF(tblTags[[#This Row],[Date closed]]="","",tblTags[[#This Row],[Date closed]]-tblTags[[#This Row],[Date found]]),AsOf-tblTags[[#This Row],[Date found]]))</f>
        <v>8</v>
      </c>
      <c r="N22" s="44" t="str">
        <f>IF(tblTags[[#This Row],[Tag no.]]="","",IF(tblTags[[#This Row],[Status]]="Closed","Complete",IF(tblTags[[#This Row],[Due date]]="","",IF(AsOf&gt;tblTags[[#This Row],[Due date]],"Overdue",IF(tblTags[[#This Row],[Due date]]-AsOf&lt;=TagDueSoon,"Due soon","OK")))))</f>
        <v>Complete</v>
      </c>
      <c r="O22" s="44" t="str">
        <f>IF(tblTags[[#This Row],[Tag no.]]="","",IF(OR(tblTags[[#This Row],[Status]]&lt;&gt;"Closed",tblTags[[#This Row],[Date closed]]="",tblTags[[#This Row],[Due date]]=""),"",IF(tblTags[[#This Row],[Date closed]]&lt;=tblTags[[#This Row],[Due date]],"Yes","No")))</f>
        <v>No</v>
      </c>
      <c r="P22" s="45">
        <f>IF(tblTags[[#This Row],[Tag no.]]="","",IF(AND(tblTags[[#This Row],[Date found]]&gt;=FFrom,tblTags[[#This Row],[Date found]]&lt;=FTo,OR(DashMachine="",tblTags[[#This Row],[Machine]]=DashMachine)),tblTags[[#This Row],[Date found]],""))</f>
        <v>46266</v>
      </c>
      <c r="Q22"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23" spans="2:17">
      <c r="B23" s="28" t="s">
        <v>294</v>
      </c>
      <c r="C23" s="29">
        <v>46267</v>
      </c>
      <c r="D23" s="28" t="s">
        <v>88</v>
      </c>
      <c r="E23" s="28" t="s">
        <v>265</v>
      </c>
      <c r="F23" s="28" t="s">
        <v>119</v>
      </c>
      <c r="G23" s="28" t="s">
        <v>115</v>
      </c>
      <c r="H23" s="36" t="s">
        <v>278</v>
      </c>
      <c r="I23" s="28" t="s">
        <v>263</v>
      </c>
      <c r="J23" s="29">
        <v>46277</v>
      </c>
      <c r="K23" s="42">
        <f>IF(tblTags[[#This Row],[Tag no.]]="","",IFERROR(INDEX(tblTagTypes[Target (days)],MATCH(tblTags[[#This Row],[Tag type]],tblTagTypes[Tag type],0)),""))</f>
        <v>7</v>
      </c>
      <c r="L23" s="45">
        <f>IF(tblTags[[#This Row],[Tag no.]]="","",IF(tblTags[[#This Row],[Target (days)]]="","",tblTags[[#This Row],[Date found]]+tblTags[[#This Row],[Target (days)]]))</f>
        <v>46274</v>
      </c>
      <c r="M23" s="42">
        <f>IF(tblTags[[#This Row],[Tag no.]]="","",IF(tblTags[[#This Row],[Status]]="Closed",IF(tblTags[[#This Row],[Date closed]]="","",tblTags[[#This Row],[Date closed]]-tblTags[[#This Row],[Date found]]),AsOf-tblTags[[#This Row],[Date found]]))</f>
        <v>10</v>
      </c>
      <c r="N23" s="44" t="str">
        <f>IF(tblTags[[#This Row],[Tag no.]]="","",IF(tblTags[[#This Row],[Status]]="Closed","Complete",IF(tblTags[[#This Row],[Due date]]="","",IF(AsOf&gt;tblTags[[#This Row],[Due date]],"Overdue",IF(tblTags[[#This Row],[Due date]]-AsOf&lt;=TagDueSoon,"Due soon","OK")))))</f>
        <v>Complete</v>
      </c>
      <c r="O23" s="44" t="str">
        <f>IF(tblTags[[#This Row],[Tag no.]]="","",IF(OR(tblTags[[#This Row],[Status]]&lt;&gt;"Closed",tblTags[[#This Row],[Date closed]]="",tblTags[[#This Row],[Due date]]=""),"",IF(tblTags[[#This Row],[Date closed]]&lt;=tblTags[[#This Row],[Due date]],"Yes","No")))</f>
        <v>No</v>
      </c>
      <c r="P23" s="45">
        <f>IF(tblTags[[#This Row],[Tag no.]]="","",IF(AND(tblTags[[#This Row],[Date found]]&gt;=FFrom,tblTags[[#This Row],[Date found]]&lt;=FTo,OR(DashMachine="",tblTags[[#This Row],[Machine]]=DashMachine)),tblTags[[#This Row],[Date found]],""))</f>
        <v>46267</v>
      </c>
      <c r="Q23"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24" spans="2:17">
      <c r="B24" s="28" t="s">
        <v>295</v>
      </c>
      <c r="C24" s="29">
        <v>46267</v>
      </c>
      <c r="D24" s="28" t="s">
        <v>99</v>
      </c>
      <c r="E24" s="28" t="s">
        <v>265</v>
      </c>
      <c r="F24" s="28" t="s">
        <v>114</v>
      </c>
      <c r="G24" s="28" t="s">
        <v>122</v>
      </c>
      <c r="H24" s="36" t="s">
        <v>268</v>
      </c>
      <c r="I24" s="28" t="s">
        <v>284</v>
      </c>
      <c r="J24" s="29"/>
      <c r="K24" s="42">
        <f>IF(tblTags[[#This Row],[Tag no.]]="","",IFERROR(INDEX(tblTagTypes[Target (days)],MATCH(tblTags[[#This Row],[Tag type]],tblTagTypes[Tag type],0)),""))</f>
        <v>21</v>
      </c>
      <c r="L24" s="45">
        <f>IF(tblTags[[#This Row],[Tag no.]]="","",IF(tblTags[[#This Row],[Target (days)]]="","",tblTags[[#This Row],[Date found]]+tblTags[[#This Row],[Target (days)]]))</f>
        <v>46288</v>
      </c>
      <c r="M24" s="42">
        <f>IF(tblTags[[#This Row],[Tag no.]]="","",IF(tblTags[[#This Row],[Status]]="Closed",IF(tblTags[[#This Row],[Date closed]]="","",tblTags[[#This Row],[Date closed]]-tblTags[[#This Row],[Date found]]),AsOf-tblTags[[#This Row],[Date found]]))</f>
        <v>37</v>
      </c>
      <c r="N24" s="44" t="str">
        <f>IF(tblTags[[#This Row],[Tag no.]]="","",IF(tblTags[[#This Row],[Status]]="Closed","Complete",IF(tblTags[[#This Row],[Due date]]="","",IF(AsOf&gt;tblTags[[#This Row],[Due date]],"Overdue",IF(tblTags[[#This Row],[Due date]]-AsOf&lt;=TagDueSoon,"Due soon","OK")))))</f>
        <v>Overdue</v>
      </c>
      <c r="O24" s="44">
        <f>IF(tblTags[[#This Row],[Tag no.]]="","",IF(OR(tblTags[[#This Row],[Status]]&lt;&gt;"Closed",tblTags[[#This Row],[Date closed]]="",tblTags[[#This Row],[Due date]]=""),"",IF(tblTags[[#This Row],[Date closed]]&lt;=tblTags[[#This Row],[Due date]],"Yes","No")))</f>
        <v/>
      </c>
      <c r="P24" s="45">
        <f>IF(tblTags[[#This Row],[Tag no.]]="","",IF(AND(tblTags[[#This Row],[Date found]]&gt;=FFrom,tblTags[[#This Row],[Date found]]&lt;=FTo,OR(DashMachine="",tblTags[[#This Row],[Machine]]=DashMachine)),tblTags[[#This Row],[Date found]],""))</f>
        <v>46267</v>
      </c>
      <c r="Q24"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25" spans="2:17">
      <c r="B25" s="28" t="s">
        <v>296</v>
      </c>
      <c r="C25" s="29">
        <v>46272</v>
      </c>
      <c r="D25" s="28" t="s">
        <v>97</v>
      </c>
      <c r="E25" s="28" t="s">
        <v>265</v>
      </c>
      <c r="F25" s="28" t="s">
        <v>119</v>
      </c>
      <c r="G25" s="28" t="s">
        <v>115</v>
      </c>
      <c r="H25" s="36" t="s">
        <v>282</v>
      </c>
      <c r="I25" s="28" t="s">
        <v>263</v>
      </c>
      <c r="J25" s="29">
        <v>46277</v>
      </c>
      <c r="K25" s="42">
        <f>IF(tblTags[[#This Row],[Tag no.]]="","",IFERROR(INDEX(tblTagTypes[Target (days)],MATCH(tblTags[[#This Row],[Tag type]],tblTagTypes[Tag type],0)),""))</f>
        <v>7</v>
      </c>
      <c r="L25" s="45">
        <f>IF(tblTags[[#This Row],[Tag no.]]="","",IF(tblTags[[#This Row],[Target (days)]]="","",tblTags[[#This Row],[Date found]]+tblTags[[#This Row],[Target (days)]]))</f>
        <v>46279</v>
      </c>
      <c r="M25" s="42">
        <f>IF(tblTags[[#This Row],[Tag no.]]="","",IF(tblTags[[#This Row],[Status]]="Closed",IF(tblTags[[#This Row],[Date closed]]="","",tblTags[[#This Row],[Date closed]]-tblTags[[#This Row],[Date found]]),AsOf-tblTags[[#This Row],[Date found]]))</f>
        <v>5</v>
      </c>
      <c r="N25" s="44" t="str">
        <f>IF(tblTags[[#This Row],[Tag no.]]="","",IF(tblTags[[#This Row],[Status]]="Closed","Complete",IF(tblTags[[#This Row],[Due date]]="","",IF(AsOf&gt;tblTags[[#This Row],[Due date]],"Overdue",IF(tblTags[[#This Row],[Due date]]-AsOf&lt;=TagDueSoon,"Due soon","OK")))))</f>
        <v>Complete</v>
      </c>
      <c r="O25" s="44" t="str">
        <f>IF(tblTags[[#This Row],[Tag no.]]="","",IF(OR(tblTags[[#This Row],[Status]]&lt;&gt;"Closed",tblTags[[#This Row],[Date closed]]="",tblTags[[#This Row],[Due date]]=""),"",IF(tblTags[[#This Row],[Date closed]]&lt;=tblTags[[#This Row],[Due date]],"Yes","No")))</f>
        <v>Yes</v>
      </c>
      <c r="P25" s="45">
        <f>IF(tblTags[[#This Row],[Tag no.]]="","",IF(AND(tblTags[[#This Row],[Date found]]&gt;=FFrom,tblTags[[#This Row],[Date found]]&lt;=FTo,OR(DashMachine="",tblTags[[#This Row],[Machine]]=DashMachine)),tblTags[[#This Row],[Date found]],""))</f>
        <v>46272</v>
      </c>
      <c r="Q25"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26" spans="2:17">
      <c r="B26" s="28" t="s">
        <v>297</v>
      </c>
      <c r="C26" s="29">
        <v>46272</v>
      </c>
      <c r="D26" s="28" t="s">
        <v>99</v>
      </c>
      <c r="E26" s="28" t="s">
        <v>272</v>
      </c>
      <c r="F26" s="28" t="s">
        <v>124</v>
      </c>
      <c r="G26" s="28" t="s">
        <v>122</v>
      </c>
      <c r="H26" s="36" t="s">
        <v>262</v>
      </c>
      <c r="I26" s="28" t="s">
        <v>284</v>
      </c>
      <c r="J26" s="29"/>
      <c r="K26" s="42">
        <f>IF(tblTags[[#This Row],[Tag no.]]="","",IFERROR(INDEX(tblTagTypes[Target (days)],MATCH(tblTags[[#This Row],[Tag type]],tblTagTypes[Tag type],0)),""))</f>
        <v>21</v>
      </c>
      <c r="L26" s="45">
        <f>IF(tblTags[[#This Row],[Tag no.]]="","",IF(tblTags[[#This Row],[Target (days)]]="","",tblTags[[#This Row],[Date found]]+tblTags[[#This Row],[Target (days)]]))</f>
        <v>46293</v>
      </c>
      <c r="M26" s="42">
        <f>IF(tblTags[[#This Row],[Tag no.]]="","",IF(tblTags[[#This Row],[Status]]="Closed",IF(tblTags[[#This Row],[Date closed]]="","",tblTags[[#This Row],[Date closed]]-tblTags[[#This Row],[Date found]]),AsOf-tblTags[[#This Row],[Date found]]))</f>
        <v>32</v>
      </c>
      <c r="N26" s="44" t="str">
        <f>IF(tblTags[[#This Row],[Tag no.]]="","",IF(tblTags[[#This Row],[Status]]="Closed","Complete",IF(tblTags[[#This Row],[Due date]]="","",IF(AsOf&gt;tblTags[[#This Row],[Due date]],"Overdue",IF(tblTags[[#This Row],[Due date]]-AsOf&lt;=TagDueSoon,"Due soon","OK")))))</f>
        <v>Overdue</v>
      </c>
      <c r="O26" s="44">
        <f>IF(tblTags[[#This Row],[Tag no.]]="","",IF(OR(tblTags[[#This Row],[Status]]&lt;&gt;"Closed",tblTags[[#This Row],[Date closed]]="",tblTags[[#This Row],[Due date]]=""),"",IF(tblTags[[#This Row],[Date closed]]&lt;=tblTags[[#This Row],[Due date]],"Yes","No")))</f>
        <v/>
      </c>
      <c r="P26" s="45">
        <f>IF(tblTags[[#This Row],[Tag no.]]="","",IF(AND(tblTags[[#This Row],[Date found]]&gt;=FFrom,tblTags[[#This Row],[Date found]]&lt;=FTo,OR(DashMachine="",tblTags[[#This Row],[Machine]]=DashMachine)),tblTags[[#This Row],[Date found]],""))</f>
        <v>46272</v>
      </c>
      <c r="Q26"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27" spans="2:17">
      <c r="B27" s="28" t="s">
        <v>298</v>
      </c>
      <c r="C27" s="29">
        <v>46272</v>
      </c>
      <c r="D27" s="28" t="s">
        <v>101</v>
      </c>
      <c r="E27" s="28" t="s">
        <v>265</v>
      </c>
      <c r="F27" s="28" t="s">
        <v>114</v>
      </c>
      <c r="G27" s="28" t="s">
        <v>115</v>
      </c>
      <c r="H27" s="36" t="s">
        <v>292</v>
      </c>
      <c r="I27" s="28" t="s">
        <v>263</v>
      </c>
      <c r="J27" s="29">
        <v>46275</v>
      </c>
      <c r="K27" s="42">
        <f>IF(tblTags[[#This Row],[Tag no.]]="","",IFERROR(INDEX(tblTagTypes[Target (days)],MATCH(tblTags[[#This Row],[Tag type]],tblTagTypes[Tag type],0)),""))</f>
        <v>7</v>
      </c>
      <c r="L27" s="45">
        <f>IF(tblTags[[#This Row],[Tag no.]]="","",IF(tblTags[[#This Row],[Target (days)]]="","",tblTags[[#This Row],[Date found]]+tblTags[[#This Row],[Target (days)]]))</f>
        <v>46279</v>
      </c>
      <c r="M27" s="42">
        <f>IF(tblTags[[#This Row],[Tag no.]]="","",IF(tblTags[[#This Row],[Status]]="Closed",IF(tblTags[[#This Row],[Date closed]]="","",tblTags[[#This Row],[Date closed]]-tblTags[[#This Row],[Date found]]),AsOf-tblTags[[#This Row],[Date found]]))</f>
        <v>3</v>
      </c>
      <c r="N27" s="44" t="str">
        <f>IF(tblTags[[#This Row],[Tag no.]]="","",IF(tblTags[[#This Row],[Status]]="Closed","Complete",IF(tblTags[[#This Row],[Due date]]="","",IF(AsOf&gt;tblTags[[#This Row],[Due date]],"Overdue",IF(tblTags[[#This Row],[Due date]]-AsOf&lt;=TagDueSoon,"Due soon","OK")))))</f>
        <v>Complete</v>
      </c>
      <c r="O27" s="44" t="str">
        <f>IF(tblTags[[#This Row],[Tag no.]]="","",IF(OR(tblTags[[#This Row],[Status]]&lt;&gt;"Closed",tblTags[[#This Row],[Date closed]]="",tblTags[[#This Row],[Due date]]=""),"",IF(tblTags[[#This Row],[Date closed]]&lt;=tblTags[[#This Row],[Due date]],"Yes","No")))</f>
        <v>Yes</v>
      </c>
      <c r="P27" s="45">
        <f>IF(tblTags[[#This Row],[Tag no.]]="","",IF(AND(tblTags[[#This Row],[Date found]]&gt;=FFrom,tblTags[[#This Row],[Date found]]&lt;=FTo,OR(DashMachine="",tblTags[[#This Row],[Machine]]=DashMachine)),tblTags[[#This Row],[Date found]],""))</f>
        <v>46272</v>
      </c>
      <c r="Q27"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28" spans="2:17">
      <c r="B28" s="28" t="s">
        <v>299</v>
      </c>
      <c r="C28" s="29">
        <v>46273</v>
      </c>
      <c r="D28" s="28" t="s">
        <v>99</v>
      </c>
      <c r="E28" s="28" t="s">
        <v>265</v>
      </c>
      <c r="F28" s="28" t="s">
        <v>114</v>
      </c>
      <c r="G28" s="28" t="s">
        <v>115</v>
      </c>
      <c r="H28" s="36" t="s">
        <v>266</v>
      </c>
      <c r="I28" s="28" t="s">
        <v>263</v>
      </c>
      <c r="J28" s="29">
        <v>46278</v>
      </c>
      <c r="K28" s="42">
        <f>IF(tblTags[[#This Row],[Tag no.]]="","",IFERROR(INDEX(tblTagTypes[Target (days)],MATCH(tblTags[[#This Row],[Tag type]],tblTagTypes[Tag type],0)),""))</f>
        <v>7</v>
      </c>
      <c r="L28" s="45">
        <f>IF(tblTags[[#This Row],[Tag no.]]="","",IF(tblTags[[#This Row],[Target (days)]]="","",tblTags[[#This Row],[Date found]]+tblTags[[#This Row],[Target (days)]]))</f>
        <v>46280</v>
      </c>
      <c r="M28" s="42">
        <f>IF(tblTags[[#This Row],[Tag no.]]="","",IF(tblTags[[#This Row],[Status]]="Closed",IF(tblTags[[#This Row],[Date closed]]="","",tblTags[[#This Row],[Date closed]]-tblTags[[#This Row],[Date found]]),AsOf-tblTags[[#This Row],[Date found]]))</f>
        <v>5</v>
      </c>
      <c r="N28" s="44" t="str">
        <f>IF(tblTags[[#This Row],[Tag no.]]="","",IF(tblTags[[#This Row],[Status]]="Closed","Complete",IF(tblTags[[#This Row],[Due date]]="","",IF(AsOf&gt;tblTags[[#This Row],[Due date]],"Overdue",IF(tblTags[[#This Row],[Due date]]-AsOf&lt;=TagDueSoon,"Due soon","OK")))))</f>
        <v>Complete</v>
      </c>
      <c r="O28" s="44" t="str">
        <f>IF(tblTags[[#This Row],[Tag no.]]="","",IF(OR(tblTags[[#This Row],[Status]]&lt;&gt;"Closed",tblTags[[#This Row],[Date closed]]="",tblTags[[#This Row],[Due date]]=""),"",IF(tblTags[[#This Row],[Date closed]]&lt;=tblTags[[#This Row],[Due date]],"Yes","No")))</f>
        <v>Yes</v>
      </c>
      <c r="P28" s="45">
        <f>IF(tblTags[[#This Row],[Tag no.]]="","",IF(AND(tblTags[[#This Row],[Date found]]&gt;=FFrom,tblTags[[#This Row],[Date found]]&lt;=FTo,OR(DashMachine="",tblTags[[#This Row],[Machine]]=DashMachine)),tblTags[[#This Row],[Date found]],""))</f>
        <v>46273</v>
      </c>
      <c r="Q28"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29" spans="2:17">
      <c r="B29" s="28" t="s">
        <v>300</v>
      </c>
      <c r="C29" s="29">
        <v>46275</v>
      </c>
      <c r="D29" s="28" t="s">
        <v>88</v>
      </c>
      <c r="E29" s="28" t="s">
        <v>265</v>
      </c>
      <c r="F29" s="28" t="s">
        <v>117</v>
      </c>
      <c r="G29" s="28" t="s">
        <v>115</v>
      </c>
      <c r="H29" s="36" t="s">
        <v>301</v>
      </c>
      <c r="I29" s="28" t="s">
        <v>263</v>
      </c>
      <c r="J29" s="29">
        <v>46276</v>
      </c>
      <c r="K29" s="42">
        <f>IF(tblTags[[#This Row],[Tag no.]]="","",IFERROR(INDEX(tblTagTypes[Target (days)],MATCH(tblTags[[#This Row],[Tag type]],tblTagTypes[Tag type],0)),""))</f>
        <v>7</v>
      </c>
      <c r="L29" s="45">
        <f>IF(tblTags[[#This Row],[Tag no.]]="","",IF(tblTags[[#This Row],[Target (days)]]="","",tblTags[[#This Row],[Date found]]+tblTags[[#This Row],[Target (days)]]))</f>
        <v>46282</v>
      </c>
      <c r="M29" s="42">
        <f>IF(tblTags[[#This Row],[Tag no.]]="","",IF(tblTags[[#This Row],[Status]]="Closed",IF(tblTags[[#This Row],[Date closed]]="","",tblTags[[#This Row],[Date closed]]-tblTags[[#This Row],[Date found]]),AsOf-tblTags[[#This Row],[Date found]]))</f>
        <v>1</v>
      </c>
      <c r="N29" s="44" t="str">
        <f>IF(tblTags[[#This Row],[Tag no.]]="","",IF(tblTags[[#This Row],[Status]]="Closed","Complete",IF(tblTags[[#This Row],[Due date]]="","",IF(AsOf&gt;tblTags[[#This Row],[Due date]],"Overdue",IF(tblTags[[#This Row],[Due date]]-AsOf&lt;=TagDueSoon,"Due soon","OK")))))</f>
        <v>Complete</v>
      </c>
      <c r="O29" s="44" t="str">
        <f>IF(tblTags[[#This Row],[Tag no.]]="","",IF(OR(tblTags[[#This Row],[Status]]&lt;&gt;"Closed",tblTags[[#This Row],[Date closed]]="",tblTags[[#This Row],[Due date]]=""),"",IF(tblTags[[#This Row],[Date closed]]&lt;=tblTags[[#This Row],[Due date]],"Yes","No")))</f>
        <v>Yes</v>
      </c>
      <c r="P29" s="45">
        <f>IF(tblTags[[#This Row],[Tag no.]]="","",IF(AND(tblTags[[#This Row],[Date found]]&gt;=FFrom,tblTags[[#This Row],[Date found]]&lt;=FTo,OR(DashMachine="",tblTags[[#This Row],[Machine]]=DashMachine)),tblTags[[#This Row],[Date found]],""))</f>
        <v>46275</v>
      </c>
      <c r="Q29"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30" spans="2:17">
      <c r="B30" s="28" t="s">
        <v>302</v>
      </c>
      <c r="C30" s="29">
        <v>46275</v>
      </c>
      <c r="D30" s="28" t="s">
        <v>88</v>
      </c>
      <c r="E30" s="28" t="s">
        <v>265</v>
      </c>
      <c r="F30" s="28" t="s">
        <v>119</v>
      </c>
      <c r="G30" s="28" t="s">
        <v>115</v>
      </c>
      <c r="H30" s="36" t="s">
        <v>282</v>
      </c>
      <c r="I30" s="28" t="s">
        <v>263</v>
      </c>
      <c r="J30" s="29">
        <v>46283</v>
      </c>
      <c r="K30" s="42">
        <f>IF(tblTags[[#This Row],[Tag no.]]="","",IFERROR(INDEX(tblTagTypes[Target (days)],MATCH(tblTags[[#This Row],[Tag type]],tblTagTypes[Tag type],0)),""))</f>
        <v>7</v>
      </c>
      <c r="L30" s="45">
        <f>IF(tblTags[[#This Row],[Tag no.]]="","",IF(tblTags[[#This Row],[Target (days)]]="","",tblTags[[#This Row],[Date found]]+tblTags[[#This Row],[Target (days)]]))</f>
        <v>46282</v>
      </c>
      <c r="M30" s="42">
        <f>IF(tblTags[[#This Row],[Tag no.]]="","",IF(tblTags[[#This Row],[Status]]="Closed",IF(tblTags[[#This Row],[Date closed]]="","",tblTags[[#This Row],[Date closed]]-tblTags[[#This Row],[Date found]]),AsOf-tblTags[[#This Row],[Date found]]))</f>
        <v>8</v>
      </c>
      <c r="N30" s="44" t="str">
        <f>IF(tblTags[[#This Row],[Tag no.]]="","",IF(tblTags[[#This Row],[Status]]="Closed","Complete",IF(tblTags[[#This Row],[Due date]]="","",IF(AsOf&gt;tblTags[[#This Row],[Due date]],"Overdue",IF(tblTags[[#This Row],[Due date]]-AsOf&lt;=TagDueSoon,"Due soon","OK")))))</f>
        <v>Complete</v>
      </c>
      <c r="O30" s="44" t="str">
        <f>IF(tblTags[[#This Row],[Tag no.]]="","",IF(OR(tblTags[[#This Row],[Status]]&lt;&gt;"Closed",tblTags[[#This Row],[Date closed]]="",tblTags[[#This Row],[Due date]]=""),"",IF(tblTags[[#This Row],[Date closed]]&lt;=tblTags[[#This Row],[Due date]],"Yes","No")))</f>
        <v>No</v>
      </c>
      <c r="P30" s="45">
        <f>IF(tblTags[[#This Row],[Tag no.]]="","",IF(AND(tblTags[[#This Row],[Date found]]&gt;=FFrom,tblTags[[#This Row],[Date found]]&lt;=FTo,OR(DashMachine="",tblTags[[#This Row],[Machine]]=DashMachine)),tblTags[[#This Row],[Date found]],""))</f>
        <v>46275</v>
      </c>
      <c r="Q30"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31" spans="2:17">
      <c r="B31" s="28" t="s">
        <v>303</v>
      </c>
      <c r="C31" s="29">
        <v>46275</v>
      </c>
      <c r="D31" s="28" t="s">
        <v>94</v>
      </c>
      <c r="E31" s="28" t="s">
        <v>265</v>
      </c>
      <c r="F31" s="28" t="s">
        <v>121</v>
      </c>
      <c r="G31" s="28" t="s">
        <v>122</v>
      </c>
      <c r="H31" s="36" t="s">
        <v>304</v>
      </c>
      <c r="I31" s="28" t="s">
        <v>263</v>
      </c>
      <c r="J31" s="29">
        <v>46300</v>
      </c>
      <c r="K31" s="42">
        <f>IF(tblTags[[#This Row],[Tag no.]]="","",IFERROR(INDEX(tblTagTypes[Target (days)],MATCH(tblTags[[#This Row],[Tag type]],tblTagTypes[Tag type],0)),""))</f>
        <v>21</v>
      </c>
      <c r="L31" s="45">
        <f>IF(tblTags[[#This Row],[Tag no.]]="","",IF(tblTags[[#This Row],[Target (days)]]="","",tblTags[[#This Row],[Date found]]+tblTags[[#This Row],[Target (days)]]))</f>
        <v>46296</v>
      </c>
      <c r="M31" s="42">
        <f>IF(tblTags[[#This Row],[Tag no.]]="","",IF(tblTags[[#This Row],[Status]]="Closed",IF(tblTags[[#This Row],[Date closed]]="","",tblTags[[#This Row],[Date closed]]-tblTags[[#This Row],[Date found]]),AsOf-tblTags[[#This Row],[Date found]]))</f>
        <v>25</v>
      </c>
      <c r="N31" s="44" t="str">
        <f>IF(tblTags[[#This Row],[Tag no.]]="","",IF(tblTags[[#This Row],[Status]]="Closed","Complete",IF(tblTags[[#This Row],[Due date]]="","",IF(AsOf&gt;tblTags[[#This Row],[Due date]],"Overdue",IF(tblTags[[#This Row],[Due date]]-AsOf&lt;=TagDueSoon,"Due soon","OK")))))</f>
        <v>Complete</v>
      </c>
      <c r="O31" s="44" t="str">
        <f>IF(tblTags[[#This Row],[Tag no.]]="","",IF(OR(tblTags[[#This Row],[Status]]&lt;&gt;"Closed",tblTags[[#This Row],[Date closed]]="",tblTags[[#This Row],[Due date]]=""),"",IF(tblTags[[#This Row],[Date closed]]&lt;=tblTags[[#This Row],[Due date]],"Yes","No")))</f>
        <v>No</v>
      </c>
      <c r="P31" s="45">
        <f>IF(tblTags[[#This Row],[Tag no.]]="","",IF(AND(tblTags[[#This Row],[Date found]]&gt;=FFrom,tblTags[[#This Row],[Date found]]&lt;=FTo,OR(DashMachine="",tblTags[[#This Row],[Machine]]=DashMachine)),tblTags[[#This Row],[Date found]],""))</f>
        <v>46275</v>
      </c>
      <c r="Q31"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32" spans="2:17">
      <c r="B32" s="28" t="s">
        <v>305</v>
      </c>
      <c r="C32" s="29">
        <v>46279</v>
      </c>
      <c r="D32" s="28" t="s">
        <v>94</v>
      </c>
      <c r="E32" s="28" t="s">
        <v>265</v>
      </c>
      <c r="F32" s="28" t="s">
        <v>119</v>
      </c>
      <c r="G32" s="28" t="s">
        <v>122</v>
      </c>
      <c r="H32" s="36" t="s">
        <v>273</v>
      </c>
      <c r="I32" s="28" t="s">
        <v>284</v>
      </c>
      <c r="J32" s="29"/>
      <c r="K32" s="42">
        <f>IF(tblTags[[#This Row],[Tag no.]]="","",IFERROR(INDEX(tblTagTypes[Target (days)],MATCH(tblTags[[#This Row],[Tag type]],tblTagTypes[Tag type],0)),""))</f>
        <v>21</v>
      </c>
      <c r="L32" s="45">
        <f>IF(tblTags[[#This Row],[Tag no.]]="","",IF(tblTags[[#This Row],[Target (days)]]="","",tblTags[[#This Row],[Date found]]+tblTags[[#This Row],[Target (days)]]))</f>
        <v>46300</v>
      </c>
      <c r="M32" s="42">
        <f>IF(tblTags[[#This Row],[Tag no.]]="","",IF(tblTags[[#This Row],[Status]]="Closed",IF(tblTags[[#This Row],[Date closed]]="","",tblTags[[#This Row],[Date closed]]-tblTags[[#This Row],[Date found]]),AsOf-tblTags[[#This Row],[Date found]]))</f>
        <v>25</v>
      </c>
      <c r="N32" s="44" t="str">
        <f>IF(tblTags[[#This Row],[Tag no.]]="","",IF(tblTags[[#This Row],[Status]]="Closed","Complete",IF(tblTags[[#This Row],[Due date]]="","",IF(AsOf&gt;tblTags[[#This Row],[Due date]],"Overdue",IF(tblTags[[#This Row],[Due date]]-AsOf&lt;=TagDueSoon,"Due soon","OK")))))</f>
        <v>Overdue</v>
      </c>
      <c r="O32" s="44">
        <f>IF(tblTags[[#This Row],[Tag no.]]="","",IF(OR(tblTags[[#This Row],[Status]]&lt;&gt;"Closed",tblTags[[#This Row],[Date closed]]="",tblTags[[#This Row],[Due date]]=""),"",IF(tblTags[[#This Row],[Date closed]]&lt;=tblTags[[#This Row],[Due date]],"Yes","No")))</f>
        <v/>
      </c>
      <c r="P32" s="45">
        <f>IF(tblTags[[#This Row],[Tag no.]]="","",IF(AND(tblTags[[#This Row],[Date found]]&gt;=FFrom,tblTags[[#This Row],[Date found]]&lt;=FTo,OR(DashMachine="",tblTags[[#This Row],[Machine]]=DashMachine)),tblTags[[#This Row],[Date found]],""))</f>
        <v>46279</v>
      </c>
      <c r="Q32"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33" spans="2:17">
      <c r="B33" s="28" t="s">
        <v>306</v>
      </c>
      <c r="C33" s="29">
        <v>46279</v>
      </c>
      <c r="D33" s="28" t="s">
        <v>99</v>
      </c>
      <c r="E33" s="28" t="s">
        <v>265</v>
      </c>
      <c r="F33" s="28" t="s">
        <v>114</v>
      </c>
      <c r="G33" s="28" t="s">
        <v>122</v>
      </c>
      <c r="H33" s="36" t="s">
        <v>275</v>
      </c>
      <c r="I33" s="28" t="s">
        <v>263</v>
      </c>
      <c r="J33" s="29">
        <v>46297</v>
      </c>
      <c r="K33" s="42">
        <f>IF(tblTags[[#This Row],[Tag no.]]="","",IFERROR(INDEX(tblTagTypes[Target (days)],MATCH(tblTags[[#This Row],[Tag type]],tblTagTypes[Tag type],0)),""))</f>
        <v>21</v>
      </c>
      <c r="L33" s="45">
        <f>IF(tblTags[[#This Row],[Tag no.]]="","",IF(tblTags[[#This Row],[Target (days)]]="","",tblTags[[#This Row],[Date found]]+tblTags[[#This Row],[Target (days)]]))</f>
        <v>46300</v>
      </c>
      <c r="M33" s="42">
        <f>IF(tblTags[[#This Row],[Tag no.]]="","",IF(tblTags[[#This Row],[Status]]="Closed",IF(tblTags[[#This Row],[Date closed]]="","",tblTags[[#This Row],[Date closed]]-tblTags[[#This Row],[Date found]]),AsOf-tblTags[[#This Row],[Date found]]))</f>
        <v>18</v>
      </c>
      <c r="N33" s="44" t="str">
        <f>IF(tblTags[[#This Row],[Tag no.]]="","",IF(tblTags[[#This Row],[Status]]="Closed","Complete",IF(tblTags[[#This Row],[Due date]]="","",IF(AsOf&gt;tblTags[[#This Row],[Due date]],"Overdue",IF(tblTags[[#This Row],[Due date]]-AsOf&lt;=TagDueSoon,"Due soon","OK")))))</f>
        <v>Complete</v>
      </c>
      <c r="O33" s="44" t="str">
        <f>IF(tblTags[[#This Row],[Tag no.]]="","",IF(OR(tblTags[[#This Row],[Status]]&lt;&gt;"Closed",tblTags[[#This Row],[Date closed]]="",tblTags[[#This Row],[Due date]]=""),"",IF(tblTags[[#This Row],[Date closed]]&lt;=tblTags[[#This Row],[Due date]],"Yes","No")))</f>
        <v>Yes</v>
      </c>
      <c r="P33" s="45">
        <f>IF(tblTags[[#This Row],[Tag no.]]="","",IF(AND(tblTags[[#This Row],[Date found]]&gt;=FFrom,tblTags[[#This Row],[Date found]]&lt;=FTo,OR(DashMachine="",tblTags[[#This Row],[Machine]]=DashMachine)),tblTags[[#This Row],[Date found]],""))</f>
        <v>46279</v>
      </c>
      <c r="Q33"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34" spans="2:17">
      <c r="B34" s="28" t="s">
        <v>307</v>
      </c>
      <c r="C34" s="29">
        <v>46281</v>
      </c>
      <c r="D34" s="28" t="s">
        <v>91</v>
      </c>
      <c r="E34" s="28" t="s">
        <v>308</v>
      </c>
      <c r="F34" s="28" t="s">
        <v>114</v>
      </c>
      <c r="G34" s="28" t="s">
        <v>115</v>
      </c>
      <c r="H34" s="36" t="s">
        <v>275</v>
      </c>
      <c r="I34" s="28" t="s">
        <v>263</v>
      </c>
      <c r="J34" s="29">
        <v>46287</v>
      </c>
      <c r="K34" s="42">
        <f>IF(tblTags[[#This Row],[Tag no.]]="","",IFERROR(INDEX(tblTagTypes[Target (days)],MATCH(tblTags[[#This Row],[Tag type]],tblTagTypes[Tag type],0)),""))</f>
        <v>7</v>
      </c>
      <c r="L34" s="45">
        <f>IF(tblTags[[#This Row],[Tag no.]]="","",IF(tblTags[[#This Row],[Target (days)]]="","",tblTags[[#This Row],[Date found]]+tblTags[[#This Row],[Target (days)]]))</f>
        <v>46288</v>
      </c>
      <c r="M34" s="42">
        <f>IF(tblTags[[#This Row],[Tag no.]]="","",IF(tblTags[[#This Row],[Status]]="Closed",IF(tblTags[[#This Row],[Date closed]]="","",tblTags[[#This Row],[Date closed]]-tblTags[[#This Row],[Date found]]),AsOf-tblTags[[#This Row],[Date found]]))</f>
        <v>6</v>
      </c>
      <c r="N34" s="44" t="str">
        <f>IF(tblTags[[#This Row],[Tag no.]]="","",IF(tblTags[[#This Row],[Status]]="Closed","Complete",IF(tblTags[[#This Row],[Due date]]="","",IF(AsOf&gt;tblTags[[#This Row],[Due date]],"Overdue",IF(tblTags[[#This Row],[Due date]]-AsOf&lt;=TagDueSoon,"Due soon","OK")))))</f>
        <v>Complete</v>
      </c>
      <c r="O34" s="44" t="str">
        <f>IF(tblTags[[#This Row],[Tag no.]]="","",IF(OR(tblTags[[#This Row],[Status]]&lt;&gt;"Closed",tblTags[[#This Row],[Date closed]]="",tblTags[[#This Row],[Due date]]=""),"",IF(tblTags[[#This Row],[Date closed]]&lt;=tblTags[[#This Row],[Due date]],"Yes","No")))</f>
        <v>Yes</v>
      </c>
      <c r="P34" s="45">
        <f>IF(tblTags[[#This Row],[Tag no.]]="","",IF(AND(tblTags[[#This Row],[Date found]]&gt;=FFrom,tblTags[[#This Row],[Date found]]&lt;=FTo,OR(DashMachine="",tblTags[[#This Row],[Machine]]=DashMachine)),tblTags[[#This Row],[Date found]],""))</f>
        <v>46281</v>
      </c>
      <c r="Q34"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35" spans="2:17">
      <c r="B35" s="28" t="s">
        <v>309</v>
      </c>
      <c r="C35" s="29">
        <v>46281</v>
      </c>
      <c r="D35" s="28" t="s">
        <v>97</v>
      </c>
      <c r="E35" s="28" t="s">
        <v>265</v>
      </c>
      <c r="F35" s="28" t="s">
        <v>114</v>
      </c>
      <c r="G35" s="28" t="s">
        <v>115</v>
      </c>
      <c r="H35" s="36" t="s">
        <v>310</v>
      </c>
      <c r="I35" s="28" t="s">
        <v>263</v>
      </c>
      <c r="J35" s="29">
        <v>46282</v>
      </c>
      <c r="K35" s="42">
        <f>IF(tblTags[[#This Row],[Tag no.]]="","",IFERROR(INDEX(tblTagTypes[Target (days)],MATCH(tblTags[[#This Row],[Tag type]],tblTagTypes[Tag type],0)),""))</f>
        <v>7</v>
      </c>
      <c r="L35" s="45">
        <f>IF(tblTags[[#This Row],[Tag no.]]="","",IF(tblTags[[#This Row],[Target (days)]]="","",tblTags[[#This Row],[Date found]]+tblTags[[#This Row],[Target (days)]]))</f>
        <v>46288</v>
      </c>
      <c r="M35" s="42">
        <f>IF(tblTags[[#This Row],[Tag no.]]="","",IF(tblTags[[#This Row],[Status]]="Closed",IF(tblTags[[#This Row],[Date closed]]="","",tblTags[[#This Row],[Date closed]]-tblTags[[#This Row],[Date found]]),AsOf-tblTags[[#This Row],[Date found]]))</f>
        <v>1</v>
      </c>
      <c r="N35" s="44" t="str">
        <f>IF(tblTags[[#This Row],[Tag no.]]="","",IF(tblTags[[#This Row],[Status]]="Closed","Complete",IF(tblTags[[#This Row],[Due date]]="","",IF(AsOf&gt;tblTags[[#This Row],[Due date]],"Overdue",IF(tblTags[[#This Row],[Due date]]-AsOf&lt;=TagDueSoon,"Due soon","OK")))))</f>
        <v>Complete</v>
      </c>
      <c r="O35" s="44" t="str">
        <f>IF(tblTags[[#This Row],[Tag no.]]="","",IF(OR(tblTags[[#This Row],[Status]]&lt;&gt;"Closed",tblTags[[#This Row],[Date closed]]="",tblTags[[#This Row],[Due date]]=""),"",IF(tblTags[[#This Row],[Date closed]]&lt;=tblTags[[#This Row],[Due date]],"Yes","No")))</f>
        <v>Yes</v>
      </c>
      <c r="P35" s="45">
        <f>IF(tblTags[[#This Row],[Tag no.]]="","",IF(AND(tblTags[[#This Row],[Date found]]&gt;=FFrom,tblTags[[#This Row],[Date found]]&lt;=FTo,OR(DashMachine="",tblTags[[#This Row],[Machine]]=DashMachine)),tblTags[[#This Row],[Date found]],""))</f>
        <v>46281</v>
      </c>
      <c r="Q35"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36" spans="2:17">
      <c r="B36" s="28" t="s">
        <v>311</v>
      </c>
      <c r="C36" s="29">
        <v>46282</v>
      </c>
      <c r="D36" s="28" t="s">
        <v>99</v>
      </c>
      <c r="E36" s="28" t="s">
        <v>265</v>
      </c>
      <c r="F36" s="28" t="s">
        <v>117</v>
      </c>
      <c r="G36" s="28" t="s">
        <v>122</v>
      </c>
      <c r="H36" s="36" t="s">
        <v>312</v>
      </c>
      <c r="I36" s="28" t="s">
        <v>263</v>
      </c>
      <c r="J36" s="29">
        <v>46296</v>
      </c>
      <c r="K36" s="42">
        <f>IF(tblTags[[#This Row],[Tag no.]]="","",IFERROR(INDEX(tblTagTypes[Target (days)],MATCH(tblTags[[#This Row],[Tag type]],tblTagTypes[Tag type],0)),""))</f>
        <v>21</v>
      </c>
      <c r="L36" s="45">
        <f>IF(tblTags[[#This Row],[Tag no.]]="","",IF(tblTags[[#This Row],[Target (days)]]="","",tblTags[[#This Row],[Date found]]+tblTags[[#This Row],[Target (days)]]))</f>
        <v>46303</v>
      </c>
      <c r="M36" s="42">
        <f>IF(tblTags[[#This Row],[Tag no.]]="","",IF(tblTags[[#This Row],[Status]]="Closed",IF(tblTags[[#This Row],[Date closed]]="","",tblTags[[#This Row],[Date closed]]-tblTags[[#This Row],[Date found]]),AsOf-tblTags[[#This Row],[Date found]]))</f>
        <v>14</v>
      </c>
      <c r="N36" s="44" t="str">
        <f>IF(tblTags[[#This Row],[Tag no.]]="","",IF(tblTags[[#This Row],[Status]]="Closed","Complete",IF(tblTags[[#This Row],[Due date]]="","",IF(AsOf&gt;tblTags[[#This Row],[Due date]],"Overdue",IF(tblTags[[#This Row],[Due date]]-AsOf&lt;=TagDueSoon,"Due soon","OK")))))</f>
        <v>Complete</v>
      </c>
      <c r="O36" s="44" t="str">
        <f>IF(tblTags[[#This Row],[Tag no.]]="","",IF(OR(tblTags[[#This Row],[Status]]&lt;&gt;"Closed",tblTags[[#This Row],[Date closed]]="",tblTags[[#This Row],[Due date]]=""),"",IF(tblTags[[#This Row],[Date closed]]&lt;=tblTags[[#This Row],[Due date]],"Yes","No")))</f>
        <v>Yes</v>
      </c>
      <c r="P36" s="45">
        <f>IF(tblTags[[#This Row],[Tag no.]]="","",IF(AND(tblTags[[#This Row],[Date found]]&gt;=FFrom,tblTags[[#This Row],[Date found]]&lt;=FTo,OR(DashMachine="",tblTags[[#This Row],[Machine]]=DashMachine)),tblTags[[#This Row],[Date found]],""))</f>
        <v>46282</v>
      </c>
      <c r="Q36"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37" spans="2:17">
      <c r="B37" s="28" t="s">
        <v>313</v>
      </c>
      <c r="C37" s="29">
        <v>46283</v>
      </c>
      <c r="D37" s="28" t="s">
        <v>91</v>
      </c>
      <c r="E37" s="28" t="s">
        <v>265</v>
      </c>
      <c r="F37" s="28" t="s">
        <v>128</v>
      </c>
      <c r="G37" s="28" t="s">
        <v>129</v>
      </c>
      <c r="H37" s="36" t="s">
        <v>314</v>
      </c>
      <c r="I37" s="28" t="s">
        <v>263</v>
      </c>
      <c r="J37" s="29">
        <v>46284</v>
      </c>
      <c r="K37" s="42">
        <f>IF(tblTags[[#This Row],[Tag no.]]="","",IFERROR(INDEX(tblTagTypes[Target (days)],MATCH(tblTags[[#This Row],[Tag type]],tblTagTypes[Tag type],0)),""))</f>
        <v>2</v>
      </c>
      <c r="L37" s="45">
        <f>IF(tblTags[[#This Row],[Tag no.]]="","",IF(tblTags[[#This Row],[Target (days)]]="","",tblTags[[#This Row],[Date found]]+tblTags[[#This Row],[Target (days)]]))</f>
        <v>46285</v>
      </c>
      <c r="M37" s="42">
        <f>IF(tblTags[[#This Row],[Tag no.]]="","",IF(tblTags[[#This Row],[Status]]="Closed",IF(tblTags[[#This Row],[Date closed]]="","",tblTags[[#This Row],[Date closed]]-tblTags[[#This Row],[Date found]]),AsOf-tblTags[[#This Row],[Date found]]))</f>
        <v>1</v>
      </c>
      <c r="N37" s="44" t="str">
        <f>IF(tblTags[[#This Row],[Tag no.]]="","",IF(tblTags[[#This Row],[Status]]="Closed","Complete",IF(tblTags[[#This Row],[Due date]]="","",IF(AsOf&gt;tblTags[[#This Row],[Due date]],"Overdue",IF(tblTags[[#This Row],[Due date]]-AsOf&lt;=TagDueSoon,"Due soon","OK")))))</f>
        <v>Complete</v>
      </c>
      <c r="O37" s="44" t="str">
        <f>IF(tblTags[[#This Row],[Tag no.]]="","",IF(OR(tblTags[[#This Row],[Status]]&lt;&gt;"Closed",tblTags[[#This Row],[Date closed]]="",tblTags[[#This Row],[Due date]]=""),"",IF(tblTags[[#This Row],[Date closed]]&lt;=tblTags[[#This Row],[Due date]],"Yes","No")))</f>
        <v>Yes</v>
      </c>
      <c r="P37" s="45">
        <f>IF(tblTags[[#This Row],[Tag no.]]="","",IF(AND(tblTags[[#This Row],[Date found]]&gt;=FFrom,tblTags[[#This Row],[Date found]]&lt;=FTo,OR(DashMachine="",tblTags[[#This Row],[Machine]]=DashMachine)),tblTags[[#This Row],[Date found]],""))</f>
        <v>46283</v>
      </c>
      <c r="Q37"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38" spans="2:17">
      <c r="B38" s="28" t="s">
        <v>315</v>
      </c>
      <c r="C38" s="29">
        <v>46286</v>
      </c>
      <c r="D38" s="28" t="s">
        <v>99</v>
      </c>
      <c r="E38" s="28" t="s">
        <v>272</v>
      </c>
      <c r="F38" s="28" t="s">
        <v>114</v>
      </c>
      <c r="G38" s="28" t="s">
        <v>115</v>
      </c>
      <c r="H38" s="36" t="s">
        <v>266</v>
      </c>
      <c r="I38" s="28" t="s">
        <v>263</v>
      </c>
      <c r="J38" s="29">
        <v>46292</v>
      </c>
      <c r="K38" s="42">
        <f>IF(tblTags[[#This Row],[Tag no.]]="","",IFERROR(INDEX(tblTagTypes[Target (days)],MATCH(tblTags[[#This Row],[Tag type]],tblTagTypes[Tag type],0)),""))</f>
        <v>7</v>
      </c>
      <c r="L38" s="45">
        <f>IF(tblTags[[#This Row],[Tag no.]]="","",IF(tblTags[[#This Row],[Target (days)]]="","",tblTags[[#This Row],[Date found]]+tblTags[[#This Row],[Target (days)]]))</f>
        <v>46293</v>
      </c>
      <c r="M38" s="42">
        <f>IF(tblTags[[#This Row],[Tag no.]]="","",IF(tblTags[[#This Row],[Status]]="Closed",IF(tblTags[[#This Row],[Date closed]]="","",tblTags[[#This Row],[Date closed]]-tblTags[[#This Row],[Date found]]),AsOf-tblTags[[#This Row],[Date found]]))</f>
        <v>6</v>
      </c>
      <c r="N38" s="44" t="str">
        <f>IF(tblTags[[#This Row],[Tag no.]]="","",IF(tblTags[[#This Row],[Status]]="Closed","Complete",IF(tblTags[[#This Row],[Due date]]="","",IF(AsOf&gt;tblTags[[#This Row],[Due date]],"Overdue",IF(tblTags[[#This Row],[Due date]]-AsOf&lt;=TagDueSoon,"Due soon","OK")))))</f>
        <v>Complete</v>
      </c>
      <c r="O38" s="44" t="str">
        <f>IF(tblTags[[#This Row],[Tag no.]]="","",IF(OR(tblTags[[#This Row],[Status]]&lt;&gt;"Closed",tblTags[[#This Row],[Date closed]]="",tblTags[[#This Row],[Due date]]=""),"",IF(tblTags[[#This Row],[Date closed]]&lt;=tblTags[[#This Row],[Due date]],"Yes","No")))</f>
        <v>Yes</v>
      </c>
      <c r="P38" s="45">
        <f>IF(tblTags[[#This Row],[Tag no.]]="","",IF(AND(tblTags[[#This Row],[Date found]]&gt;=FFrom,tblTags[[#This Row],[Date found]]&lt;=FTo,OR(DashMachine="",tblTags[[#This Row],[Machine]]=DashMachine)),tblTags[[#This Row],[Date found]],""))</f>
        <v>46286</v>
      </c>
      <c r="Q38"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39" spans="2:17">
      <c r="B39" s="28" t="s">
        <v>316</v>
      </c>
      <c r="C39" s="29">
        <v>46288</v>
      </c>
      <c r="D39" s="28" t="s">
        <v>88</v>
      </c>
      <c r="E39" s="28" t="s">
        <v>265</v>
      </c>
      <c r="F39" s="28" t="s">
        <v>114</v>
      </c>
      <c r="G39" s="28" t="s">
        <v>115</v>
      </c>
      <c r="H39" s="36" t="s">
        <v>292</v>
      </c>
      <c r="I39" s="28" t="s">
        <v>263</v>
      </c>
      <c r="J39" s="29">
        <v>46290</v>
      </c>
      <c r="K39" s="42">
        <f>IF(tblTags[[#This Row],[Tag no.]]="","",IFERROR(INDEX(tblTagTypes[Target (days)],MATCH(tblTags[[#This Row],[Tag type]],tblTagTypes[Tag type],0)),""))</f>
        <v>7</v>
      </c>
      <c r="L39" s="45">
        <f>IF(tblTags[[#This Row],[Tag no.]]="","",IF(tblTags[[#This Row],[Target (days)]]="","",tblTags[[#This Row],[Date found]]+tblTags[[#This Row],[Target (days)]]))</f>
        <v>46295</v>
      </c>
      <c r="M39" s="42">
        <f>IF(tblTags[[#This Row],[Tag no.]]="","",IF(tblTags[[#This Row],[Status]]="Closed",IF(tblTags[[#This Row],[Date closed]]="","",tblTags[[#This Row],[Date closed]]-tblTags[[#This Row],[Date found]]),AsOf-tblTags[[#This Row],[Date found]]))</f>
        <v>2</v>
      </c>
      <c r="N39" s="44" t="str">
        <f>IF(tblTags[[#This Row],[Tag no.]]="","",IF(tblTags[[#This Row],[Status]]="Closed","Complete",IF(tblTags[[#This Row],[Due date]]="","",IF(AsOf&gt;tblTags[[#This Row],[Due date]],"Overdue",IF(tblTags[[#This Row],[Due date]]-AsOf&lt;=TagDueSoon,"Due soon","OK")))))</f>
        <v>Complete</v>
      </c>
      <c r="O39" s="44" t="str">
        <f>IF(tblTags[[#This Row],[Tag no.]]="","",IF(OR(tblTags[[#This Row],[Status]]&lt;&gt;"Closed",tblTags[[#This Row],[Date closed]]="",tblTags[[#This Row],[Due date]]=""),"",IF(tblTags[[#This Row],[Date closed]]&lt;=tblTags[[#This Row],[Due date]],"Yes","No")))</f>
        <v>Yes</v>
      </c>
      <c r="P39" s="45">
        <f>IF(tblTags[[#This Row],[Tag no.]]="","",IF(AND(tblTags[[#This Row],[Date found]]&gt;=FFrom,tblTags[[#This Row],[Date found]]&lt;=FTo,OR(DashMachine="",tblTags[[#This Row],[Machine]]=DashMachine)),tblTags[[#This Row],[Date found]],""))</f>
        <v>46288</v>
      </c>
      <c r="Q39"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40" spans="2:17">
      <c r="B40" s="28" t="s">
        <v>317</v>
      </c>
      <c r="C40" s="29">
        <v>46288</v>
      </c>
      <c r="D40" s="28" t="s">
        <v>91</v>
      </c>
      <c r="E40" s="28" t="s">
        <v>265</v>
      </c>
      <c r="F40" s="28" t="s">
        <v>114</v>
      </c>
      <c r="G40" s="28" t="s">
        <v>115</v>
      </c>
      <c r="H40" s="36" t="s">
        <v>275</v>
      </c>
      <c r="I40" s="28" t="s">
        <v>263</v>
      </c>
      <c r="J40" s="29">
        <v>46294</v>
      </c>
      <c r="K40" s="42">
        <f>IF(tblTags[[#This Row],[Tag no.]]="","",IFERROR(INDEX(tblTagTypes[Target (days)],MATCH(tblTags[[#This Row],[Tag type]],tblTagTypes[Tag type],0)),""))</f>
        <v>7</v>
      </c>
      <c r="L40" s="45">
        <f>IF(tblTags[[#This Row],[Tag no.]]="","",IF(tblTags[[#This Row],[Target (days)]]="","",tblTags[[#This Row],[Date found]]+tblTags[[#This Row],[Target (days)]]))</f>
        <v>46295</v>
      </c>
      <c r="M40" s="42">
        <f>IF(tblTags[[#This Row],[Tag no.]]="","",IF(tblTags[[#This Row],[Status]]="Closed",IF(tblTags[[#This Row],[Date closed]]="","",tblTags[[#This Row],[Date closed]]-tblTags[[#This Row],[Date found]]),AsOf-tblTags[[#This Row],[Date found]]))</f>
        <v>6</v>
      </c>
      <c r="N40" s="44" t="str">
        <f>IF(tblTags[[#This Row],[Tag no.]]="","",IF(tblTags[[#This Row],[Status]]="Closed","Complete",IF(tblTags[[#This Row],[Due date]]="","",IF(AsOf&gt;tblTags[[#This Row],[Due date]],"Overdue",IF(tblTags[[#This Row],[Due date]]-AsOf&lt;=TagDueSoon,"Due soon","OK")))))</f>
        <v>Complete</v>
      </c>
      <c r="O40" s="44" t="str">
        <f>IF(tblTags[[#This Row],[Tag no.]]="","",IF(OR(tblTags[[#This Row],[Status]]&lt;&gt;"Closed",tblTags[[#This Row],[Date closed]]="",tblTags[[#This Row],[Due date]]=""),"",IF(tblTags[[#This Row],[Date closed]]&lt;=tblTags[[#This Row],[Due date]],"Yes","No")))</f>
        <v>Yes</v>
      </c>
      <c r="P40" s="45">
        <f>IF(tblTags[[#This Row],[Tag no.]]="","",IF(AND(tblTags[[#This Row],[Date found]]&gt;=FFrom,tblTags[[#This Row],[Date found]]&lt;=FTo,OR(DashMachine="",tblTags[[#This Row],[Machine]]=DashMachine)),tblTags[[#This Row],[Date found]],""))</f>
        <v>46288</v>
      </c>
      <c r="Q40"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41" spans="2:17">
      <c r="B41" s="28" t="s">
        <v>318</v>
      </c>
      <c r="C41" s="29">
        <v>46288</v>
      </c>
      <c r="D41" s="28" t="s">
        <v>94</v>
      </c>
      <c r="E41" s="28" t="s">
        <v>265</v>
      </c>
      <c r="F41" s="28" t="s">
        <v>117</v>
      </c>
      <c r="G41" s="28" t="s">
        <v>115</v>
      </c>
      <c r="H41" s="36" t="s">
        <v>270</v>
      </c>
      <c r="I41" s="28" t="s">
        <v>263</v>
      </c>
      <c r="J41" s="29">
        <v>46298</v>
      </c>
      <c r="K41" s="42">
        <f>IF(tblTags[[#This Row],[Tag no.]]="","",IFERROR(INDEX(tblTagTypes[Target (days)],MATCH(tblTags[[#This Row],[Tag type]],tblTagTypes[Tag type],0)),""))</f>
        <v>7</v>
      </c>
      <c r="L41" s="45">
        <f>IF(tblTags[[#This Row],[Tag no.]]="","",IF(tblTags[[#This Row],[Target (days)]]="","",tblTags[[#This Row],[Date found]]+tblTags[[#This Row],[Target (days)]]))</f>
        <v>46295</v>
      </c>
      <c r="M41" s="42">
        <f>IF(tblTags[[#This Row],[Tag no.]]="","",IF(tblTags[[#This Row],[Status]]="Closed",IF(tblTags[[#This Row],[Date closed]]="","",tblTags[[#This Row],[Date closed]]-tblTags[[#This Row],[Date found]]),AsOf-tblTags[[#This Row],[Date found]]))</f>
        <v>10</v>
      </c>
      <c r="N41" s="44" t="str">
        <f>IF(tblTags[[#This Row],[Tag no.]]="","",IF(tblTags[[#This Row],[Status]]="Closed","Complete",IF(tblTags[[#This Row],[Due date]]="","",IF(AsOf&gt;tblTags[[#This Row],[Due date]],"Overdue",IF(tblTags[[#This Row],[Due date]]-AsOf&lt;=TagDueSoon,"Due soon","OK")))))</f>
        <v>Complete</v>
      </c>
      <c r="O41" s="44" t="str">
        <f>IF(tblTags[[#This Row],[Tag no.]]="","",IF(OR(tblTags[[#This Row],[Status]]&lt;&gt;"Closed",tblTags[[#This Row],[Date closed]]="",tblTags[[#This Row],[Due date]]=""),"",IF(tblTags[[#This Row],[Date closed]]&lt;=tblTags[[#This Row],[Due date]],"Yes","No")))</f>
        <v>No</v>
      </c>
      <c r="P41" s="45">
        <f>IF(tblTags[[#This Row],[Tag no.]]="","",IF(AND(tblTags[[#This Row],[Date found]]&gt;=FFrom,tblTags[[#This Row],[Date found]]&lt;=FTo,OR(DashMachine="",tblTags[[#This Row],[Machine]]=DashMachine)),tblTags[[#This Row],[Date found]],""))</f>
        <v>46288</v>
      </c>
      <c r="Q41"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42" spans="2:17">
      <c r="B42" s="28" t="s">
        <v>319</v>
      </c>
      <c r="C42" s="29">
        <v>46289</v>
      </c>
      <c r="D42" s="28" t="s">
        <v>88</v>
      </c>
      <c r="E42" s="28" t="s">
        <v>261</v>
      </c>
      <c r="F42" s="28" t="s">
        <v>117</v>
      </c>
      <c r="G42" s="28" t="s">
        <v>115</v>
      </c>
      <c r="H42" s="36" t="s">
        <v>286</v>
      </c>
      <c r="I42" s="28" t="s">
        <v>263</v>
      </c>
      <c r="J42" s="29">
        <v>46291</v>
      </c>
      <c r="K42" s="42">
        <f>IF(tblTags[[#This Row],[Tag no.]]="","",IFERROR(INDEX(tblTagTypes[Target (days)],MATCH(tblTags[[#This Row],[Tag type]],tblTagTypes[Tag type],0)),""))</f>
        <v>7</v>
      </c>
      <c r="L42" s="45">
        <f>IF(tblTags[[#This Row],[Tag no.]]="","",IF(tblTags[[#This Row],[Target (days)]]="","",tblTags[[#This Row],[Date found]]+tblTags[[#This Row],[Target (days)]]))</f>
        <v>46296</v>
      </c>
      <c r="M42" s="42">
        <f>IF(tblTags[[#This Row],[Tag no.]]="","",IF(tblTags[[#This Row],[Status]]="Closed",IF(tblTags[[#This Row],[Date closed]]="","",tblTags[[#This Row],[Date closed]]-tblTags[[#This Row],[Date found]]),AsOf-tblTags[[#This Row],[Date found]]))</f>
        <v>2</v>
      </c>
      <c r="N42" s="44" t="str">
        <f>IF(tblTags[[#This Row],[Tag no.]]="","",IF(tblTags[[#This Row],[Status]]="Closed","Complete",IF(tblTags[[#This Row],[Due date]]="","",IF(AsOf&gt;tblTags[[#This Row],[Due date]],"Overdue",IF(tblTags[[#This Row],[Due date]]-AsOf&lt;=TagDueSoon,"Due soon","OK")))))</f>
        <v>Complete</v>
      </c>
      <c r="O42" s="44" t="str">
        <f>IF(tblTags[[#This Row],[Tag no.]]="","",IF(OR(tblTags[[#This Row],[Status]]&lt;&gt;"Closed",tblTags[[#This Row],[Date closed]]="",tblTags[[#This Row],[Due date]]=""),"",IF(tblTags[[#This Row],[Date closed]]&lt;=tblTags[[#This Row],[Due date]],"Yes","No")))</f>
        <v>Yes</v>
      </c>
      <c r="P42" s="45">
        <f>IF(tblTags[[#This Row],[Tag no.]]="","",IF(AND(tblTags[[#This Row],[Date found]]&gt;=FFrom,tblTags[[#This Row],[Date found]]&lt;=FTo,OR(DashMachine="",tblTags[[#This Row],[Machine]]=DashMachine)),tblTags[[#This Row],[Date found]],""))</f>
        <v>46289</v>
      </c>
      <c r="Q42"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43" spans="2:17">
      <c r="B43" s="28" t="s">
        <v>320</v>
      </c>
      <c r="C43" s="29">
        <v>46289</v>
      </c>
      <c r="D43" s="28" t="s">
        <v>97</v>
      </c>
      <c r="E43" s="28" t="s">
        <v>265</v>
      </c>
      <c r="F43" s="28" t="s">
        <v>117</v>
      </c>
      <c r="G43" s="28" t="s">
        <v>115</v>
      </c>
      <c r="H43" s="36" t="s">
        <v>286</v>
      </c>
      <c r="I43" s="28" t="s">
        <v>263</v>
      </c>
      <c r="J43" s="29">
        <v>46297</v>
      </c>
      <c r="K43" s="42">
        <f>IF(tblTags[[#This Row],[Tag no.]]="","",IFERROR(INDEX(tblTagTypes[Target (days)],MATCH(tblTags[[#This Row],[Tag type]],tblTagTypes[Tag type],0)),""))</f>
        <v>7</v>
      </c>
      <c r="L43" s="45">
        <f>IF(tblTags[[#This Row],[Tag no.]]="","",IF(tblTags[[#This Row],[Target (days)]]="","",tblTags[[#This Row],[Date found]]+tblTags[[#This Row],[Target (days)]]))</f>
        <v>46296</v>
      </c>
      <c r="M43" s="42">
        <f>IF(tblTags[[#This Row],[Tag no.]]="","",IF(tblTags[[#This Row],[Status]]="Closed",IF(tblTags[[#This Row],[Date closed]]="","",tblTags[[#This Row],[Date closed]]-tblTags[[#This Row],[Date found]]),AsOf-tblTags[[#This Row],[Date found]]))</f>
        <v>8</v>
      </c>
      <c r="N43" s="44" t="str">
        <f>IF(tblTags[[#This Row],[Tag no.]]="","",IF(tblTags[[#This Row],[Status]]="Closed","Complete",IF(tblTags[[#This Row],[Due date]]="","",IF(AsOf&gt;tblTags[[#This Row],[Due date]],"Overdue",IF(tblTags[[#This Row],[Due date]]-AsOf&lt;=TagDueSoon,"Due soon","OK")))))</f>
        <v>Complete</v>
      </c>
      <c r="O43" s="44" t="str">
        <f>IF(tblTags[[#This Row],[Tag no.]]="","",IF(OR(tblTags[[#This Row],[Status]]&lt;&gt;"Closed",tblTags[[#This Row],[Date closed]]="",tblTags[[#This Row],[Due date]]=""),"",IF(tblTags[[#This Row],[Date closed]]&lt;=tblTags[[#This Row],[Due date]],"Yes","No")))</f>
        <v>No</v>
      </c>
      <c r="P43" s="45">
        <f>IF(tblTags[[#This Row],[Tag no.]]="","",IF(AND(tblTags[[#This Row],[Date found]]&gt;=FFrom,tblTags[[#This Row],[Date found]]&lt;=FTo,OR(DashMachine="",tblTags[[#This Row],[Machine]]=DashMachine)),tblTags[[#This Row],[Date found]],""))</f>
        <v>46289</v>
      </c>
      <c r="Q43"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44" spans="2:17">
      <c r="B44" s="28" t="s">
        <v>321</v>
      </c>
      <c r="C44" s="29">
        <v>46289</v>
      </c>
      <c r="D44" s="28" t="s">
        <v>99</v>
      </c>
      <c r="E44" s="28" t="s">
        <v>265</v>
      </c>
      <c r="F44" s="28" t="s">
        <v>124</v>
      </c>
      <c r="G44" s="28" t="s">
        <v>122</v>
      </c>
      <c r="H44" s="36" t="s">
        <v>322</v>
      </c>
      <c r="I44" s="28" t="s">
        <v>263</v>
      </c>
      <c r="J44" s="29">
        <v>46303</v>
      </c>
      <c r="K44" s="42">
        <f>IF(tblTags[[#This Row],[Tag no.]]="","",IFERROR(INDEX(tblTagTypes[Target (days)],MATCH(tblTags[[#This Row],[Tag type]],tblTagTypes[Tag type],0)),""))</f>
        <v>21</v>
      </c>
      <c r="L44" s="45">
        <f>IF(tblTags[[#This Row],[Tag no.]]="","",IF(tblTags[[#This Row],[Target (days)]]="","",tblTags[[#This Row],[Date found]]+tblTags[[#This Row],[Target (days)]]))</f>
        <v>46310</v>
      </c>
      <c r="M44" s="42">
        <f>IF(tblTags[[#This Row],[Tag no.]]="","",IF(tblTags[[#This Row],[Status]]="Closed",IF(tblTags[[#This Row],[Date closed]]="","",tblTags[[#This Row],[Date closed]]-tblTags[[#This Row],[Date found]]),AsOf-tblTags[[#This Row],[Date found]]))</f>
        <v>14</v>
      </c>
      <c r="N44" s="44" t="str">
        <f>IF(tblTags[[#This Row],[Tag no.]]="","",IF(tblTags[[#This Row],[Status]]="Closed","Complete",IF(tblTags[[#This Row],[Due date]]="","",IF(AsOf&gt;tblTags[[#This Row],[Due date]],"Overdue",IF(tblTags[[#This Row],[Due date]]-AsOf&lt;=TagDueSoon,"Due soon","OK")))))</f>
        <v>Complete</v>
      </c>
      <c r="O44" s="44" t="str">
        <f>IF(tblTags[[#This Row],[Tag no.]]="","",IF(OR(tblTags[[#This Row],[Status]]&lt;&gt;"Closed",tblTags[[#This Row],[Date closed]]="",tblTags[[#This Row],[Due date]]=""),"",IF(tblTags[[#This Row],[Date closed]]&lt;=tblTags[[#This Row],[Due date]],"Yes","No")))</f>
        <v>Yes</v>
      </c>
      <c r="P44" s="45">
        <f>IF(tblTags[[#This Row],[Tag no.]]="","",IF(AND(tblTags[[#This Row],[Date found]]&gt;=FFrom,tblTags[[#This Row],[Date found]]&lt;=FTo,OR(DashMachine="",tblTags[[#This Row],[Machine]]=DashMachine)),tblTags[[#This Row],[Date found]],""))</f>
        <v>46289</v>
      </c>
      <c r="Q44"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45" spans="2:17">
      <c r="B45" s="28" t="s">
        <v>323</v>
      </c>
      <c r="C45" s="29">
        <v>46289</v>
      </c>
      <c r="D45" s="28" t="s">
        <v>101</v>
      </c>
      <c r="E45" s="28" t="s">
        <v>308</v>
      </c>
      <c r="F45" s="28" t="s">
        <v>114</v>
      </c>
      <c r="G45" s="28" t="s">
        <v>115</v>
      </c>
      <c r="H45" s="36" t="s">
        <v>266</v>
      </c>
      <c r="I45" s="28" t="s">
        <v>263</v>
      </c>
      <c r="J45" s="29">
        <v>46299</v>
      </c>
      <c r="K45" s="42">
        <f>IF(tblTags[[#This Row],[Tag no.]]="","",IFERROR(INDEX(tblTagTypes[Target (days)],MATCH(tblTags[[#This Row],[Tag type]],tblTagTypes[Tag type],0)),""))</f>
        <v>7</v>
      </c>
      <c r="L45" s="45">
        <f>IF(tblTags[[#This Row],[Tag no.]]="","",IF(tblTags[[#This Row],[Target (days)]]="","",tblTags[[#This Row],[Date found]]+tblTags[[#This Row],[Target (days)]]))</f>
        <v>46296</v>
      </c>
      <c r="M45" s="42">
        <f>IF(tblTags[[#This Row],[Tag no.]]="","",IF(tblTags[[#This Row],[Status]]="Closed",IF(tblTags[[#This Row],[Date closed]]="","",tblTags[[#This Row],[Date closed]]-tblTags[[#This Row],[Date found]]),AsOf-tblTags[[#This Row],[Date found]]))</f>
        <v>10</v>
      </c>
      <c r="N45" s="44" t="str">
        <f>IF(tblTags[[#This Row],[Tag no.]]="","",IF(tblTags[[#This Row],[Status]]="Closed","Complete",IF(tblTags[[#This Row],[Due date]]="","",IF(AsOf&gt;tblTags[[#This Row],[Due date]],"Overdue",IF(tblTags[[#This Row],[Due date]]-AsOf&lt;=TagDueSoon,"Due soon","OK")))))</f>
        <v>Complete</v>
      </c>
      <c r="O45" s="44" t="str">
        <f>IF(tblTags[[#This Row],[Tag no.]]="","",IF(OR(tblTags[[#This Row],[Status]]&lt;&gt;"Closed",tblTags[[#This Row],[Date closed]]="",tblTags[[#This Row],[Due date]]=""),"",IF(tblTags[[#This Row],[Date closed]]&lt;=tblTags[[#This Row],[Due date]],"Yes","No")))</f>
        <v>No</v>
      </c>
      <c r="P45" s="45">
        <f>IF(tblTags[[#This Row],[Tag no.]]="","",IF(AND(tblTags[[#This Row],[Date found]]&gt;=FFrom,tblTags[[#This Row],[Date found]]&lt;=FTo,OR(DashMachine="",tblTags[[#This Row],[Machine]]=DashMachine)),tblTags[[#This Row],[Date found]],""))</f>
        <v>46289</v>
      </c>
      <c r="Q45"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46" spans="2:17">
      <c r="B46" s="28" t="s">
        <v>324</v>
      </c>
      <c r="C46" s="29">
        <v>46293</v>
      </c>
      <c r="D46" s="28" t="s">
        <v>91</v>
      </c>
      <c r="E46" s="28" t="s">
        <v>308</v>
      </c>
      <c r="F46" s="28" t="s">
        <v>121</v>
      </c>
      <c r="G46" s="28" t="s">
        <v>122</v>
      </c>
      <c r="H46" s="36" t="s">
        <v>304</v>
      </c>
      <c r="I46" s="28" t="s">
        <v>284</v>
      </c>
      <c r="J46" s="29"/>
      <c r="K46" s="42">
        <f>IF(tblTags[[#This Row],[Tag no.]]="","",IFERROR(INDEX(tblTagTypes[Target (days)],MATCH(tblTags[[#This Row],[Tag type]],tblTagTypes[Tag type],0)),""))</f>
        <v>21</v>
      </c>
      <c r="L46" s="45">
        <f>IF(tblTags[[#This Row],[Tag no.]]="","",IF(tblTags[[#This Row],[Target (days)]]="","",tblTags[[#This Row],[Date found]]+tblTags[[#This Row],[Target (days)]]))</f>
        <v>46314</v>
      </c>
      <c r="M46" s="42">
        <f>IF(tblTags[[#This Row],[Tag no.]]="","",IF(tblTags[[#This Row],[Status]]="Closed",IF(tblTags[[#This Row],[Date closed]]="","",tblTags[[#This Row],[Date closed]]-tblTags[[#This Row],[Date found]]),AsOf-tblTags[[#This Row],[Date found]]))</f>
        <v>11</v>
      </c>
      <c r="N46" s="44" t="str">
        <f>IF(tblTags[[#This Row],[Tag no.]]="","",IF(tblTags[[#This Row],[Status]]="Closed","Complete",IF(tblTags[[#This Row],[Due date]]="","",IF(AsOf&gt;tblTags[[#This Row],[Due date]],"Overdue",IF(tblTags[[#This Row],[Due date]]-AsOf&lt;=TagDueSoon,"Due soon","OK")))))</f>
        <v>OK</v>
      </c>
      <c r="O46" s="44">
        <f>IF(tblTags[[#This Row],[Tag no.]]="","",IF(OR(tblTags[[#This Row],[Status]]&lt;&gt;"Closed",tblTags[[#This Row],[Date closed]]="",tblTags[[#This Row],[Due date]]=""),"",IF(tblTags[[#This Row],[Date closed]]&lt;=tblTags[[#This Row],[Due date]],"Yes","No")))</f>
        <v/>
      </c>
      <c r="P46" s="45">
        <f>IF(tblTags[[#This Row],[Tag no.]]="","",IF(AND(tblTags[[#This Row],[Date found]]&gt;=FFrom,tblTags[[#This Row],[Date found]]&lt;=FTo,OR(DashMachine="",tblTags[[#This Row],[Machine]]=DashMachine)),tblTags[[#This Row],[Date found]],""))</f>
        <v>46293</v>
      </c>
      <c r="Q46"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47" spans="2:17">
      <c r="B47" s="28" t="s">
        <v>325</v>
      </c>
      <c r="C47" s="29">
        <v>46294</v>
      </c>
      <c r="D47" s="28" t="s">
        <v>97</v>
      </c>
      <c r="E47" s="28" t="s">
        <v>265</v>
      </c>
      <c r="F47" s="28" t="s">
        <v>119</v>
      </c>
      <c r="G47" s="28" t="s">
        <v>115</v>
      </c>
      <c r="H47" s="36" t="s">
        <v>282</v>
      </c>
      <c r="I47" s="28" t="s">
        <v>263</v>
      </c>
      <c r="J47" s="29">
        <v>46299</v>
      </c>
      <c r="K47" s="42">
        <f>IF(tblTags[[#This Row],[Tag no.]]="","",IFERROR(INDEX(tblTagTypes[Target (days)],MATCH(tblTags[[#This Row],[Tag type]],tblTagTypes[Tag type],0)),""))</f>
        <v>7</v>
      </c>
      <c r="L47" s="45">
        <f>IF(tblTags[[#This Row],[Tag no.]]="","",IF(tblTags[[#This Row],[Target (days)]]="","",tblTags[[#This Row],[Date found]]+tblTags[[#This Row],[Target (days)]]))</f>
        <v>46301</v>
      </c>
      <c r="M47" s="42">
        <f>IF(tblTags[[#This Row],[Tag no.]]="","",IF(tblTags[[#This Row],[Status]]="Closed",IF(tblTags[[#This Row],[Date closed]]="","",tblTags[[#This Row],[Date closed]]-tblTags[[#This Row],[Date found]]),AsOf-tblTags[[#This Row],[Date found]]))</f>
        <v>5</v>
      </c>
      <c r="N47" s="44" t="str">
        <f>IF(tblTags[[#This Row],[Tag no.]]="","",IF(tblTags[[#This Row],[Status]]="Closed","Complete",IF(tblTags[[#This Row],[Due date]]="","",IF(AsOf&gt;tblTags[[#This Row],[Due date]],"Overdue",IF(tblTags[[#This Row],[Due date]]-AsOf&lt;=TagDueSoon,"Due soon","OK")))))</f>
        <v>Complete</v>
      </c>
      <c r="O47" s="44" t="str">
        <f>IF(tblTags[[#This Row],[Tag no.]]="","",IF(OR(tblTags[[#This Row],[Status]]&lt;&gt;"Closed",tblTags[[#This Row],[Date closed]]="",tblTags[[#This Row],[Due date]]=""),"",IF(tblTags[[#This Row],[Date closed]]&lt;=tblTags[[#This Row],[Due date]],"Yes","No")))</f>
        <v>Yes</v>
      </c>
      <c r="P47" s="45">
        <f>IF(tblTags[[#This Row],[Tag no.]]="","",IF(AND(tblTags[[#This Row],[Date found]]&gt;=FFrom,tblTags[[#This Row],[Date found]]&lt;=FTo,OR(DashMachine="",tblTags[[#This Row],[Machine]]=DashMachine)),tblTags[[#This Row],[Date found]],""))</f>
        <v>46294</v>
      </c>
      <c r="Q47"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48" spans="2:17">
      <c r="B48" s="28" t="s">
        <v>326</v>
      </c>
      <c r="C48" s="29">
        <v>46295</v>
      </c>
      <c r="D48" s="28" t="s">
        <v>99</v>
      </c>
      <c r="E48" s="28" t="s">
        <v>265</v>
      </c>
      <c r="F48" s="28" t="s">
        <v>114</v>
      </c>
      <c r="G48" s="28" t="s">
        <v>115</v>
      </c>
      <c r="H48" s="36" t="s">
        <v>292</v>
      </c>
      <c r="I48" s="28" t="s">
        <v>263</v>
      </c>
      <c r="J48" s="29">
        <v>46300</v>
      </c>
      <c r="K48" s="42">
        <f>IF(tblTags[[#This Row],[Tag no.]]="","",IFERROR(INDEX(tblTagTypes[Target (days)],MATCH(tblTags[[#This Row],[Tag type]],tblTagTypes[Tag type],0)),""))</f>
        <v>7</v>
      </c>
      <c r="L48" s="45">
        <f>IF(tblTags[[#This Row],[Tag no.]]="","",IF(tblTags[[#This Row],[Target (days)]]="","",tblTags[[#This Row],[Date found]]+tblTags[[#This Row],[Target (days)]]))</f>
        <v>46302</v>
      </c>
      <c r="M48" s="42">
        <f>IF(tblTags[[#This Row],[Tag no.]]="","",IF(tblTags[[#This Row],[Status]]="Closed",IF(tblTags[[#This Row],[Date closed]]="","",tblTags[[#This Row],[Date closed]]-tblTags[[#This Row],[Date found]]),AsOf-tblTags[[#This Row],[Date found]]))</f>
        <v>5</v>
      </c>
      <c r="N48" s="44" t="str">
        <f>IF(tblTags[[#This Row],[Tag no.]]="","",IF(tblTags[[#This Row],[Status]]="Closed","Complete",IF(tblTags[[#This Row],[Due date]]="","",IF(AsOf&gt;tblTags[[#This Row],[Due date]],"Overdue",IF(tblTags[[#This Row],[Due date]]-AsOf&lt;=TagDueSoon,"Due soon","OK")))))</f>
        <v>Complete</v>
      </c>
      <c r="O48" s="44" t="str">
        <f>IF(tblTags[[#This Row],[Tag no.]]="","",IF(OR(tblTags[[#This Row],[Status]]&lt;&gt;"Closed",tblTags[[#This Row],[Date closed]]="",tblTags[[#This Row],[Due date]]=""),"",IF(tblTags[[#This Row],[Date closed]]&lt;=tblTags[[#This Row],[Due date]],"Yes","No")))</f>
        <v>Yes</v>
      </c>
      <c r="P48" s="45">
        <f>IF(tblTags[[#This Row],[Tag no.]]="","",IF(AND(tblTags[[#This Row],[Date found]]&gt;=FFrom,tblTags[[#This Row],[Date found]]&lt;=FTo,OR(DashMachine="",tblTags[[#This Row],[Machine]]=DashMachine)),tblTags[[#This Row],[Date found]],""))</f>
        <v>46295</v>
      </c>
      <c r="Q48"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49" spans="2:17">
      <c r="B49" s="28" t="s">
        <v>327</v>
      </c>
      <c r="C49" s="29">
        <v>46296</v>
      </c>
      <c r="D49" s="28" t="s">
        <v>94</v>
      </c>
      <c r="E49" s="28" t="s">
        <v>265</v>
      </c>
      <c r="F49" s="28" t="s">
        <v>114</v>
      </c>
      <c r="G49" s="28" t="s">
        <v>122</v>
      </c>
      <c r="H49" s="36" t="s">
        <v>266</v>
      </c>
      <c r="I49" s="28" t="s">
        <v>284</v>
      </c>
      <c r="J49" s="29"/>
      <c r="K49" s="42">
        <f>IF(tblTags[[#This Row],[Tag no.]]="","",IFERROR(INDEX(tblTagTypes[Target (days)],MATCH(tblTags[[#This Row],[Tag type]],tblTagTypes[Tag type],0)),""))</f>
        <v>21</v>
      </c>
      <c r="L49" s="45">
        <f>IF(tblTags[[#This Row],[Tag no.]]="","",IF(tblTags[[#This Row],[Target (days)]]="","",tblTags[[#This Row],[Date found]]+tblTags[[#This Row],[Target (days)]]))</f>
        <v>46317</v>
      </c>
      <c r="M49" s="42">
        <f>IF(tblTags[[#This Row],[Tag no.]]="","",IF(tblTags[[#This Row],[Status]]="Closed",IF(tblTags[[#This Row],[Date closed]]="","",tblTags[[#This Row],[Date closed]]-tblTags[[#This Row],[Date found]]),AsOf-tblTags[[#This Row],[Date found]]))</f>
        <v>8</v>
      </c>
      <c r="N49" s="44" t="str">
        <f>IF(tblTags[[#This Row],[Tag no.]]="","",IF(tblTags[[#This Row],[Status]]="Closed","Complete",IF(tblTags[[#This Row],[Due date]]="","",IF(AsOf&gt;tblTags[[#This Row],[Due date]],"Overdue",IF(tblTags[[#This Row],[Due date]]-AsOf&lt;=TagDueSoon,"Due soon","OK")))))</f>
        <v>OK</v>
      </c>
      <c r="O49" s="44">
        <f>IF(tblTags[[#This Row],[Tag no.]]="","",IF(OR(tblTags[[#This Row],[Status]]&lt;&gt;"Closed",tblTags[[#This Row],[Date closed]]="",tblTags[[#This Row],[Due date]]=""),"",IF(tblTags[[#This Row],[Date closed]]&lt;=tblTags[[#This Row],[Due date]],"Yes","No")))</f>
        <v/>
      </c>
      <c r="P49" s="45">
        <f>IF(tblTags[[#This Row],[Tag no.]]="","",IF(AND(tblTags[[#This Row],[Date found]]&gt;=FFrom,tblTags[[#This Row],[Date found]]&lt;=FTo,OR(DashMachine="",tblTags[[#This Row],[Machine]]=DashMachine)),tblTags[[#This Row],[Date found]],""))</f>
        <v>46296</v>
      </c>
      <c r="Q49"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50" spans="2:17">
      <c r="B50" s="28" t="s">
        <v>328</v>
      </c>
      <c r="C50" s="29">
        <v>46297</v>
      </c>
      <c r="D50" s="28" t="s">
        <v>88</v>
      </c>
      <c r="E50" s="28" t="s">
        <v>272</v>
      </c>
      <c r="F50" s="28" t="s">
        <v>128</v>
      </c>
      <c r="G50" s="28" t="s">
        <v>129</v>
      </c>
      <c r="H50" s="36" t="s">
        <v>314</v>
      </c>
      <c r="I50" s="28" t="s">
        <v>263</v>
      </c>
      <c r="J50" s="29">
        <v>46298</v>
      </c>
      <c r="K50" s="42">
        <f>IF(tblTags[[#This Row],[Tag no.]]="","",IFERROR(INDEX(tblTagTypes[Target (days)],MATCH(tblTags[[#This Row],[Tag type]],tblTagTypes[Tag type],0)),""))</f>
        <v>2</v>
      </c>
      <c r="L50" s="45">
        <f>IF(tblTags[[#This Row],[Tag no.]]="","",IF(tblTags[[#This Row],[Target (days)]]="","",tblTags[[#This Row],[Date found]]+tblTags[[#This Row],[Target (days)]]))</f>
        <v>46299</v>
      </c>
      <c r="M50" s="42">
        <f>IF(tblTags[[#This Row],[Tag no.]]="","",IF(tblTags[[#This Row],[Status]]="Closed",IF(tblTags[[#This Row],[Date closed]]="","",tblTags[[#This Row],[Date closed]]-tblTags[[#This Row],[Date found]]),AsOf-tblTags[[#This Row],[Date found]]))</f>
        <v>1</v>
      </c>
      <c r="N50" s="44" t="str">
        <f>IF(tblTags[[#This Row],[Tag no.]]="","",IF(tblTags[[#This Row],[Status]]="Closed","Complete",IF(tblTags[[#This Row],[Due date]]="","",IF(AsOf&gt;tblTags[[#This Row],[Due date]],"Overdue",IF(tblTags[[#This Row],[Due date]]-AsOf&lt;=TagDueSoon,"Due soon","OK")))))</f>
        <v>Complete</v>
      </c>
      <c r="O50" s="44" t="str">
        <f>IF(tblTags[[#This Row],[Tag no.]]="","",IF(OR(tblTags[[#This Row],[Status]]&lt;&gt;"Closed",tblTags[[#This Row],[Date closed]]="",tblTags[[#This Row],[Due date]]=""),"",IF(tblTags[[#This Row],[Date closed]]&lt;=tblTags[[#This Row],[Due date]],"Yes","No")))</f>
        <v>Yes</v>
      </c>
      <c r="P50" s="45">
        <f>IF(tblTags[[#This Row],[Tag no.]]="","",IF(AND(tblTags[[#This Row],[Date found]]&gt;=FFrom,tblTags[[#This Row],[Date found]]&lt;=FTo,OR(DashMachine="",tblTags[[#This Row],[Machine]]=DashMachine)),tblTags[[#This Row],[Date found]],""))</f>
        <v>46297</v>
      </c>
      <c r="Q50"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51" spans="2:17">
      <c r="B51" s="28" t="s">
        <v>329</v>
      </c>
      <c r="C51" s="29">
        <v>46297</v>
      </c>
      <c r="D51" s="28" t="s">
        <v>88</v>
      </c>
      <c r="E51" s="28" t="s">
        <v>265</v>
      </c>
      <c r="F51" s="28" t="s">
        <v>126</v>
      </c>
      <c r="G51" s="28" t="s">
        <v>115</v>
      </c>
      <c r="H51" s="36" t="s">
        <v>330</v>
      </c>
      <c r="I51" s="28" t="s">
        <v>263</v>
      </c>
      <c r="J51" s="29">
        <v>46298</v>
      </c>
      <c r="K51" s="42">
        <f>IF(tblTags[[#This Row],[Tag no.]]="","",IFERROR(INDEX(tblTagTypes[Target (days)],MATCH(tblTags[[#This Row],[Tag type]],tblTagTypes[Tag type],0)),""))</f>
        <v>7</v>
      </c>
      <c r="L51" s="45">
        <f>IF(tblTags[[#This Row],[Tag no.]]="","",IF(tblTags[[#This Row],[Target (days)]]="","",tblTags[[#This Row],[Date found]]+tblTags[[#This Row],[Target (days)]]))</f>
        <v>46304</v>
      </c>
      <c r="M51" s="42">
        <f>IF(tblTags[[#This Row],[Tag no.]]="","",IF(tblTags[[#This Row],[Status]]="Closed",IF(tblTags[[#This Row],[Date closed]]="","",tblTags[[#This Row],[Date closed]]-tblTags[[#This Row],[Date found]]),AsOf-tblTags[[#This Row],[Date found]]))</f>
        <v>1</v>
      </c>
      <c r="N51" s="44" t="str">
        <f>IF(tblTags[[#This Row],[Tag no.]]="","",IF(tblTags[[#This Row],[Status]]="Closed","Complete",IF(tblTags[[#This Row],[Due date]]="","",IF(AsOf&gt;tblTags[[#This Row],[Due date]],"Overdue",IF(tblTags[[#This Row],[Due date]]-AsOf&lt;=TagDueSoon,"Due soon","OK")))))</f>
        <v>Complete</v>
      </c>
      <c r="O51" s="44" t="str">
        <f>IF(tblTags[[#This Row],[Tag no.]]="","",IF(OR(tblTags[[#This Row],[Status]]&lt;&gt;"Closed",tblTags[[#This Row],[Date closed]]="",tblTags[[#This Row],[Due date]]=""),"",IF(tblTags[[#This Row],[Date closed]]&lt;=tblTags[[#This Row],[Due date]],"Yes","No")))</f>
        <v>Yes</v>
      </c>
      <c r="P51" s="45">
        <f>IF(tblTags[[#This Row],[Tag no.]]="","",IF(AND(tblTags[[#This Row],[Date found]]&gt;=FFrom,tblTags[[#This Row],[Date found]]&lt;=FTo,OR(DashMachine="",tblTags[[#This Row],[Machine]]=DashMachine)),tblTags[[#This Row],[Date found]],""))</f>
        <v>46297</v>
      </c>
      <c r="Q51"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52" spans="2:17">
      <c r="B52" s="28" t="s">
        <v>331</v>
      </c>
      <c r="C52" s="29">
        <v>46297</v>
      </c>
      <c r="D52" s="28" t="s">
        <v>91</v>
      </c>
      <c r="E52" s="28" t="s">
        <v>265</v>
      </c>
      <c r="F52" s="28" t="s">
        <v>114</v>
      </c>
      <c r="G52" s="28" t="s">
        <v>115</v>
      </c>
      <c r="H52" s="36" t="s">
        <v>266</v>
      </c>
      <c r="I52" s="28" t="s">
        <v>263</v>
      </c>
      <c r="J52" s="29">
        <v>46299</v>
      </c>
      <c r="K52" s="42">
        <f>IF(tblTags[[#This Row],[Tag no.]]="","",IFERROR(INDEX(tblTagTypes[Target (days)],MATCH(tblTags[[#This Row],[Tag type]],tblTagTypes[Tag type],0)),""))</f>
        <v>7</v>
      </c>
      <c r="L52" s="45">
        <f>IF(tblTags[[#This Row],[Tag no.]]="","",IF(tblTags[[#This Row],[Target (days)]]="","",tblTags[[#This Row],[Date found]]+tblTags[[#This Row],[Target (days)]]))</f>
        <v>46304</v>
      </c>
      <c r="M52" s="42">
        <f>IF(tblTags[[#This Row],[Tag no.]]="","",IF(tblTags[[#This Row],[Status]]="Closed",IF(tblTags[[#This Row],[Date closed]]="","",tblTags[[#This Row],[Date closed]]-tblTags[[#This Row],[Date found]]),AsOf-tblTags[[#This Row],[Date found]]))</f>
        <v>2</v>
      </c>
      <c r="N52" s="44" t="str">
        <f>IF(tblTags[[#This Row],[Tag no.]]="","",IF(tblTags[[#This Row],[Status]]="Closed","Complete",IF(tblTags[[#This Row],[Due date]]="","",IF(AsOf&gt;tblTags[[#This Row],[Due date]],"Overdue",IF(tblTags[[#This Row],[Due date]]-AsOf&lt;=TagDueSoon,"Due soon","OK")))))</f>
        <v>Complete</v>
      </c>
      <c r="O52" s="44" t="str">
        <f>IF(tblTags[[#This Row],[Tag no.]]="","",IF(OR(tblTags[[#This Row],[Status]]&lt;&gt;"Closed",tblTags[[#This Row],[Date closed]]="",tblTags[[#This Row],[Due date]]=""),"",IF(tblTags[[#This Row],[Date closed]]&lt;=tblTags[[#This Row],[Due date]],"Yes","No")))</f>
        <v>Yes</v>
      </c>
      <c r="P52" s="45">
        <f>IF(tblTags[[#This Row],[Tag no.]]="","",IF(AND(tblTags[[#This Row],[Date found]]&gt;=FFrom,tblTags[[#This Row],[Date found]]&lt;=FTo,OR(DashMachine="",tblTags[[#This Row],[Machine]]=DashMachine)),tblTags[[#This Row],[Date found]],""))</f>
        <v>46297</v>
      </c>
      <c r="Q52"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53" spans="2:17">
      <c r="B53" s="28" t="s">
        <v>332</v>
      </c>
      <c r="C53" s="29">
        <v>46297</v>
      </c>
      <c r="D53" s="28" t="s">
        <v>101</v>
      </c>
      <c r="E53" s="28" t="s">
        <v>265</v>
      </c>
      <c r="F53" s="28" t="s">
        <v>114</v>
      </c>
      <c r="G53" s="28" t="s">
        <v>122</v>
      </c>
      <c r="H53" s="36" t="s">
        <v>275</v>
      </c>
      <c r="I53" s="28" t="s">
        <v>284</v>
      </c>
      <c r="J53" s="29"/>
      <c r="K53" s="42">
        <f>IF(tblTags[[#This Row],[Tag no.]]="","",IFERROR(INDEX(tblTagTypes[Target (days)],MATCH(tblTags[[#This Row],[Tag type]],tblTagTypes[Tag type],0)),""))</f>
        <v>21</v>
      </c>
      <c r="L53" s="45">
        <f>IF(tblTags[[#This Row],[Tag no.]]="","",IF(tblTags[[#This Row],[Target (days)]]="","",tblTags[[#This Row],[Date found]]+tblTags[[#This Row],[Target (days)]]))</f>
        <v>46318</v>
      </c>
      <c r="M53" s="42">
        <f>IF(tblTags[[#This Row],[Tag no.]]="","",IF(tblTags[[#This Row],[Status]]="Closed",IF(tblTags[[#This Row],[Date closed]]="","",tblTags[[#This Row],[Date closed]]-tblTags[[#This Row],[Date found]]),AsOf-tblTags[[#This Row],[Date found]]))</f>
        <v>7</v>
      </c>
      <c r="N53" s="44" t="str">
        <f>IF(tblTags[[#This Row],[Tag no.]]="","",IF(tblTags[[#This Row],[Status]]="Closed","Complete",IF(tblTags[[#This Row],[Due date]]="","",IF(AsOf&gt;tblTags[[#This Row],[Due date]],"Overdue",IF(tblTags[[#This Row],[Due date]]-AsOf&lt;=TagDueSoon,"Due soon","OK")))))</f>
        <v>OK</v>
      </c>
      <c r="O53" s="44">
        <f>IF(tblTags[[#This Row],[Tag no.]]="","",IF(OR(tblTags[[#This Row],[Status]]&lt;&gt;"Closed",tblTags[[#This Row],[Date closed]]="",tblTags[[#This Row],[Due date]]=""),"",IF(tblTags[[#This Row],[Date closed]]&lt;=tblTags[[#This Row],[Due date]],"Yes","No")))</f>
        <v/>
      </c>
      <c r="P53" s="45">
        <f>IF(tblTags[[#This Row],[Tag no.]]="","",IF(AND(tblTags[[#This Row],[Date found]]&gt;=FFrom,tblTags[[#This Row],[Date found]]&lt;=FTo,OR(DashMachine="",tblTags[[#This Row],[Machine]]=DashMachine)),tblTags[[#This Row],[Date found]],""))</f>
        <v>46297</v>
      </c>
      <c r="Q53"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54" spans="2:17">
      <c r="B54" s="28" t="s">
        <v>333</v>
      </c>
      <c r="C54" s="29">
        <v>46301</v>
      </c>
      <c r="D54" s="28" t="s">
        <v>88</v>
      </c>
      <c r="E54" s="28" t="s">
        <v>265</v>
      </c>
      <c r="F54" s="28" t="s">
        <v>119</v>
      </c>
      <c r="G54" s="28" t="s">
        <v>115</v>
      </c>
      <c r="H54" s="36" t="s">
        <v>278</v>
      </c>
      <c r="I54" s="28" t="s">
        <v>284</v>
      </c>
      <c r="J54" s="29"/>
      <c r="K54" s="42">
        <f>IF(tblTags[[#This Row],[Tag no.]]="","",IFERROR(INDEX(tblTagTypes[Target (days)],MATCH(tblTags[[#This Row],[Tag type]],tblTagTypes[Tag type],0)),""))</f>
        <v>7</v>
      </c>
      <c r="L54" s="45">
        <f>IF(tblTags[[#This Row],[Tag no.]]="","",IF(tblTags[[#This Row],[Target (days)]]="","",tblTags[[#This Row],[Date found]]+tblTags[[#This Row],[Target (days)]]))</f>
        <v>46308</v>
      </c>
      <c r="M54" s="42">
        <f>IF(tblTags[[#This Row],[Tag no.]]="","",IF(tblTags[[#This Row],[Status]]="Closed",IF(tblTags[[#This Row],[Date closed]]="","",tblTags[[#This Row],[Date closed]]-tblTags[[#This Row],[Date found]]),AsOf-tblTags[[#This Row],[Date found]]))</f>
        <v>3</v>
      </c>
      <c r="N54" s="44" t="str">
        <f>IF(tblTags[[#This Row],[Tag no.]]="","",IF(tblTags[[#This Row],[Status]]="Closed","Complete",IF(tblTags[[#This Row],[Due date]]="","",IF(AsOf&gt;tblTags[[#This Row],[Due date]],"Overdue",IF(tblTags[[#This Row],[Due date]]-AsOf&lt;=TagDueSoon,"Due soon","OK")))))</f>
        <v>OK</v>
      </c>
      <c r="O54" s="44">
        <f>IF(tblTags[[#This Row],[Tag no.]]="","",IF(OR(tblTags[[#This Row],[Status]]&lt;&gt;"Closed",tblTags[[#This Row],[Date closed]]="",tblTags[[#This Row],[Due date]]=""),"",IF(tblTags[[#This Row],[Date closed]]&lt;=tblTags[[#This Row],[Due date]],"Yes","No")))</f>
        <v/>
      </c>
      <c r="P54" s="45">
        <f>IF(tblTags[[#This Row],[Tag no.]]="","",IF(AND(tblTags[[#This Row],[Date found]]&gt;=FFrom,tblTags[[#This Row],[Date found]]&lt;=FTo,OR(DashMachine="",tblTags[[#This Row],[Machine]]=DashMachine)),tblTags[[#This Row],[Date found]],""))</f>
        <v>46301</v>
      </c>
      <c r="Q54"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55" spans="2:17">
      <c r="B55" s="28" t="s">
        <v>334</v>
      </c>
      <c r="C55" s="29">
        <v>46301</v>
      </c>
      <c r="D55" s="28" t="s">
        <v>94</v>
      </c>
      <c r="E55" s="28" t="s">
        <v>265</v>
      </c>
      <c r="F55" s="28" t="s">
        <v>119</v>
      </c>
      <c r="G55" s="28" t="s">
        <v>122</v>
      </c>
      <c r="H55" s="36" t="s">
        <v>280</v>
      </c>
      <c r="I55" s="28" t="s">
        <v>284</v>
      </c>
      <c r="J55" s="29"/>
      <c r="K55" s="42">
        <f>IF(tblTags[[#This Row],[Tag no.]]="","",IFERROR(INDEX(tblTagTypes[Target (days)],MATCH(tblTags[[#This Row],[Tag type]],tblTagTypes[Tag type],0)),""))</f>
        <v>21</v>
      </c>
      <c r="L55" s="45">
        <f>IF(tblTags[[#This Row],[Tag no.]]="","",IF(tblTags[[#This Row],[Target (days)]]="","",tblTags[[#This Row],[Date found]]+tblTags[[#This Row],[Target (days)]]))</f>
        <v>46322</v>
      </c>
      <c r="M55" s="42">
        <f>IF(tblTags[[#This Row],[Tag no.]]="","",IF(tblTags[[#This Row],[Status]]="Closed",IF(tblTags[[#This Row],[Date closed]]="","",tblTags[[#This Row],[Date closed]]-tblTags[[#This Row],[Date found]]),AsOf-tblTags[[#This Row],[Date found]]))</f>
        <v>3</v>
      </c>
      <c r="N55" s="44" t="str">
        <f>IF(tblTags[[#This Row],[Tag no.]]="","",IF(tblTags[[#This Row],[Status]]="Closed","Complete",IF(tblTags[[#This Row],[Due date]]="","",IF(AsOf&gt;tblTags[[#This Row],[Due date]],"Overdue",IF(tblTags[[#This Row],[Due date]]-AsOf&lt;=TagDueSoon,"Due soon","OK")))))</f>
        <v>OK</v>
      </c>
      <c r="O55" s="44">
        <f>IF(tblTags[[#This Row],[Tag no.]]="","",IF(OR(tblTags[[#This Row],[Status]]&lt;&gt;"Closed",tblTags[[#This Row],[Date closed]]="",tblTags[[#This Row],[Due date]]=""),"",IF(tblTags[[#This Row],[Date closed]]&lt;=tblTags[[#This Row],[Due date]],"Yes","No")))</f>
        <v/>
      </c>
      <c r="P55" s="45">
        <f>IF(tblTags[[#This Row],[Tag no.]]="","",IF(AND(tblTags[[#This Row],[Date found]]&gt;=FFrom,tblTags[[#This Row],[Date found]]&lt;=FTo,OR(DashMachine="",tblTags[[#This Row],[Machine]]=DashMachine)),tblTags[[#This Row],[Date found]],""))</f>
        <v>46301</v>
      </c>
      <c r="Q55"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56" spans="2:17">
      <c r="B56" s="28" t="s">
        <v>335</v>
      </c>
      <c r="C56" s="29">
        <v>46301</v>
      </c>
      <c r="D56" s="28" t="s">
        <v>97</v>
      </c>
      <c r="E56" s="28" t="s">
        <v>308</v>
      </c>
      <c r="F56" s="28" t="s">
        <v>114</v>
      </c>
      <c r="G56" s="28" t="s">
        <v>122</v>
      </c>
      <c r="H56" s="36" t="s">
        <v>292</v>
      </c>
      <c r="I56" s="28" t="s">
        <v>284</v>
      </c>
      <c r="J56" s="29"/>
      <c r="K56" s="42">
        <f>IF(tblTags[[#This Row],[Tag no.]]="","",IFERROR(INDEX(tblTagTypes[Target (days)],MATCH(tblTags[[#This Row],[Tag type]],tblTagTypes[Tag type],0)),""))</f>
        <v>21</v>
      </c>
      <c r="L56" s="45">
        <f>IF(tblTags[[#This Row],[Tag no.]]="","",IF(tblTags[[#This Row],[Target (days)]]="","",tblTags[[#This Row],[Date found]]+tblTags[[#This Row],[Target (days)]]))</f>
        <v>46322</v>
      </c>
      <c r="M56" s="42">
        <f>IF(tblTags[[#This Row],[Tag no.]]="","",IF(tblTags[[#This Row],[Status]]="Closed",IF(tblTags[[#This Row],[Date closed]]="","",tblTags[[#This Row],[Date closed]]-tblTags[[#This Row],[Date found]]),AsOf-tblTags[[#This Row],[Date found]]))</f>
        <v>3</v>
      </c>
      <c r="N56" s="44" t="str">
        <f>IF(tblTags[[#This Row],[Tag no.]]="","",IF(tblTags[[#This Row],[Status]]="Closed","Complete",IF(tblTags[[#This Row],[Due date]]="","",IF(AsOf&gt;tblTags[[#This Row],[Due date]],"Overdue",IF(tblTags[[#This Row],[Due date]]-AsOf&lt;=TagDueSoon,"Due soon","OK")))))</f>
        <v>OK</v>
      </c>
      <c r="O56" s="44">
        <f>IF(tblTags[[#This Row],[Tag no.]]="","",IF(OR(tblTags[[#This Row],[Status]]&lt;&gt;"Closed",tblTags[[#This Row],[Date closed]]="",tblTags[[#This Row],[Due date]]=""),"",IF(tblTags[[#This Row],[Date closed]]&lt;=tblTags[[#This Row],[Due date]],"Yes","No")))</f>
        <v/>
      </c>
      <c r="P56" s="45">
        <f>IF(tblTags[[#This Row],[Tag no.]]="","",IF(AND(tblTags[[#This Row],[Date found]]&gt;=FFrom,tblTags[[#This Row],[Date found]]&lt;=FTo,OR(DashMachine="",tblTags[[#This Row],[Machine]]=DashMachine)),tblTags[[#This Row],[Date found]],""))</f>
        <v>46301</v>
      </c>
      <c r="Q56"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row r="57" spans="2:17">
      <c r="B57" s="28" t="s">
        <v>336</v>
      </c>
      <c r="C57" s="29">
        <v>46304</v>
      </c>
      <c r="D57" s="28" t="s">
        <v>99</v>
      </c>
      <c r="E57" s="28" t="s">
        <v>308</v>
      </c>
      <c r="F57" s="28" t="s">
        <v>124</v>
      </c>
      <c r="G57" s="28" t="s">
        <v>122</v>
      </c>
      <c r="H57" s="36" t="s">
        <v>337</v>
      </c>
      <c r="I57" s="28" t="s">
        <v>284</v>
      </c>
      <c r="J57" s="29"/>
      <c r="K57" s="42">
        <f>IF(tblTags[[#This Row],[Tag no.]]="","",IFERROR(INDEX(tblTagTypes[Target (days)],MATCH(tblTags[[#This Row],[Tag type]],tblTagTypes[Tag type],0)),""))</f>
        <v>21</v>
      </c>
      <c r="L57" s="45">
        <f>IF(tblTags[[#This Row],[Tag no.]]="","",IF(tblTags[[#This Row],[Target (days)]]="","",tblTags[[#This Row],[Date found]]+tblTags[[#This Row],[Target (days)]]))</f>
        <v>46325</v>
      </c>
      <c r="M57" s="42">
        <f>IF(tblTags[[#This Row],[Tag no.]]="","",IF(tblTags[[#This Row],[Status]]="Closed",IF(tblTags[[#This Row],[Date closed]]="","",tblTags[[#This Row],[Date closed]]-tblTags[[#This Row],[Date found]]),AsOf-tblTags[[#This Row],[Date found]]))</f>
        <v>0</v>
      </c>
      <c r="N57" s="44" t="str">
        <f>IF(tblTags[[#This Row],[Tag no.]]="","",IF(tblTags[[#This Row],[Status]]="Closed","Complete",IF(tblTags[[#This Row],[Due date]]="","",IF(AsOf&gt;tblTags[[#This Row],[Due date]],"Overdue",IF(tblTags[[#This Row],[Due date]]-AsOf&lt;=TagDueSoon,"Due soon","OK")))))</f>
        <v>OK</v>
      </c>
      <c r="O57" s="44">
        <f>IF(tblTags[[#This Row],[Tag no.]]="","",IF(OR(tblTags[[#This Row],[Status]]&lt;&gt;"Closed",tblTags[[#This Row],[Date closed]]="",tblTags[[#This Row],[Due date]]=""),"",IF(tblTags[[#This Row],[Date closed]]&lt;=tblTags[[#This Row],[Due date]],"Yes","No")))</f>
        <v/>
      </c>
      <c r="P57" s="45">
        <f>IF(tblTags[[#This Row],[Tag no.]]="","",IF(AND(tblTags[[#This Row],[Date found]]&gt;=FFrom,tblTags[[#This Row],[Date found]]&lt;=FTo,OR(DashMachine="",tblTags[[#This Row],[Machine]]=DashMachine)),tblTags[[#This Row],[Date found]],""))</f>
        <v>46304</v>
      </c>
      <c r="Q57" s="40" t="str">
        <f>IF(tblTags[[#This Row],[Tag no.]]="","",IF(tblTags[[#This Row],[Date found]]="","Missing date found",IF(tblTags[[#This Row],[Status]]="","Missing status",IF(tblTags[[#This Row],[Target (days)]]="","Tag type not on Setup list",IF(COUNTIF(tblMachines[Machine],tblTags[[#This Row],[Machine]])=0,"Machine not on Setup list",IF(COUNTIF(tblAbnTypes[Abnormality type],tblTags[[#This Row],[Abnormality type]])=0,"Abnormality type not on list",IF(OR(AND(tblTags[[#This Row],[Status]]="Closed",tblTags[[#This Row],[Date closed]]=""),AND(tblTags[[#This Row],[Status]]&lt;&gt;"Closed",tblTags[[#This Row],[Date closed]]&lt;&gt;"")),"Status and closing date disagree",IF(AND(tblTags[[#This Row],[Date closed]]&lt;&gt;"",tblTags[[#This Row],[Date closed]]&lt;tblTags[[#This Row],[Date found]]),"Closed before found",IF(OR(tblTags[[#This Row],[Date found]]&gt;AsOf,AND(tblTags[[#This Row],[Date closed]]&lt;&gt;"",tblTags[[#This Row],[Date closed]]&gt;AsOf)),"Date after the status date",IF(COUNTIF(tblTags[Tag no.],tblTags[[#This Row],[Tag no.]])&gt;1,"Duplicate tag no.","OK"))))))))))</f>
        <v>OK</v>
      </c>
    </row>
  </sheetData>
  <mergeCells count="3">
    <mergeCell ref="A1:Q1"/>
    <mergeCell ref="B2:P2"/>
    <mergeCell ref="B4:Q4"/>
  </mergeCells>
  <conditionalFormatting sqref="N6:N55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O6:O557">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Q6:Q557">
    <cfRule type="expression" dxfId="3" priority="41">
      <formula>$Q6="OK"</formula>
    </cfRule>
    <cfRule type="expression" dxfId="1" priority="42">
      <formula>AND($Q6&lt;&gt;"",$Q6&lt;&gt;"OK")</formula>
    </cfRule>
  </conditionalFormatting>
  <dataValidations count="9">
    <dataValidation type="textLength" allowBlank="1" showInputMessage="1" showErrorMessage="1" errorTitle="Check this entry" error="Text up to 30 characters." promptTitle="Tag no." prompt="The number on the tag hung at the machine. Each number once. Text up to 30 characters." sqref="B6:B557">
      <formula1>0</formula1>
      <formula2>30</formula2>
    </dataValidation>
    <dataValidation type="date" allowBlank="1" showInputMessage="1" showErrorMessage="1" errorTitle="Check this entry" error="Enter a date between 01 Jan 2000 and 31 Dec 2100." promptTitle="Date found" prompt="Enter a date between 01 Jan 2000 and 31 Dec 2100." sqref="C6:C557">
      <formula1>36526</formula1>
      <formula2>73415</formula2>
    </dataValidation>
    <dataValidation type="list" allowBlank="1" showInputMessage="1" showErrorMessage="1" errorTitle="Check this entry" error="Pick from the list (edit the list on Setup: Machines)." promptTitle="Machine" prompt="Pick from the list (edit the list on Setup: Machines)." sqref="D6:D557">
      <formula1>Machines</formula1>
    </dataValidation>
    <dataValidation type="list" allowBlank="1" showInputMessage="1" showErrorMessage="1" errorTitle="Check this entry" error="Pick one of: CILT check, Production, Changeover, Audit." promptTitle="Found during" prompt="Pick one of: CILT check, Production, Changeover, Audit." sqref="E6:E557">
      <formula1>"CILT check,Production,Changeover,Audit"</formula1>
    </dataValidation>
    <dataValidation type="list" allowBlank="1" showInputMessage="1" showErrorMessage="1" errorTitle="Check this entry" error="Pick from the list (edit the list on Setup: AbnTypes)." promptTitle="Abnormality type" prompt="Pick from the list (edit the list on Setup: AbnTypes)." sqref="F6:F557">
      <formula1>AbnTypes</formula1>
    </dataValidation>
    <dataValidation type="list" allowBlank="1" showInputMessage="1" showErrorMessage="1" errorTitle="Check this entry" error="Pick from the list (edit the list on Setup: TagTypes)." promptTitle="Tag type" prompt="Pick from the list (edit the list on Setup: TagTypes)." sqref="G6:G557">
      <formula1>TagTypes</formula1>
    </dataValidation>
    <dataValidation type="textLength" allowBlank="1" showInputMessage="1" showErrorMessage="1" errorTitle="Check this entry" error="Text up to 255 characters." promptTitle="Description" prompt="Text up to 255 characters." sqref="H6:H557">
      <formula1>0</formula1>
      <formula2>255</formula2>
    </dataValidation>
    <dataValidation type="list" allowBlank="1" showInputMessage="1" showErrorMessage="1" errorTitle="Check this entry" error="Pick one of: Open, Closed." promptTitle="Status" prompt="Closed when the abnormality is fixed and the fix is checked. Pick one of: Open, Closed." sqref="I6:I557">
      <formula1>"Open,Closed"</formula1>
    </dataValidation>
    <dataValidation type="date" allowBlank="1" showInputMessage="1" showErrorMessage="1" errorTitle="Check this entry" error="Enter a date between 01 Jan 2000 and 31 Dec 2100." promptTitle="Date closed" prompt="Leave blank while the tag is open. Enter a date between 01 Jan 2000 and 31 Dec 2100." sqref="J6:J557">
      <formula1>36526</formula1>
      <formula2>73415</formula2>
    </dataValidation>
  </dataValidations>
  <hyperlinks>
    <hyperlink ref="Q2" r:id="rId1" tooltip="Free manufacturing calculators and templates"/>
  </hyperlinks>
  <pageMargins left="0.4" right="0.4" top="0.7" bottom="0.65" header="0.3" footer="0.3"/>
  <pageSetup fitToHeight="0" orientation="landscape"/>
  <headerFooter>
    <oddHeader>&amp;L&amp;8MFG Calcs - TPM Autonomous Maintenance Checklist&amp;R&amp;8&amp;A</oddHeader>
    <oddFooter>&amp;L&amp;8mfgcalcs.com - free manufacturing templates&amp;R&amp;8Page &amp;P of &amp;N</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AQ68"/>
  <sheetViews>
    <sheetView showGridLines="0" zoomScale="90" zoomScaleNormal="90" workbookViewId="0"/>
  </sheetViews>
  <sheetFormatPr defaultRowHeight="15" x14ac:dyDescent="0.25"/>
  <cols>
    <col min="1" max="1" width="2.7109375" customWidth="1"/>
    <col min="2" max="2" width="20.7109375" customWidth="1"/>
    <col min="3" max="12" width="10.7109375" customWidth="1"/>
    <col min="41" max="43" width="12.7109375" hidden="1" customWidth="1"/>
  </cols>
  <sheetData>
    <row r="1" spans="1:12" ht="30" customHeight="1" x14ac:dyDescent="0.25">
      <c r="A1" s="1" t="s">
        <v>0</v>
      </c>
      <c r="B1" s="1"/>
      <c r="C1" s="1"/>
      <c r="D1" s="1"/>
      <c r="E1" s="1"/>
      <c r="F1" s="1"/>
      <c r="G1" s="1"/>
      <c r="H1" s="1"/>
      <c r="I1" s="1"/>
      <c r="J1" s="1"/>
      <c r="K1" s="1"/>
      <c r="L1" s="1"/>
    </row>
    <row r="2" spans="1:12" ht="21" customHeight="1" x14ac:dyDescent="0.25">
      <c r="B2" s="2" t="s">
        <v>28</v>
      </c>
      <c r="C2" s="2"/>
      <c r="D2" s="2"/>
      <c r="E2" s="2"/>
      <c r="F2" s="2"/>
      <c r="G2" s="2"/>
      <c r="H2" s="2"/>
      <c r="I2" s="2"/>
      <c r="J2" s="2"/>
      <c r="K2" s="3" t="s">
        <v>2</v>
      </c>
      <c r="L2" s="3"/>
    </row>
    <row r="3" spans="1:12" ht="6" customHeight="1" x14ac:dyDescent="0.25"/>
    <row r="4" spans="1:12" x14ac:dyDescent="0.25">
      <c r="B4" s="27" t="s">
        <v>66</v>
      </c>
      <c r="C4" s="28"/>
      <c r="D4" s="28"/>
      <c r="F4" s="27" t="s">
        <v>338</v>
      </c>
      <c r="G4" s="46"/>
      <c r="H4" s="46"/>
      <c r="J4" s="27" t="s">
        <v>339</v>
      </c>
      <c r="K4" s="46"/>
      <c r="L4" s="46"/>
    </row>
    <row r="5" spans="1:12" x14ac:dyDescent="0.25">
      <c r="B5" s="47" t="str">
        <f>"Showing "&amp;COUNTIFS(tblChecks[View date],"&gt;0")&amp;" machine-weeks of checks and "&amp;COUNTIFS(tblTags[View date],"&gt;0")&amp;" tags. Leave the filters blank to include everything; tag ages are measured to "&amp;TEXT(AsOf,"d mmm yyyy")&amp;"."</f>
        <v>Showing 48 machine-weeks of checks and 52 tags. Leave the filters blank to include everything; tag ages are measured to 9 Oct 2026.</v>
      </c>
      <c r="C5" s="47"/>
      <c r="D5" s="47"/>
      <c r="E5" s="47"/>
      <c r="F5" s="47"/>
      <c r="G5" s="47"/>
      <c r="H5" s="47"/>
      <c r="I5" s="47"/>
      <c r="J5" s="47"/>
      <c r="K5" s="47"/>
      <c r="L5" s="47"/>
    </row>
    <row r="7" spans="1:12" ht="18" customHeight="1" x14ac:dyDescent="0.25">
      <c r="B7" s="48" t="s">
        <v>340</v>
      </c>
      <c r="C7" s="48"/>
      <c r="D7" s="48" t="s">
        <v>341</v>
      </c>
      <c r="E7" s="48"/>
      <c r="F7" s="48"/>
      <c r="G7" s="48" t="s">
        <v>342</v>
      </c>
      <c r="H7" s="48"/>
      <c r="I7" s="48"/>
      <c r="J7" s="48" t="s">
        <v>343</v>
      </c>
      <c r="K7" s="48"/>
      <c r="L7" s="48"/>
    </row>
    <row r="8" spans="1:12" ht="21" customHeight="1" x14ac:dyDescent="0.25">
      <c r="B8" s="49">
        <f>IF((SUMIFS(tblChecks[Checks due],tblChecks[View date],"&gt;0"))=0,"",(SUMIFS(tblChecks[Checks done],tblChecks[View date],"&gt;0"))/(SUMIFS(tblChecks[Checks due],tblChecks[View date],"&gt;0")))</f>
        <v>0.923611111111111</v>
      </c>
      <c r="C8" s="49"/>
      <c r="D8" s="50">
        <f>SUMIFS(tblChecks[Missed],tblChecks[View date],"&gt;0")</f>
        <v>132</v>
      </c>
      <c r="E8" s="50"/>
      <c r="F8" s="50"/>
      <c r="G8" s="50">
        <f>COUNTIFS(tblTags[Status],"Open",tblTags[View date],"&gt;0")</f>
        <v>11</v>
      </c>
      <c r="H8" s="50"/>
      <c r="I8" s="50"/>
      <c r="J8" s="50">
        <f>COUNTIFS(tblTags[Due status],"Overdue",tblTags[View date],"&gt;0")</f>
        <v>4</v>
      </c>
      <c r="K8" s="50"/>
      <c r="L8" s="50"/>
    </row>
    <row r="9" spans="1:12" ht="21" customHeight="1" x14ac:dyDescent="0.25">
      <c r="B9" s="49"/>
      <c r="C9" s="49"/>
      <c r="D9" s="50"/>
      <c r="E9" s="50"/>
      <c r="F9" s="50"/>
      <c r="G9" s="50"/>
      <c r="H9" s="50"/>
      <c r="I9" s="50"/>
      <c r="J9" s="50"/>
      <c r="K9" s="50"/>
      <c r="L9" s="50"/>
    </row>
    <row r="10" spans="1:12" x14ac:dyDescent="0.25">
      <c r="B10" s="51">
        <f>TargetCompliance</f>
        <v>0.95</v>
      </c>
      <c r="C10" s="51"/>
      <c r="D10" s="52" t="s">
        <v>344</v>
      </c>
      <c r="E10" s="52"/>
      <c r="F10" s="52"/>
      <c r="G10" s="52" t="s">
        <v>345</v>
      </c>
      <c r="H10" s="52"/>
      <c r="I10" s="52"/>
      <c r="J10" s="52" t="s">
        <v>346</v>
      </c>
      <c r="K10" s="52"/>
      <c r="L10" s="52"/>
    </row>
    <row r="11" spans="1:12" ht="18" customHeight="1" x14ac:dyDescent="0.25">
      <c r="B11" s="53" t="str">
        <f>IF(NOT(ISNUMBER(KpiCompliance)),"No data",IF(KpiCompliance&gt;=(TargetCompliance),"On target",IF(KpiCompliance&gt;=(TargetCompliance)*(1-0.05),"Near target","Below target")))</f>
        <v>Near target</v>
      </c>
      <c r="C11" s="53"/>
      <c r="D11" s="53"/>
      <c r="E11" s="53"/>
      <c r="F11" s="53"/>
      <c r="G11" s="53"/>
      <c r="H11" s="53"/>
      <c r="I11" s="53"/>
      <c r="J11" s="53"/>
      <c r="K11" s="53"/>
      <c r="L11" s="53"/>
    </row>
    <row r="29" spans="2:12" ht="18" customHeight="1" x14ac:dyDescent="0.25">
      <c r="B29" s="48" t="s">
        <v>347</v>
      </c>
      <c r="C29" s="48"/>
      <c r="D29" s="48" t="s">
        <v>348</v>
      </c>
      <c r="E29" s="48"/>
      <c r="F29" s="48"/>
      <c r="G29" s="48" t="s">
        <v>349</v>
      </c>
      <c r="H29" s="48"/>
      <c r="I29" s="48"/>
      <c r="J29" s="48" t="s">
        <v>350</v>
      </c>
      <c r="K29" s="48"/>
      <c r="L29" s="48"/>
    </row>
    <row r="30" spans="2:12" ht="21" customHeight="1" x14ac:dyDescent="0.25">
      <c r="B30" s="50">
        <f>COUNTIFS(tblTags[View date],"&gt;0")</f>
        <v>52</v>
      </c>
      <c r="C30" s="50"/>
      <c r="D30" s="49">
        <f>IF((COUNTIFS(tblTags[Status],"Closed",tblTags[View date],"&gt;0"))=0,"",(COUNTIFS(tblTags[Closed on time],"Yes",tblTags[View date],"&gt;0"))/(COUNTIFS(tblTags[Status],"Closed",tblTags[View date],"&gt;0")))</f>
        <v>0.731707317073171</v>
      </c>
      <c r="E30" s="49"/>
      <c r="F30" s="49"/>
      <c r="G30" s="50">
        <f>IF(DashMachine="",SUM(tblStandard[Minutes per week]),SUMIFS(tblStandard[Minutes per week],tblStandard[Machine],DashMachine))</f>
        <v>658.5</v>
      </c>
      <c r="H30" s="50"/>
      <c r="I30" s="50"/>
      <c r="J30" s="54" t="str">
        <f>IF(INDEX($J$58:$J$64,1)&gt;0,INDEX($H$58:$H$64,1),"None logged")</f>
        <v>Contamination source</v>
      </c>
      <c r="K30" s="54"/>
      <c r="L30" s="54"/>
    </row>
    <row r="31" spans="2:12" ht="21" customHeight="1" x14ac:dyDescent="0.25">
      <c r="B31" s="50"/>
      <c r="C31" s="50"/>
      <c r="D31" s="49"/>
      <c r="E31" s="49"/>
      <c r="F31" s="49"/>
      <c r="G31" s="50"/>
      <c r="H31" s="50"/>
      <c r="I31" s="50"/>
      <c r="J31" s="54"/>
      <c r="K31" s="54"/>
      <c r="L31" s="54"/>
    </row>
    <row r="32" spans="2:12" x14ac:dyDescent="0.25">
      <c r="B32" s="52" t="s">
        <v>351</v>
      </c>
      <c r="C32" s="52"/>
      <c r="D32" s="52" t="s">
        <v>352</v>
      </c>
      <c r="E32" s="52"/>
      <c r="F32" s="52"/>
      <c r="G32" s="52" t="s">
        <v>353</v>
      </c>
      <c r="H32" s="52"/>
      <c r="I32" s="52"/>
      <c r="J32" s="52" t="s">
        <v>354</v>
      </c>
      <c r="K32" s="52"/>
      <c r="L32" s="52"/>
    </row>
    <row r="33" spans="2:12" ht="18" customHeight="1" x14ac:dyDescent="0.25">
      <c r="B33" s="53"/>
      <c r="C33" s="53"/>
      <c r="D33" s="53"/>
      <c r="E33" s="53"/>
      <c r="F33" s="53"/>
      <c r="G33" s="53"/>
      <c r="H33" s="53"/>
      <c r="I33" s="53"/>
      <c r="J33" s="53"/>
      <c r="K33" s="53"/>
      <c r="L33" s="53"/>
    </row>
    <row r="35" spans="2:12" x14ac:dyDescent="0.25">
      <c r="B35" s="32" t="s">
        <v>355</v>
      </c>
      <c r="C35" s="32"/>
      <c r="D35" s="32"/>
      <c r="E35" s="32"/>
      <c r="F35" s="32"/>
      <c r="G35" s="32"/>
      <c r="H35" s="32"/>
      <c r="I35" s="32"/>
      <c r="J35" s="32"/>
    </row>
    <row r="36" spans="2:12" ht="32" customHeight="1" x14ac:dyDescent="0.25">
      <c r="B36" s="55" t="s">
        <v>66</v>
      </c>
      <c r="C36" s="33" t="s">
        <v>356</v>
      </c>
      <c r="D36" s="33" t="s">
        <v>357</v>
      </c>
      <c r="E36" s="33" t="s">
        <v>238</v>
      </c>
      <c r="F36" s="33" t="s">
        <v>239</v>
      </c>
      <c r="G36" s="33" t="s">
        <v>242</v>
      </c>
      <c r="H36" s="33" t="s">
        <v>358</v>
      </c>
      <c r="I36" s="33" t="s">
        <v>359</v>
      </c>
      <c r="J36" s="33" t="s">
        <v>360</v>
      </c>
    </row>
    <row r="37" spans="2:12" x14ac:dyDescent="0.25">
      <c r="B37" s="56" t="str">
        <f>IFERROR(INDEX(tblMachines[Machine],1)&amp;"","")</f>
        <v>EX-1</v>
      </c>
      <c r="C37" s="42">
        <f>IF($B$37="","",COUNTIFS(tblStandard[Machine],$B$37))</f>
        <v>7</v>
      </c>
      <c r="D37" s="42">
        <f>IF($B$37="","",SUMIFS(tblStandard[Minutes per week],tblStandard[Machine],$B$37))</f>
        <v>93</v>
      </c>
      <c r="E37" s="42">
        <f>IF($B$37="","",SUMIFS(tblChecks[Checks due],tblChecks[Machine],$B$37,tblChecks[View date],"&gt;0"))</f>
        <v>258</v>
      </c>
      <c r="F37" s="42">
        <f>IF($B$37="","",SUMIFS(tblChecks[Checks done],tblChecks[Machine],$B$37,tblChecks[View date],"&gt;0"))</f>
        <v>246</v>
      </c>
      <c r="G37" s="43">
        <f>IF($B$37="","",IF((SUMIFS(tblChecks[Checks due],tblChecks[Machine],$B$37,tblChecks[View date],"&gt;0"))=0,"",(SUMIFS(tblChecks[Checks done],tblChecks[Machine],$B$37,tblChecks[View date],"&gt;0"))/(SUMIFS(tblChecks[Checks due],tblChecks[Machine],$B$37,tblChecks[View date],"&gt;0"))))</f>
        <v>0.953488372093023</v>
      </c>
      <c r="H37" s="42">
        <f>IF($B$37="","",COUNTIFS(tblTags[Machine],$B$37,tblTags[View date],"&gt;0"))</f>
        <v>9</v>
      </c>
      <c r="I37" s="42">
        <f>IF($B$37="","",COUNTIFS(tblTags[Status],"Open",tblTags[Machine],$B$37,tblTags[View date],"&gt;0"))</f>
        <v>1</v>
      </c>
      <c r="J37" s="42">
        <f>IF($B$37="","",COUNTIFS(tblTags[Due status],"Overdue",tblTags[Machine],$B$37,tblTags[View date],"&gt;0"))</f>
        <v>0</v>
      </c>
    </row>
    <row r="38" spans="2:12" x14ac:dyDescent="0.25">
      <c r="B38" s="56" t="str">
        <f>IFERROR(INDEX(tblMachines[Machine],2)&amp;"","")</f>
        <v>PR-1</v>
      </c>
      <c r="C38" s="42">
        <f>IF($B$38="","",COUNTIFS(tblStandard[Machine],$B$38))</f>
        <v>7</v>
      </c>
      <c r="D38" s="42">
        <f>IF($B$38="","",SUMIFS(tblStandard[Minutes per week],tblStandard[Machine],$B$38))</f>
        <v>176</v>
      </c>
      <c r="E38" s="42">
        <f>IF($B$38="","",SUMIFS(tblChecks[Checks due],tblChecks[Machine],$B$38,tblChecks[View date],"&gt;0"))</f>
        <v>359</v>
      </c>
      <c r="F38" s="42">
        <f>IF($B$38="","",SUMIFS(tblChecks[Checks done],tblChecks[Machine],$B$38,tblChecks[View date],"&gt;0"))</f>
        <v>341</v>
      </c>
      <c r="G38" s="43">
        <f>IF($B$38="","",IF((SUMIFS(tblChecks[Checks due],tblChecks[Machine],$B$38,tblChecks[View date],"&gt;0"))=0,"",(SUMIFS(tblChecks[Checks done],tblChecks[Machine],$B$38,tblChecks[View date],"&gt;0"))/(SUMIFS(tblChecks[Checks due],tblChecks[Machine],$B$38,tblChecks[View date],"&gt;0"))))</f>
        <v>0.949860724233983</v>
      </c>
      <c r="H38" s="42">
        <f>IF($B$38="","",COUNTIFS(tblTags[Machine],$B$38,tblTags[View date],"&gt;0"))</f>
        <v>7</v>
      </c>
      <c r="I38" s="42">
        <f>IF($B$38="","",COUNTIFS(tblTags[Status],"Open",tblTags[Machine],$B$38,tblTags[View date],"&gt;0"))</f>
        <v>1</v>
      </c>
      <c r="J38" s="42">
        <f>IF($B$38="","",COUNTIFS(tblTags[Due status],"Overdue",tblTags[Machine],$B$38,tblTags[View date],"&gt;0"))</f>
        <v>0</v>
      </c>
    </row>
    <row r="39" spans="2:12" x14ac:dyDescent="0.25">
      <c r="B39" s="56" t="str">
        <f>IFERROR(INDEX(tblMachines[Machine],3)&amp;"","")</f>
        <v>LM-1</v>
      </c>
      <c r="C39" s="42">
        <f>IF($B$39="","",COUNTIFS(tblStandard[Machine],$B$39))</f>
        <v>6</v>
      </c>
      <c r="D39" s="42">
        <f>IF($B$39="","",SUMIFS(tblStandard[Minutes per week],tblStandard[Machine],$B$39))</f>
        <v>101.5</v>
      </c>
      <c r="E39" s="42">
        <f>IF($B$39="","",SUMIFS(tblChecks[Checks due],tblChecks[Machine],$B$39,tblChecks[View date],"&gt;0"))</f>
        <v>213</v>
      </c>
      <c r="F39" s="42">
        <f>IF($B$39="","",SUMIFS(tblChecks[Checks done],tblChecks[Machine],$B$39,tblChecks[View date],"&gt;0"))</f>
        <v>201</v>
      </c>
      <c r="G39" s="43">
        <f>IF($B$39="","",IF((SUMIFS(tblChecks[Checks due],tblChecks[Machine],$B$39,tblChecks[View date],"&gt;0"))=0,"",(SUMIFS(tblChecks[Checks done],tblChecks[Machine],$B$39,tblChecks[View date],"&gt;0"))/(SUMIFS(tblChecks[Checks due],tblChecks[Machine],$B$39,tblChecks[View date],"&gt;0"))))</f>
        <v>0.943661971830986</v>
      </c>
      <c r="H39" s="42">
        <f>IF($B$39="","",COUNTIFS(tblTags[Machine],$B$39,tblTags[View date],"&gt;0"))</f>
        <v>8</v>
      </c>
      <c r="I39" s="42">
        <f>IF($B$39="","",COUNTIFS(tblTags[Status],"Open",tblTags[Machine],$B$39,tblTags[View date],"&gt;0"))</f>
        <v>3</v>
      </c>
      <c r="J39" s="42">
        <f>IF($B$39="","",COUNTIFS(tblTags[Due status],"Overdue",tblTags[Machine],$B$39,tblTags[View date],"&gt;0"))</f>
        <v>1</v>
      </c>
    </row>
    <row r="40" spans="2:12" x14ac:dyDescent="0.25">
      <c r="B40" s="56" t="str">
        <f>IFERROR(INDEX(tblMachines[Machine],4)&amp;"","")</f>
        <v>SL-1</v>
      </c>
      <c r="C40" s="42">
        <f>IF($B$40="","",COUNTIFS(tblStandard[Machine],$B$40))</f>
        <v>6</v>
      </c>
      <c r="D40" s="42">
        <f>IF($B$40="","",SUMIFS(tblStandard[Minutes per week],tblStandard[Machine],$B$40))</f>
        <v>104</v>
      </c>
      <c r="E40" s="42">
        <f>IF($B$40="","",SUMIFS(tblChecks[Checks due],tblChecks[Machine],$B$40,tblChecks[View date],"&gt;0"))</f>
        <v>320</v>
      </c>
      <c r="F40" s="42">
        <f>IF($B$40="","",SUMIFS(tblChecks[Checks done],tblChecks[Machine],$B$40,tblChecks[View date],"&gt;0"))</f>
        <v>296</v>
      </c>
      <c r="G40" s="43">
        <f>IF($B$40="","",IF((SUMIFS(tblChecks[Checks due],tblChecks[Machine],$B$40,tblChecks[View date],"&gt;0"))=0,"",(SUMIFS(tblChecks[Checks done],tblChecks[Machine],$B$40,tblChecks[View date],"&gt;0"))/(SUMIFS(tblChecks[Checks due],tblChecks[Machine],$B$40,tblChecks[View date],"&gt;0"))))</f>
        <v>0.925</v>
      </c>
      <c r="H40" s="42">
        <f>IF($B$40="","",COUNTIFS(tblTags[Machine],$B$40,tblTags[View date],"&gt;0"))</f>
        <v>8</v>
      </c>
      <c r="I40" s="42">
        <f>IF($B$40="","",COUNTIFS(tblTags[Status],"Open",tblTags[Machine],$B$40,tblTags[View date],"&gt;0"))</f>
        <v>2</v>
      </c>
      <c r="J40" s="42">
        <f>IF($B$40="","",COUNTIFS(tblTags[Due status],"Overdue",tblTags[Machine],$B$40,tblTags[View date],"&gt;0"))</f>
        <v>1</v>
      </c>
    </row>
    <row r="41" spans="2:12" x14ac:dyDescent="0.25">
      <c r="B41" s="56" t="str">
        <f>IFERROR(INDEX(tblMachines[Machine],5)&amp;"","")</f>
        <v>SL-2</v>
      </c>
      <c r="C41" s="42">
        <f>IF($B$41="","",COUNTIFS(tblStandard[Machine],$B$41))</f>
        <v>6</v>
      </c>
      <c r="D41" s="42">
        <f>IF($B$41="","",SUMIFS(tblStandard[Minutes per week],tblStandard[Machine],$B$41))</f>
        <v>104</v>
      </c>
      <c r="E41" s="42">
        <f>IF($B$41="","",SUMIFS(tblChecks[Checks due],tblChecks[Machine],$B$41,tblChecks[View date],"&gt;0"))</f>
        <v>320</v>
      </c>
      <c r="F41" s="42">
        <f>IF($B$41="","",SUMIFS(tblChecks[Checks done],tblChecks[Machine],$B$41,tblChecks[View date],"&gt;0"))</f>
        <v>264</v>
      </c>
      <c r="G41" s="43">
        <f>IF($B$41="","",IF((SUMIFS(tblChecks[Checks due],tblChecks[Machine],$B$41,tblChecks[View date],"&gt;0"))=0,"",(SUMIFS(tblChecks[Checks done],tblChecks[Machine],$B$41,tblChecks[View date],"&gt;0"))/(SUMIFS(tblChecks[Checks due],tblChecks[Machine],$B$41,tblChecks[View date],"&gt;0"))))</f>
        <v>0.825</v>
      </c>
      <c r="H41" s="42">
        <f>IF($B$41="","",COUNTIFS(tblTags[Machine],$B$41,tblTags[View date],"&gt;0"))</f>
        <v>14</v>
      </c>
      <c r="I41" s="42">
        <f>IF($B$41="","",COUNTIFS(tblTags[Status],"Open",tblTags[Machine],$B$41,tblTags[View date],"&gt;0"))</f>
        <v>3</v>
      </c>
      <c r="J41" s="42">
        <f>IF($B$41="","",COUNTIFS(tblTags[Due status],"Overdue",tblTags[Machine],$B$41,tblTags[View date],"&gt;0"))</f>
        <v>2</v>
      </c>
    </row>
    <row r="42" spans="2:12" x14ac:dyDescent="0.25">
      <c r="B42" s="56" t="str">
        <f>IFERROR(INDEX(tblMachines[Machine],6)&amp;"","")</f>
        <v>BM-1</v>
      </c>
      <c r="C42" s="42">
        <f>IF($B$42="","",COUNTIFS(tblStandard[Machine],$B$42))</f>
        <v>7</v>
      </c>
      <c r="D42" s="42">
        <f>IF($B$42="","",SUMIFS(tblStandard[Minutes per week],tblStandard[Machine],$B$42))</f>
        <v>80</v>
      </c>
      <c r="E42" s="42">
        <f>IF($B$42="","",SUMIFS(tblChecks[Checks due],tblChecks[Machine],$B$42,tblChecks[View date],"&gt;0"))</f>
        <v>258</v>
      </c>
      <c r="F42" s="42">
        <f>IF($B$42="","",SUMIFS(tblChecks[Checks done],tblChecks[Machine],$B$42,tblChecks[View date],"&gt;0"))</f>
        <v>248</v>
      </c>
      <c r="G42" s="43">
        <f>IF($B$42="","",IF((SUMIFS(tblChecks[Checks due],tblChecks[Machine],$B$42,tblChecks[View date],"&gt;0"))=0,"",(SUMIFS(tblChecks[Checks done],tblChecks[Machine],$B$42,tblChecks[View date],"&gt;0"))/(SUMIFS(tblChecks[Checks due],tblChecks[Machine],$B$42,tblChecks[View date],"&gt;0"))))</f>
        <v>0.961240310077519</v>
      </c>
      <c r="H42" s="42">
        <f>IF($B$42="","",COUNTIFS(tblTags[Machine],$B$42,tblTags[View date],"&gt;0"))</f>
        <v>6</v>
      </c>
      <c r="I42" s="42">
        <f>IF($B$42="","",COUNTIFS(tblTags[Status],"Open",tblTags[Machine],$B$42,tblTags[View date],"&gt;0"))</f>
        <v>1</v>
      </c>
      <c r="J42" s="42">
        <f>IF($B$42="","",COUNTIFS(tblTags[Due status],"Overdue",tblTags[Machine],$B$42,tblTags[View date],"&gt;0"))</f>
        <v>0</v>
      </c>
    </row>
    <row r="44" spans="2:12" x14ac:dyDescent="0.25">
      <c r="B44" s="32" t="s">
        <v>361</v>
      </c>
      <c r="C44" s="32"/>
      <c r="D44" s="32"/>
      <c r="E44" s="32"/>
      <c r="F44" s="32"/>
      <c r="G44" s="32"/>
      <c r="H44" s="32"/>
    </row>
    <row r="45" spans="2:12" ht="20" customHeight="1" x14ac:dyDescent="0.25">
      <c r="B45" s="55" t="s">
        <v>362</v>
      </c>
      <c r="C45" s="33" t="s">
        <v>238</v>
      </c>
      <c r="D45" s="33" t="s">
        <v>239</v>
      </c>
      <c r="E45" s="33" t="s">
        <v>241</v>
      </c>
      <c r="F45" s="33" t="s">
        <v>242</v>
      </c>
      <c r="G45" s="33" t="s">
        <v>363</v>
      </c>
      <c r="H45" s="33" t="s">
        <v>358</v>
      </c>
    </row>
    <row r="46" spans="2:12" x14ac:dyDescent="0.25">
      <c r="B46" s="57">
        <f>IF($B$47="","",IFERROR(LARGE(tblChecks[View date],COUNTIF(tblChecks[View date],"&gt;="&amp;$B$47)+1),""))</f>
        <v>46251</v>
      </c>
      <c r="C46" s="42">
        <f>IF($B$46="","",SUMIFS(tblChecks[Checks due],tblChecks[View date],$B$46))</f>
        <v>221</v>
      </c>
      <c r="D46" s="42">
        <f>IF($B$46="","",SUMIFS(tblChecks[Checks done],tblChecks[View date],$B$46))</f>
        <v>205</v>
      </c>
      <c r="E46" s="42">
        <f>IF($B$46="","",SUMIFS(tblChecks[Missed],tblChecks[View date],$B$46))</f>
        <v>16</v>
      </c>
      <c r="F46" s="43">
        <f>IF($B$46="","",IF((SUMIFS(tblChecks[Checks due],tblChecks[View date],$B$46))=0,"",(SUMIFS(tblChecks[Checks done],tblChecks[View date],$B$46))/(SUMIFS(tblChecks[Checks due],tblChecks[View date],$B$46))))</f>
        <v>0.927601809954751</v>
      </c>
      <c r="G46" s="58">
        <f>TargetCompliance</f>
        <v>0.95</v>
      </c>
      <c r="H46" s="42">
        <f>IF($B$46="","",COUNTIFS(tblTags[View date],"&gt;="&amp;$B$46,tblTags[View date],"&lt;"&amp;$B$46+7))</f>
        <v>6</v>
      </c>
    </row>
    <row r="47" spans="2:12" x14ac:dyDescent="0.25">
      <c r="B47" s="57">
        <f>IF($B$48="","",IFERROR(LARGE(tblChecks[View date],COUNTIF(tblChecks[View date],"&gt;="&amp;$B$48)+1),""))</f>
        <v>46258</v>
      </c>
      <c r="C47" s="42">
        <f>IF($B$47="","",SUMIFS(tblChecks[Checks due],tblChecks[View date],$B$47))</f>
        <v>221</v>
      </c>
      <c r="D47" s="42">
        <f>IF($B$47="","",SUMIFS(tblChecks[Checks done],tblChecks[View date],$B$47))</f>
        <v>208</v>
      </c>
      <c r="E47" s="42">
        <f>IF($B$47="","",SUMIFS(tblChecks[Missed],tblChecks[View date],$B$47))</f>
        <v>13</v>
      </c>
      <c r="F47" s="43">
        <f>IF($B$47="","",IF((SUMIFS(tblChecks[Checks due],tblChecks[View date],$B$47))=0,"",(SUMIFS(tblChecks[Checks done],tblChecks[View date],$B$47))/(SUMIFS(tblChecks[Checks due],tblChecks[View date],$B$47))))</f>
        <v>0.941176470588235</v>
      </c>
      <c r="G47" s="58">
        <f>TargetCompliance</f>
        <v>0.95</v>
      </c>
      <c r="H47" s="42">
        <f>IF($B$47="","",COUNTIFS(tblTags[View date],"&gt;="&amp;$B$47,tblTags[View date],"&lt;"&amp;$B$47+7))</f>
        <v>7</v>
      </c>
    </row>
    <row r="48" spans="2:12" x14ac:dyDescent="0.25">
      <c r="B48" s="57">
        <f>IF($B$49="","",IFERROR(LARGE(tblChecks[View date],COUNTIF(tblChecks[View date],"&gt;="&amp;$B$49)+1),""))</f>
        <v>46265</v>
      </c>
      <c r="C48" s="42">
        <f>IF($B$48="","",SUMIFS(tblChecks[Checks due],tblChecks[View date],$B$48))</f>
        <v>222</v>
      </c>
      <c r="D48" s="42">
        <f>IF($B$48="","",SUMIFS(tblChecks[Checks done],tblChecks[View date],$B$48))</f>
        <v>209</v>
      </c>
      <c r="E48" s="42">
        <f>IF($B$48="","",SUMIFS(tblChecks[Missed],tblChecks[View date],$B$48))</f>
        <v>13</v>
      </c>
      <c r="F48" s="43">
        <f>IF($B$48="","",IF((SUMIFS(tblChecks[Checks due],tblChecks[View date],$B$48))=0,"",(SUMIFS(tblChecks[Checks done],tblChecks[View date],$B$48))/(SUMIFS(tblChecks[Checks due],tblChecks[View date],$B$48))))</f>
        <v>0.941441441441442</v>
      </c>
      <c r="G48" s="58">
        <f>TargetCompliance</f>
        <v>0.95</v>
      </c>
      <c r="H48" s="42">
        <f>IF($B$48="","",COUNTIFS(tblTags[View date],"&gt;="&amp;$B$48,tblTags[View date],"&lt;"&amp;$B$48+7))</f>
        <v>6</v>
      </c>
    </row>
    <row r="49" spans="2:43" x14ac:dyDescent="0.25">
      <c r="B49" s="57">
        <f>IF($B$50="","",IFERROR(LARGE(tblChecks[View date],COUNTIF(tblChecks[View date],"&gt;="&amp;$B$50)+1),""))</f>
        <v>46272</v>
      </c>
      <c r="C49" s="42">
        <f>IF($B$49="","",SUMIFS(tblChecks[Checks due],tblChecks[View date],$B$49))</f>
        <v>179</v>
      </c>
      <c r="D49" s="42">
        <f>IF($B$49="","",SUMIFS(tblChecks[Checks done],tblChecks[View date],$B$49))</f>
        <v>159</v>
      </c>
      <c r="E49" s="42">
        <f>IF($B$49="","",SUMIFS(tblChecks[Missed],tblChecks[View date],$B$49))</f>
        <v>20</v>
      </c>
      <c r="F49" s="43">
        <f>IF($B$49="","",IF((SUMIFS(tblChecks[Checks due],tblChecks[View date],$B$49))=0,"",(SUMIFS(tblChecks[Checks done],tblChecks[View date],$B$49))/(SUMIFS(tblChecks[Checks due],tblChecks[View date],$B$49))))</f>
        <v>0.888268156424581</v>
      </c>
      <c r="G49" s="58">
        <f>TargetCompliance</f>
        <v>0.95</v>
      </c>
      <c r="H49" s="42">
        <f>IF($B$49="","",COUNTIFS(tblTags[View date],"&gt;="&amp;$B$49,tblTags[View date],"&lt;"&amp;$B$49+7))</f>
        <v>7</v>
      </c>
    </row>
    <row r="50" spans="2:43" x14ac:dyDescent="0.25">
      <c r="B50" s="57">
        <f>IF($B$51="","",IFERROR(LARGE(tblChecks[View date],COUNTIF(tblChecks[View date],"&gt;="&amp;$B$51)+1),""))</f>
        <v>46279</v>
      </c>
      <c r="C50" s="42">
        <f>IF($B$50="","",SUMIFS(tblChecks[Checks due],tblChecks[View date],$B$50))</f>
        <v>221</v>
      </c>
      <c r="D50" s="42">
        <f>IF($B$50="","",SUMIFS(tblChecks[Checks done],tblChecks[View date],$B$50))</f>
        <v>196</v>
      </c>
      <c r="E50" s="42">
        <f>IF($B$50="","",SUMIFS(tblChecks[Missed],tblChecks[View date],$B$50))</f>
        <v>25</v>
      </c>
      <c r="F50" s="43">
        <f>IF($B$50="","",IF((SUMIFS(tblChecks[Checks due],tblChecks[View date],$B$50))=0,"",(SUMIFS(tblChecks[Checks done],tblChecks[View date],$B$50))/(SUMIFS(tblChecks[Checks due],tblChecks[View date],$B$50))))</f>
        <v>0.886877828054299</v>
      </c>
      <c r="G50" s="58">
        <f>TargetCompliance</f>
        <v>0.95</v>
      </c>
      <c r="H50" s="42">
        <f>IF($B$50="","",COUNTIFS(tblTags[View date],"&gt;="&amp;$B$50,tblTags[View date],"&lt;"&amp;$B$50+7))</f>
        <v>6</v>
      </c>
    </row>
    <row r="51" spans="2:43" x14ac:dyDescent="0.25">
      <c r="B51" s="57">
        <f>IF($B$52="","",IFERROR(LARGE(tblChecks[View date],COUNTIF(tblChecks[View date],"&gt;="&amp;$B$52)+1),""))</f>
        <v>46286</v>
      </c>
      <c r="C51" s="42">
        <f>IF($B$51="","",SUMIFS(tblChecks[Checks due],tblChecks[View date],$B$51))</f>
        <v>221</v>
      </c>
      <c r="D51" s="42">
        <f>IF($B$51="","",SUMIFS(tblChecks[Checks done],tblChecks[View date],$B$51))</f>
        <v>207</v>
      </c>
      <c r="E51" s="42">
        <f>IF($B$51="","",SUMIFS(tblChecks[Missed],tblChecks[View date],$B$51))</f>
        <v>14</v>
      </c>
      <c r="F51" s="43">
        <f>IF($B$51="","",IF((SUMIFS(tblChecks[Checks due],tblChecks[View date],$B$51))=0,"",(SUMIFS(tblChecks[Checks done],tblChecks[View date],$B$51))/(SUMIFS(tblChecks[Checks due],tblChecks[View date],$B$51))))</f>
        <v>0.936651583710407</v>
      </c>
      <c r="G51" s="58">
        <f>TargetCompliance</f>
        <v>0.95</v>
      </c>
      <c r="H51" s="42">
        <f>IF($B$51="","",COUNTIFS(tblTags[View date],"&gt;="&amp;$B$51,tblTags[View date],"&lt;"&amp;$B$51+7))</f>
        <v>8</v>
      </c>
    </row>
    <row r="52" spans="2:43" x14ac:dyDescent="0.25">
      <c r="B52" s="57">
        <f>IF($B$53="","",IFERROR(LARGE(tblChecks[View date],COUNTIF(tblChecks[View date],"&gt;="&amp;$B$53)+1),""))</f>
        <v>46293</v>
      </c>
      <c r="C52" s="42">
        <f>IF($B$52="","",SUMIFS(tblChecks[Checks due],tblChecks[View date],$B$52))</f>
        <v>222</v>
      </c>
      <c r="D52" s="42">
        <f>IF($B$52="","",SUMIFS(tblChecks[Checks done],tblChecks[View date],$B$52))</f>
        <v>208</v>
      </c>
      <c r="E52" s="42">
        <f>IF($B$52="","",SUMIFS(tblChecks[Missed],tblChecks[View date],$B$52))</f>
        <v>14</v>
      </c>
      <c r="F52" s="43">
        <f>IF($B$52="","",IF((SUMIFS(tblChecks[Checks due],tblChecks[View date],$B$52))=0,"",(SUMIFS(tblChecks[Checks done],tblChecks[View date],$B$52))/(SUMIFS(tblChecks[Checks due],tblChecks[View date],$B$52))))</f>
        <v>0.936936936936937</v>
      </c>
      <c r="G52" s="58">
        <f>TargetCompliance</f>
        <v>0.95</v>
      </c>
      <c r="H52" s="42">
        <f>IF($B$52="","",COUNTIFS(tblTags[View date],"&gt;="&amp;$B$52,tblTags[View date],"&lt;"&amp;$B$52+7))</f>
        <v>8</v>
      </c>
    </row>
    <row r="53" spans="2:43" x14ac:dyDescent="0.25">
      <c r="B53" s="57">
        <f>IF(COUNT(tblChecks[View date])=0,"",MAX(tblChecks[View date]))</f>
        <v>46300</v>
      </c>
      <c r="C53" s="42">
        <f>IF($B$53="","",SUMIFS(tblChecks[Checks due],tblChecks[View date],$B$53))</f>
        <v>221</v>
      </c>
      <c r="D53" s="42">
        <f>IF($B$53="","",SUMIFS(tblChecks[Checks done],tblChecks[View date],$B$53))</f>
        <v>204</v>
      </c>
      <c r="E53" s="42">
        <f>IF($B$53="","",SUMIFS(tblChecks[Missed],tblChecks[View date],$B$53))</f>
        <v>17</v>
      </c>
      <c r="F53" s="43">
        <f>IF($B$53="","",IF((SUMIFS(tblChecks[Checks due],tblChecks[View date],$B$53))=0,"",(SUMIFS(tblChecks[Checks done],tblChecks[View date],$B$53))/(SUMIFS(tblChecks[Checks due],tblChecks[View date],$B$53))))</f>
        <v>0.923076923076923</v>
      </c>
      <c r="G53" s="58">
        <f>TargetCompliance</f>
        <v>0.95</v>
      </c>
      <c r="H53" s="42">
        <f>IF($B$53="","",COUNTIFS(tblTags[View date],"&gt;="&amp;$B$53,tblTags[View date],"&lt;"&amp;$B$53+7))</f>
        <v>4</v>
      </c>
    </row>
    <row r="55" spans="2:43" x14ac:dyDescent="0.25">
      <c r="B55" s="32" t="s">
        <v>364</v>
      </c>
      <c r="C55" s="32"/>
      <c r="D55" s="32"/>
      <c r="E55" s="32"/>
      <c r="F55" s="32"/>
      <c r="G55" s="32" t="s">
        <v>365</v>
      </c>
      <c r="H55" s="32"/>
      <c r="I55" s="32"/>
      <c r="J55" s="32"/>
      <c r="K55" s="32"/>
      <c r="L55" s="32"/>
    </row>
    <row r="56" spans="2:43" ht="32" customHeight="1" x14ac:dyDescent="0.25">
      <c r="B56" s="55" t="s">
        <v>75</v>
      </c>
      <c r="C56" s="33" t="s">
        <v>366</v>
      </c>
      <c r="D56" s="33" t="s">
        <v>284</v>
      </c>
      <c r="E56" s="33" t="s">
        <v>367</v>
      </c>
      <c r="F56" s="33" t="s">
        <v>258</v>
      </c>
      <c r="G56" s="33" t="s">
        <v>368</v>
      </c>
      <c r="H56" s="55" t="s">
        <v>72</v>
      </c>
      <c r="I56" s="55"/>
      <c r="J56" s="33" t="s">
        <v>369</v>
      </c>
      <c r="K56" s="33" t="s">
        <v>370</v>
      </c>
      <c r="L56" s="33" t="s">
        <v>371</v>
      </c>
      <c r="AO56" s="7" t="s">
        <v>372</v>
      </c>
      <c r="AP56" s="7" t="s">
        <v>373</v>
      </c>
      <c r="AQ56" s="7" t="s">
        <v>374</v>
      </c>
    </row>
    <row r="57" spans="2:43" x14ac:dyDescent="0.25">
      <c r="B57" s="56" t="str">
        <f>IFERROR(INDEX(tblTagTypes[Tag type],1)&amp;"","")</f>
        <v>Operator tag</v>
      </c>
      <c r="C57" s="42">
        <f>IF($B$57="","",COUNTIFS(tblTags[Tag type],$B$57,tblTags[View date],"&gt;0"))</f>
        <v>33</v>
      </c>
      <c r="D57" s="42">
        <f>IF($B$57="","",COUNTIFS(tblTags[Status],"Open",tblTags[Tag type],$B$57,tblTags[View date],"&gt;0"))</f>
        <v>1</v>
      </c>
      <c r="E57" s="42">
        <f>IF($B$57="","",COUNTIFS(tblTags[Due status],"Overdue",tblTags[Tag type],$B$57,tblTags[View date],"&gt;0"))</f>
        <v>0</v>
      </c>
      <c r="F57" s="43">
        <f>IF($B$57="","",IF((COUNTIFS(tblTags[Status],"Closed",tblTags[Tag type],$B$57,tblTags[View date],"&gt;0"))=0,"",(COUNTIFS(tblTags[Closed on time],"Yes",tblTags[Tag type],$B$57,tblTags[View date],"&gt;0"))/(COUNTIFS(tblTags[Status],"Closed",tblTags[Tag type],$B$57,tblTags[View date],"&gt;0"))))</f>
        <v>0.75</v>
      </c>
      <c r="G57" s="59"/>
      <c r="H57" s="59"/>
      <c r="I57" s="59"/>
      <c r="J57" s="59" t="s">
        <v>375</v>
      </c>
      <c r="K57" s="59" t="s">
        <v>376</v>
      </c>
      <c r="L57" s="59" t="s">
        <v>376</v>
      </c>
    </row>
    <row r="58" spans="2:43" x14ac:dyDescent="0.25">
      <c r="B58" s="56" t="str">
        <f>IFERROR(INDEX(tblTagTypes[Tag type],2)&amp;"","")</f>
        <v>Maintenance tag</v>
      </c>
      <c r="C58" s="42">
        <f>IF($B$58="","",COUNTIFS(tblTags[Tag type],$B$58,tblTags[View date],"&gt;0"))</f>
        <v>17</v>
      </c>
      <c r="D58" s="42">
        <f>IF($B$58="","",COUNTIFS(tblTags[Status],"Open",tblTags[Tag type],$B$58,tblTags[View date],"&gt;0"))</f>
        <v>10</v>
      </c>
      <c r="E58" s="42">
        <f>IF($B$58="","",COUNTIFS(tblTags[Due status],"Overdue",tblTags[Tag type],$B$58,tblTags[View date],"&gt;0"))</f>
        <v>4</v>
      </c>
      <c r="F58" s="43">
        <f>IF($B$58="","",IF((COUNTIFS(tblTags[Status],"Closed",tblTags[Tag type],$B$58,tblTags[View date],"&gt;0"))=0,"",(COUNTIFS(tblTags[Closed on time],"Yes",tblTags[Tag type],$B$58,tblTags[View date],"&gt;0"))/(COUNTIFS(tblTags[Status],"Closed",tblTags[Tag type],$B$58,tblTags[View date],"&gt;0"))))</f>
        <v>0.571428571428571</v>
      </c>
      <c r="G58" s="60">
        <v>1</v>
      </c>
      <c r="H58" s="41" t="str">
        <f>IF(INDEX($AP$58:$AP$64,MATCH(1,$AQ$58:$AQ$64,0))&lt;0,"",INDEX($AO$58:$AO$64,MATCH(1,$AQ$58:$AQ$64,0)))</f>
        <v>Contamination source</v>
      </c>
      <c r="I58" s="41"/>
      <c r="J58" s="42">
        <f>IF($H$58="","",INDEX($AP$58:$AP$64,MATCH(1,$AQ$58:$AQ$64,0)))</f>
        <v>22</v>
      </c>
      <c r="K58" s="43">
        <f>IF(OR($H$58="",$J$65=0),"",$J$58/$J$65)</f>
        <v>0.423076923076923</v>
      </c>
      <c r="L58" s="43">
        <f>IF(OR($H$58="",$J$65=0),"",SUM($J$58:$J$58)/$J$65)</f>
        <v>0.423076923076923</v>
      </c>
      <c r="AO58" s="11" t="str">
        <f>IFERROR(INDEX(tblAbnTypes[Abnormality type],1)&amp;"","")</f>
        <v>Contamination source</v>
      </c>
      <c r="AP58" s="61">
        <f>IF($AO$58="",-1,COUNTIFS(tblTags[Abnormality type],$AO$58,tblTags[View date],"&gt;0"))</f>
        <v>22</v>
      </c>
      <c r="AQ58" s="61">
        <f>COUNTIF($AP$58:$AP$64,"&gt;"&amp;$AP$58)+COUNTIF($AP$58:$AP$58,$AP$58)</f>
        <v>1</v>
      </c>
    </row>
    <row r="59" spans="2:43" x14ac:dyDescent="0.25">
      <c r="B59" s="56" t="str">
        <f>IFERROR(INDEX(tblTagTypes[Tag type],3)&amp;"","")</f>
        <v>Safety tag</v>
      </c>
      <c r="C59" s="42">
        <f>IF($B$59="","",COUNTIFS(tblTags[Tag type],$B$59,tblTags[View date],"&gt;0"))</f>
        <v>2</v>
      </c>
      <c r="D59" s="42">
        <f>IF($B$59="","",COUNTIFS(tblTags[Status],"Open",tblTags[Tag type],$B$59,tblTags[View date],"&gt;0"))</f>
        <v>0</v>
      </c>
      <c r="E59" s="42">
        <f>IF($B$59="","",COUNTIFS(tblTags[Due status],"Overdue",tblTags[Tag type],$B$59,tblTags[View date],"&gt;0"))</f>
        <v>0</v>
      </c>
      <c r="F59" s="43">
        <f>IF($B$59="","",IF((COUNTIFS(tblTags[Status],"Closed",tblTags[Tag type],$B$59,tblTags[View date],"&gt;0"))=0,"",(COUNTIFS(tblTags[Closed on time],"Yes",tblTags[Tag type],$B$59,tblTags[View date],"&gt;0"))/(COUNTIFS(tblTags[Status],"Closed",tblTags[Tag type],$B$59,tblTags[View date],"&gt;0"))))</f>
        <v>1</v>
      </c>
      <c r="G59" s="60">
        <v>2</v>
      </c>
      <c r="H59" s="41" t="str">
        <f>IF(INDEX($AP$58:$AP$64,MATCH(2,$AQ$58:$AQ$64,0))&lt;0,"",INDEX($AO$58:$AO$64,MATCH(2,$AQ$58:$AQ$64,0)))</f>
        <v>Basic condition missing</v>
      </c>
      <c r="I59" s="41"/>
      <c r="J59" s="42">
        <f>IF($H$59="","",INDEX($AP$58:$AP$64,MATCH(2,$AQ$58:$AQ$64,0)))</f>
        <v>11</v>
      </c>
      <c r="K59" s="43">
        <f>IF(OR($H$59="",$J$65=0),"",$J$59/$J$65)</f>
        <v>0.211538461538462</v>
      </c>
      <c r="L59" s="43">
        <f>IF(OR($H$59="",$J$65=0),"",SUM($J$58:$J$59)/$J$65)</f>
        <v>0.634615384615385</v>
      </c>
      <c r="AO59" s="11" t="str">
        <f>IFERROR(INDEX(tblAbnTypes[Abnormality type],2)&amp;"","")</f>
        <v>Minor flaw</v>
      </c>
      <c r="AP59" s="61">
        <f>IF($AO$59="",-1,COUNTIFS(tblTags[Abnormality type],$AO$59,tblTags[View date],"&gt;0"))</f>
        <v>8</v>
      </c>
      <c r="AQ59" s="61">
        <f>COUNTIF($AP$58:$AP$64,"&gt;"&amp;$AP$59)+COUNTIF($AP$58:$AP$59,$AP$59)</f>
        <v>3</v>
      </c>
    </row>
    <row r="60" spans="2:43" x14ac:dyDescent="0.25">
      <c r="G60" s="60">
        <v>3</v>
      </c>
      <c r="H60" s="41" t="str">
        <f>IF(INDEX($AP$58:$AP$64,MATCH(3,$AQ$58:$AQ$64,0))&lt;0,"",INDEX($AO$58:$AO$64,MATCH(3,$AQ$58:$AQ$64,0)))</f>
        <v>Minor flaw</v>
      </c>
      <c r="I60" s="41"/>
      <c r="J60" s="42">
        <f>IF($H$60="","",INDEX($AP$58:$AP$64,MATCH(3,$AQ$58:$AQ$64,0)))</f>
        <v>8</v>
      </c>
      <c r="K60" s="43">
        <f>IF(OR($H$60="",$J$65=0),"",$J$60/$J$65)</f>
        <v>0.153846153846154</v>
      </c>
      <c r="L60" s="43">
        <f>IF(OR($H$60="",$J$65=0),"",SUM($J$58:$J$60)/$J$65)</f>
        <v>0.788461538461538</v>
      </c>
      <c r="AO60" s="11" t="str">
        <f>IFERROR(INDEX(tblAbnTypes[Abnormality type],3)&amp;"","")</f>
        <v>Basic condition missing</v>
      </c>
      <c r="AP60" s="61">
        <f>IF($AO$60="",-1,COUNTIFS(tblTags[Abnormality type],$AO$60,tblTags[View date],"&gt;0"))</f>
        <v>11</v>
      </c>
      <c r="AQ60" s="61">
        <f>COUNTIF($AP$58:$AP$64,"&gt;"&amp;$AP$60)+COUNTIF($AP$58:$AP$60,$AP$60)</f>
        <v>2</v>
      </c>
    </row>
    <row r="61" spans="2:43" x14ac:dyDescent="0.25">
      <c r="G61" s="60">
        <v>4</v>
      </c>
      <c r="H61" s="41" t="str">
        <f>IF(INDEX($AP$58:$AP$64,MATCH(4,$AQ$58:$AQ$64,0))&lt;0,"",INDEX($AO$58:$AO$64,MATCH(4,$AQ$58:$AQ$64,0)))</f>
        <v>Quality defect source</v>
      </c>
      <c r="I61" s="41"/>
      <c r="J61" s="42">
        <f>IF($H$61="","",INDEX($AP$58:$AP$64,MATCH(4,$AQ$58:$AQ$64,0)))</f>
        <v>5</v>
      </c>
      <c r="K61" s="43">
        <f>IF(OR($H$61="",$J$65=0),"",$J$61/$J$65)</f>
        <v>0.0961538461538462</v>
      </c>
      <c r="L61" s="43">
        <f>IF(OR($H$61="",$J$65=0),"",SUM($J$58:$J$61)/$J$65)</f>
        <v>0.884615384615385</v>
      </c>
      <c r="AO61" s="11" t="str">
        <f>IFERROR(INDEX(tblAbnTypes[Abnormality type],4)&amp;"","")</f>
        <v>Hard-to-reach place</v>
      </c>
      <c r="AP61" s="61">
        <f>IF($AO$61="",-1,COUNTIFS(tblTags[Abnormality type],$AO$61,tblTags[View date],"&gt;0"))</f>
        <v>2</v>
      </c>
      <c r="AQ61" s="61">
        <f>COUNTIF($AP$58:$AP$64,"&gt;"&amp;$AP$61)+COUNTIF($AP$58:$AP$61,$AP$61)</f>
        <v>5</v>
      </c>
    </row>
    <row r="62" spans="2:43" x14ac:dyDescent="0.25">
      <c r="G62" s="60">
        <v>5</v>
      </c>
      <c r="H62" s="41" t="str">
        <f>IF(INDEX($AP$58:$AP$64,MATCH(5,$AQ$58:$AQ$64,0))&lt;0,"",INDEX($AO$58:$AO$64,MATCH(5,$AQ$58:$AQ$64,0)))</f>
        <v>Hard-to-reach place</v>
      </c>
      <c r="I62" s="41"/>
      <c r="J62" s="42">
        <f>IF($H$62="","",INDEX($AP$58:$AP$64,MATCH(5,$AQ$58:$AQ$64,0)))</f>
        <v>2</v>
      </c>
      <c r="K62" s="43">
        <f>IF(OR($H$62="",$J$65=0),"",$J$62/$J$65)</f>
        <v>0.0384615384615385</v>
      </c>
      <c r="L62" s="43">
        <f>IF(OR($H$62="",$J$65=0),"",SUM($J$58:$J$62)/$J$65)</f>
        <v>0.923076923076923</v>
      </c>
      <c r="AO62" s="11" t="str">
        <f>IFERROR(INDEX(tblAbnTypes[Abnormality type],5)&amp;"","")</f>
        <v>Quality defect source</v>
      </c>
      <c r="AP62" s="61">
        <f>IF($AO$62="",-1,COUNTIFS(tblTags[Abnormality type],$AO$62,tblTags[View date],"&gt;0"))</f>
        <v>5</v>
      </c>
      <c r="AQ62" s="61">
        <f>COUNTIF($AP$58:$AP$64,"&gt;"&amp;$AP$62)+COUNTIF($AP$58:$AP$62,$AP$62)</f>
        <v>4</v>
      </c>
    </row>
    <row r="63" spans="2:43" x14ac:dyDescent="0.25">
      <c r="G63" s="60">
        <v>6</v>
      </c>
      <c r="H63" s="41" t="str">
        <f>IF(INDEX($AP$58:$AP$64,MATCH(6,$AQ$58:$AQ$64,0))&lt;0,"",INDEX($AO$58:$AO$64,MATCH(6,$AQ$58:$AQ$64,0)))</f>
        <v>Unneeded item</v>
      </c>
      <c r="I63" s="41"/>
      <c r="J63" s="42">
        <f>IF($H$63="","",INDEX($AP$58:$AP$64,MATCH(6,$AQ$58:$AQ$64,0)))</f>
        <v>2</v>
      </c>
      <c r="K63" s="43">
        <f>IF(OR($H$63="",$J$65=0),"",$J$63/$J$65)</f>
        <v>0.0384615384615385</v>
      </c>
      <c r="L63" s="43">
        <f>IF(OR($H$63="",$J$65=0),"",SUM($J$58:$J$63)/$J$65)</f>
        <v>0.961538461538462</v>
      </c>
      <c r="AO63" s="11" t="str">
        <f>IFERROR(INDEX(tblAbnTypes[Abnormality type],6)&amp;"","")</f>
        <v>Unneeded item</v>
      </c>
      <c r="AP63" s="61">
        <f>IF($AO$63="",-1,COUNTIFS(tblTags[Abnormality type],$AO$63,tblTags[View date],"&gt;0"))</f>
        <v>2</v>
      </c>
      <c r="AQ63" s="61">
        <f>COUNTIF($AP$58:$AP$64,"&gt;"&amp;$AP$63)+COUNTIF($AP$58:$AP$63,$AP$63)</f>
        <v>6</v>
      </c>
    </row>
    <row r="64" spans="2:43" x14ac:dyDescent="0.25">
      <c r="G64" s="60">
        <v>7</v>
      </c>
      <c r="H64" s="41" t="str">
        <f>IF(INDEX($AP$58:$AP$64,MATCH(7,$AQ$58:$AQ$64,0))&lt;0,"",INDEX($AO$58:$AO$64,MATCH(7,$AQ$58:$AQ$64,0)))</f>
        <v>Unsafe place</v>
      </c>
      <c r="I64" s="41"/>
      <c r="J64" s="42">
        <f>IF($H$64="","",INDEX($AP$58:$AP$64,MATCH(7,$AQ$58:$AQ$64,0)))</f>
        <v>2</v>
      </c>
      <c r="K64" s="43">
        <f>IF(OR($H$64="",$J$65=0),"",$J$64/$J$65)</f>
        <v>0.0384615384615385</v>
      </c>
      <c r="L64" s="43">
        <f>IF(OR($H$64="",$J$65=0),"",SUM($J$58:$J$64)/$J$65)</f>
        <v>1</v>
      </c>
      <c r="AO64" s="11" t="str">
        <f>IFERROR(INDEX(tblAbnTypes[Abnormality type],7)&amp;"","")</f>
        <v>Unsafe place</v>
      </c>
      <c r="AP64" s="61">
        <f>IF($AO$64="",-1,COUNTIFS(tblTags[Abnormality type],$AO$64,tblTags[View date],"&gt;0"))</f>
        <v>2</v>
      </c>
      <c r="AQ64" s="61">
        <f>COUNTIF($AP$58:$AP$64,"&gt;"&amp;$AP$64)+COUNTIF($AP$58:$AP$64,$AP$64)</f>
        <v>7</v>
      </c>
    </row>
    <row r="65" spans="2:12" x14ac:dyDescent="0.25">
      <c r="G65" s="62"/>
      <c r="H65" s="62" t="s">
        <v>377</v>
      </c>
      <c r="I65" s="62"/>
      <c r="J65" s="63">
        <f>SUMIF($AP$58:$AP$64,"&gt;0")</f>
        <v>52</v>
      </c>
      <c r="K65" s="62"/>
      <c r="L65" s="62"/>
    </row>
    <row r="66" spans="2:12" ht="8" customHeight="1" x14ac:dyDescent="0.25"/>
    <row r="67" spans="2:12" x14ac:dyDescent="0.25">
      <c r="B67" s="21" t="s">
        <v>378</v>
      </c>
      <c r="C67" s="21"/>
      <c r="D67" s="21"/>
      <c r="E67" s="21"/>
      <c r="F67" s="21"/>
      <c r="G67" s="21"/>
      <c r="H67" s="21"/>
      <c r="I67" s="21"/>
      <c r="J67" s="21"/>
      <c r="K67" s="21"/>
      <c r="L67" s="21"/>
    </row>
    <row r="68" spans="2:12" x14ac:dyDescent="0.25">
      <c r="B68" s="64">
        <f>IF(OR(COUNTA(tblMachines[Machine])&gt;6,COUNTA(tblTagTypes[Tag type])&gt;3,COUNTA(tblAbnTypes[Abnormality type])&gt;7),"Setup lists are longer than the Dashboard blocks: some machines or types are not shown.","")</f>
        <v/>
      </c>
      <c r="C68" s="64"/>
      <c r="D68" s="64"/>
      <c r="E68" s="64"/>
      <c r="F68" s="64"/>
      <c r="G68" s="64"/>
      <c r="H68" s="64"/>
      <c r="I68" s="64"/>
      <c r="J68" s="64"/>
      <c r="K68" s="64"/>
      <c r="L68" s="64"/>
    </row>
  </sheetData>
  <sheetProtection sheet="1" formatColumns="0" formatRows="0"/>
  <mergeCells count="55">
    <mergeCell ref="A1:L1"/>
    <mergeCell ref="B2:J2"/>
    <mergeCell ref="K2:L2"/>
    <mergeCell ref="C4:D4"/>
    <mergeCell ref="G4:H4"/>
    <mergeCell ref="K4:L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29:C29"/>
    <mergeCell ref="B30:C31"/>
    <mergeCell ref="B32:C32"/>
    <mergeCell ref="B33:C33"/>
    <mergeCell ref="D29:F29"/>
    <mergeCell ref="D30:F31"/>
    <mergeCell ref="D32:F32"/>
    <mergeCell ref="D33:F33"/>
    <mergeCell ref="G29:I29"/>
    <mergeCell ref="G30:I31"/>
    <mergeCell ref="G32:I32"/>
    <mergeCell ref="G33:I33"/>
    <mergeCell ref="J29:L29"/>
    <mergeCell ref="J30:L31"/>
    <mergeCell ref="J32:L32"/>
    <mergeCell ref="J33:L33"/>
    <mergeCell ref="B35:J35"/>
    <mergeCell ref="B44:H44"/>
    <mergeCell ref="G55:L55"/>
    <mergeCell ref="H56:I56"/>
    <mergeCell ref="H57:I57"/>
    <mergeCell ref="H58:I58"/>
    <mergeCell ref="H59:I59"/>
    <mergeCell ref="H60:I60"/>
    <mergeCell ref="H61:I61"/>
    <mergeCell ref="H62:I62"/>
    <mergeCell ref="H63:I63"/>
    <mergeCell ref="H64:I64"/>
    <mergeCell ref="H65:I65"/>
    <mergeCell ref="B55:F55"/>
    <mergeCell ref="B67:L67"/>
    <mergeCell ref="B68:L68"/>
  </mergeCells>
  <conditionalFormatting sqref="B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F46:F53">
    <cfRule type="expression" dxfId="3" priority="24" stopIfTrue="1">
      <formula>AND(ISNUMBER(F46),F46&gt;=(TargetCompliance))</formula>
    </cfRule>
    <cfRule type="expression" dxfId="4" priority="25" stopIfTrue="1">
      <formula>AND(ISNUMBER(F46),F46&gt;=(TargetCompliance)*(1-0.05))</formula>
    </cfRule>
    <cfRule type="expression" dxfId="5" priority="26">
      <formula>ISNUMBER(F46)</formula>
    </cfRule>
  </conditionalFormatting>
  <conditionalFormatting sqref="G37:G42">
    <cfRule type="expression" dxfId="3" priority="21" stopIfTrue="1">
      <formula>AND(ISNUMBER(G37),G37&gt;=(TargetCompliance))</formula>
    </cfRule>
    <cfRule type="expression" dxfId="4" priority="22" stopIfTrue="1">
      <formula>AND(ISNUMBER(G37),G37&gt;=(TargetCompliance)*(1-0.05))</formula>
    </cfRule>
    <cfRule type="expression" dxfId="5" priority="23">
      <formula>ISNUMBER(G37)</formula>
    </cfRule>
  </conditionalFormatting>
  <conditionalFormatting sqref="J58:J64">
    <cfRule type="dataBar" priority="27">
      <dataBar>
        <cfvo type="num" val="0"/>
        <cfvo type="max"/>
        <color rgb="FFA8BDF0"/>
      </dataBar>
      <extLst>
        <ext xmlns:x14="http://schemas.microsoft.com/office/spreadsheetml/2009/9/main" uri="{B025F937-C7B1-47D3-B67F-A62EFF666E3E}">
          <x14:id>{DA7ABA51-AAAA-BBBB-0006-000000000001}</x14:id>
        </ext>
      </extLst>
    </cfRule>
  </conditionalFormatting>
  <dataValidations count="3">
    <dataValidation type="list" allowBlank="1" showInputMessage="1" showErrorMessage="1" errorTitle="Check this entry" error="Pick from the list (edit the list on Setup: Machines)." promptTitle="Machine" prompt="Leave blank for all machines. Pick from the list (edit the list on Setup: Machines)." sqref="C4">
      <formula1>Machines</formula1>
    </dataValidation>
    <dataValidation type="date" allowBlank="1" showInputMessage="1" showErrorMessage="1" errorTitle="Check this entry" error="Enter a date between 01 Jan 2000 and 31 Dec 2100." promptTitle="From" prompt="First week (or date found) to include. Leave blank to start at the first record. Enter a date between 01 Jan 2000 and 31 Dec 2100." sqref="G4">
      <formula1>36526</formula1>
      <formula2>73415</formula2>
    </dataValidation>
    <dataValidation type="date" allowBlank="1" showInputMessage="1" showErrorMessage="1" errorTitle="Check this entry" error="Enter a date between 01 Jan 2000 and 31 Dec 2100." promptTitle="To" prompt="Last week (or date found) to include. Leave blank to end at the latest record. Enter a date between 01 Jan 2000 and 31 Dec 2100." sqref="K4">
      <formula1>36526</formula1>
      <formula2>73415</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TPM Autonomous Maintenance Checklist&amp;R&amp;8&amp;A</oddHeader>
    <oddFooter>&amp;L&amp;8mfgcalcs.com - free manufacturing templates&amp;R&amp;8Page &amp;P of &amp;N</oddFooter>
  </headerFooter>
  <rowBreaks count="2" manualBreakCount="2">
    <brk id="28" max="16383" man="1"/>
    <brk id="54"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6-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J58:J64</xm:sqref>
        </x14:conditionalFormatting>
      </x14:conditionalFormattings>
    </ext>
  </extLst>
</worksheet>
</file>

<file path=xl/worksheets/sheet7.xml><?xml version="1.0" encoding="utf-8"?>
<worksheet xmlns="http://schemas.openxmlformats.org/spreadsheetml/2006/main" xmlns:r="http://schemas.openxmlformats.org/officeDocument/2006/relationships">
  <sheetPr>
    <tabColor rgb="FF6B7280"/>
    <pageSetUpPr fitToPage="1"/>
  </sheetPr>
  <dimension ref="A1:D62"/>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30</v>
      </c>
      <c r="C2" s="2"/>
      <c r="D2" s="3" t="s">
        <v>2</v>
      </c>
    </row>
    <row r="3" spans="1:4" ht="6" customHeight="1"/>
    <row r="4" spans="1:4" ht="21" customHeight="1">
      <c r="B4" s="8" t="s">
        <v>379</v>
      </c>
      <c r="C4" s="8"/>
      <c r="D4" s="8"/>
    </row>
    <row r="5" spans="1:4" ht="5" customHeight="1"/>
    <row r="6" spans="1:4" ht="69" customHeight="1">
      <c r="B6" s="10" t="s">
        <v>380</v>
      </c>
      <c r="C6" s="10"/>
      <c r="D6" s="10"/>
    </row>
    <row r="8" spans="1:4" ht="21" customHeight="1">
      <c r="B8" s="8" t="s">
        <v>381</v>
      </c>
      <c r="C8" s="8"/>
      <c r="D8" s="8"/>
    </row>
    <row r="9" spans="1:4" ht="5" customHeight="1"/>
    <row r="10" spans="1:4" ht="20" customHeight="1">
      <c r="B10" s="55" t="s">
        <v>382</v>
      </c>
      <c r="C10" s="55" t="s">
        <v>383</v>
      </c>
      <c r="D10" s="33" t="s">
        <v>384</v>
      </c>
    </row>
    <row r="11" spans="1:4" ht="30.4" customHeight="1">
      <c r="B11" s="65" t="s">
        <v>70</v>
      </c>
      <c r="C11" s="66" t="s">
        <v>385</v>
      </c>
      <c r="D11" s="67" t="s">
        <v>386</v>
      </c>
    </row>
    <row r="12" spans="1:4" ht="17.2" customHeight="1">
      <c r="B12" s="65" t="s">
        <v>142</v>
      </c>
      <c r="C12" s="66" t="s">
        <v>387</v>
      </c>
      <c r="D12" s="67" t="s">
        <v>388</v>
      </c>
    </row>
    <row r="13" spans="1:4" ht="30.4" customHeight="1">
      <c r="B13" s="65" t="s">
        <v>240</v>
      </c>
      <c r="C13" s="66" t="s">
        <v>389</v>
      </c>
      <c r="D13" s="67" t="s">
        <v>386</v>
      </c>
    </row>
    <row r="14" spans="1:4" ht="17.2" customHeight="1">
      <c r="B14" s="65" t="s">
        <v>241</v>
      </c>
      <c r="C14" s="66" t="s">
        <v>390</v>
      </c>
      <c r="D14" s="67" t="s">
        <v>391</v>
      </c>
    </row>
    <row r="15" spans="1:4" ht="30.4" customHeight="1">
      <c r="B15" s="65" t="s">
        <v>242</v>
      </c>
      <c r="C15" s="66" t="s">
        <v>392</v>
      </c>
      <c r="D15" s="67" t="s">
        <v>376</v>
      </c>
    </row>
    <row r="16" spans="1:4" ht="30.4" customHeight="1">
      <c r="B16" s="65" t="s">
        <v>243</v>
      </c>
      <c r="C16" s="66" t="s">
        <v>393</v>
      </c>
      <c r="D16" s="67" t="s">
        <v>394</v>
      </c>
    </row>
    <row r="17" spans="2:4" ht="17.2" customHeight="1">
      <c r="B17" s="65" t="s">
        <v>244</v>
      </c>
      <c r="C17" s="66" t="s">
        <v>395</v>
      </c>
      <c r="D17" s="67" t="s">
        <v>375</v>
      </c>
    </row>
    <row r="18" spans="2:4" ht="17.2" customHeight="1">
      <c r="B18" s="65" t="s">
        <v>396</v>
      </c>
      <c r="C18" s="66" t="s">
        <v>397</v>
      </c>
      <c r="D18" s="67" t="s">
        <v>398</v>
      </c>
    </row>
    <row r="19" spans="2:4" ht="17.2" customHeight="1">
      <c r="B19" s="65" t="s">
        <v>256</v>
      </c>
      <c r="C19" s="66" t="s">
        <v>399</v>
      </c>
      <c r="D19" s="67" t="s">
        <v>83</v>
      </c>
    </row>
    <row r="20" spans="2:4" ht="30.4" customHeight="1">
      <c r="B20" s="65" t="s">
        <v>257</v>
      </c>
      <c r="C20" s="66" t="s">
        <v>400</v>
      </c>
      <c r="D20" s="67" t="s">
        <v>394</v>
      </c>
    </row>
    <row r="21" spans="2:4" ht="17.2" customHeight="1">
      <c r="B21" s="65" t="s">
        <v>258</v>
      </c>
      <c r="C21" s="66" t="s">
        <v>401</v>
      </c>
      <c r="D21" s="67" t="s">
        <v>394</v>
      </c>
    </row>
    <row r="22" spans="2:4" ht="17.2" customHeight="1">
      <c r="B22" s="65" t="s">
        <v>402</v>
      </c>
      <c r="C22" s="66" t="s">
        <v>403</v>
      </c>
      <c r="D22" s="67" t="s">
        <v>376</v>
      </c>
    </row>
    <row r="23" spans="2:4" ht="30.4" customHeight="1">
      <c r="B23" s="65" t="s">
        <v>404</v>
      </c>
      <c r="C23" s="66" t="s">
        <v>405</v>
      </c>
      <c r="D23" s="67" t="s">
        <v>388</v>
      </c>
    </row>
    <row r="24" spans="2:4" ht="43.6" customHeight="1">
      <c r="B24" s="65" t="s">
        <v>406</v>
      </c>
      <c r="C24" s="66" t="s">
        <v>407</v>
      </c>
      <c r="D24" s="67" t="s">
        <v>408</v>
      </c>
    </row>
    <row r="26" spans="2:4" ht="21" customHeight="1">
      <c r="B26" s="8" t="s">
        <v>409</v>
      </c>
      <c r="C26" s="8"/>
      <c r="D26" s="8"/>
    </row>
    <row r="27" spans="2:4" ht="5" customHeight="1"/>
    <row r="28" spans="2:4" ht="29.4" customHeight="1">
      <c r="B28" s="26" t="s">
        <v>59</v>
      </c>
      <c r="C28" s="10" t="s">
        <v>410</v>
      </c>
      <c r="D28" s="10"/>
    </row>
    <row r="29" spans="2:4" ht="29.4" customHeight="1">
      <c r="B29" s="26" t="s">
        <v>59</v>
      </c>
      <c r="C29" s="10" t="s">
        <v>411</v>
      </c>
      <c r="D29" s="10"/>
    </row>
    <row r="30" spans="2:4" ht="16.2" customHeight="1">
      <c r="B30" s="26" t="s">
        <v>59</v>
      </c>
      <c r="C30" s="10" t="s">
        <v>412</v>
      </c>
      <c r="D30" s="10"/>
    </row>
    <row r="31" spans="2:4" ht="16.2" customHeight="1">
      <c r="B31" s="26" t="s">
        <v>59</v>
      </c>
      <c r="C31" s="10" t="s">
        <v>413</v>
      </c>
      <c r="D31" s="10"/>
    </row>
    <row r="33" spans="2:4" ht="21" customHeight="1">
      <c r="B33" s="8" t="s">
        <v>414</v>
      </c>
      <c r="C33" s="8"/>
      <c r="D33" s="8"/>
    </row>
    <row r="34" spans="2:4" ht="5" customHeight="1"/>
    <row r="35" spans="2:4" ht="29.4" customHeight="1">
      <c r="B35" s="26" t="s">
        <v>59</v>
      </c>
      <c r="C35" s="10" t="s">
        <v>415</v>
      </c>
      <c r="D35" s="10"/>
    </row>
    <row r="36" spans="2:4" ht="29.4" customHeight="1">
      <c r="B36" s="26" t="s">
        <v>59</v>
      </c>
      <c r="C36" s="10" t="s">
        <v>416</v>
      </c>
      <c r="D36" s="10"/>
    </row>
    <row r="37" spans="2:4" ht="16.2" customHeight="1">
      <c r="B37" s="26" t="s">
        <v>59</v>
      </c>
      <c r="C37" s="10" t="s">
        <v>417</v>
      </c>
      <c r="D37" s="10"/>
    </row>
    <row r="38" spans="2:4" ht="29.4" customHeight="1">
      <c r="B38" s="26" t="s">
        <v>59</v>
      </c>
      <c r="C38" s="10" t="s">
        <v>418</v>
      </c>
      <c r="D38" s="10"/>
    </row>
    <row r="40" spans="2:4" ht="21" customHeight="1">
      <c r="B40" s="8" t="s">
        <v>419</v>
      </c>
      <c r="C40" s="8"/>
      <c r="D40" s="8"/>
    </row>
    <row r="41" spans="2:4" ht="5" customHeight="1"/>
    <row r="42" spans="2:4" ht="55.8" customHeight="1">
      <c r="B42" s="10" t="s">
        <v>420</v>
      </c>
      <c r="C42" s="10"/>
      <c r="D42" s="10"/>
    </row>
    <row r="43" spans="2:4">
      <c r="B43" s="24" t="s">
        <v>421</v>
      </c>
      <c r="C43" s="24"/>
      <c r="D43" s="24"/>
    </row>
    <row r="45" spans="2:4" ht="21" customHeight="1">
      <c r="B45" s="8" t="s">
        <v>46</v>
      </c>
      <c r="C45" s="8"/>
      <c r="D45" s="8"/>
    </row>
    <row r="46" spans="2:4" ht="5" customHeight="1"/>
    <row r="47" spans="2:4" ht="42.6" customHeight="1">
      <c r="B47" s="10" t="s">
        <v>422</v>
      </c>
      <c r="C47" s="10"/>
      <c r="D47" s="10"/>
    </row>
    <row r="49" spans="2:4" ht="21" customHeight="1">
      <c r="B49" s="8" t="s">
        <v>423</v>
      </c>
      <c r="C49" s="8"/>
      <c r="D49" s="8"/>
    </row>
    <row r="50" spans="2:4" ht="5" customHeight="1"/>
    <row r="51" spans="2:4" ht="29.4" customHeight="1">
      <c r="B51" s="26" t="s">
        <v>59</v>
      </c>
      <c r="C51" s="10" t="s">
        <v>424</v>
      </c>
      <c r="D51" s="10"/>
    </row>
    <row r="52" spans="2:4" ht="29.4" customHeight="1">
      <c r="B52" s="26" t="s">
        <v>59</v>
      </c>
      <c r="C52" s="10" t="s">
        <v>425</v>
      </c>
      <c r="D52" s="10"/>
    </row>
    <row r="53" spans="2:4" ht="29.4" customHeight="1">
      <c r="B53" s="26" t="s">
        <v>59</v>
      </c>
      <c r="C53" s="10" t="s">
        <v>426</v>
      </c>
      <c r="D53" s="10"/>
    </row>
    <row r="54" spans="2:4" ht="16.2" customHeight="1">
      <c r="B54" s="26" t="s">
        <v>59</v>
      </c>
      <c r="C54" s="10" t="s">
        <v>427</v>
      </c>
      <c r="D54" s="10"/>
    </row>
    <row r="55" spans="2:4">
      <c r="B55" s="21" t="s">
        <v>428</v>
      </c>
      <c r="C55" s="21"/>
      <c r="D55" s="21"/>
    </row>
    <row r="57" spans="2:4" ht="21" customHeight="1">
      <c r="B57" s="8" t="s">
        <v>429</v>
      </c>
      <c r="C57" s="8"/>
      <c r="D57" s="8"/>
    </row>
    <row r="58" spans="2:4" ht="5" customHeight="1"/>
    <row r="59" spans="2:4">
      <c r="B59" s="55" t="s">
        <v>54</v>
      </c>
      <c r="C59" s="55" t="s">
        <v>430</v>
      </c>
      <c r="D59" s="33" t="s">
        <v>431</v>
      </c>
    </row>
    <row r="60" spans="2:4" ht="16.2" customHeight="1">
      <c r="B60" s="68" t="s">
        <v>432</v>
      </c>
      <c r="C60" s="69" t="s">
        <v>433</v>
      </c>
      <c r="D60" s="70" t="s">
        <v>434</v>
      </c>
    </row>
    <row r="62" spans="2:4">
      <c r="B62" s="21" t="s">
        <v>65</v>
      </c>
      <c r="C62" s="21"/>
      <c r="D62" s="21"/>
    </row>
  </sheetData>
  <sheetProtection sheet="1" formatColumns="0" formatRows="0"/>
  <mergeCells count="28">
    <mergeCell ref="A1:D1"/>
    <mergeCell ref="B2:C2"/>
    <mergeCell ref="B4:D4"/>
    <mergeCell ref="B6:D6"/>
    <mergeCell ref="B8:D8"/>
    <mergeCell ref="B26:D26"/>
    <mergeCell ref="C28:D28"/>
    <mergeCell ref="C29:D29"/>
    <mergeCell ref="C30:D30"/>
    <mergeCell ref="C31:D31"/>
    <mergeCell ref="B33:D33"/>
    <mergeCell ref="C35:D35"/>
    <mergeCell ref="C36:D36"/>
    <mergeCell ref="C37:D37"/>
    <mergeCell ref="C38:D38"/>
    <mergeCell ref="B40:D40"/>
    <mergeCell ref="B42:D42"/>
    <mergeCell ref="B43:D43"/>
    <mergeCell ref="B45:D45"/>
    <mergeCell ref="B47:D47"/>
    <mergeCell ref="B49:D49"/>
    <mergeCell ref="C51:D51"/>
    <mergeCell ref="C52:D52"/>
    <mergeCell ref="C53:D53"/>
    <mergeCell ref="C54:D54"/>
    <mergeCell ref="B55:D55"/>
    <mergeCell ref="B57:D57"/>
    <mergeCell ref="B62:D62"/>
  </mergeCells>
  <hyperlinks>
    <hyperlink ref="D2" r:id="rId1" tooltip="Free manufacturing calculators and templates"/>
    <hyperlink ref="B43" r:id="rId2"/>
  </hyperlinks>
  <printOptions horizontalCentered="1"/>
  <pageMargins left="0.4" right="0.4" top="0.7" bottom="0.65" header="0.3" footer="0.3"/>
  <pageSetup fitToHeight="0" orientation="portrait"/>
  <headerFooter>
    <oddHeader>&amp;L&amp;8MFG Calcs - TPM Autonomous Maintenance Checklist&amp;R&amp;8&amp;A</oddHeader>
    <oddFooter>&amp;L&amp;8mfgcalcs.com - free manufacturing templates&amp;R&amp;8Page &amp;P of &amp;N</oddFooter>
  </headerFooter>
  <rowBreaks count="2" manualBreakCount="2">
    <brk id="25" max="16383" man="1"/>
    <brk id="56" max="16383" man="1"/>
  </rowBreaks>
</worksheet>
</file>

<file path=xl/worksheets/sheet8.xml><?xml version="1.0" encoding="utf-8"?>
<worksheet xmlns="http://schemas.openxmlformats.org/spreadsheetml/2006/main" xmlns:r="http://schemas.openxmlformats.org/officeDocument/2006/relationships">
  <sheetPr>
    <tabColor rgb="FF2C3440"/>
    <pageSetUpPr fitToPage="1"/>
  </sheetPr>
  <dimension ref="A1:Q77"/>
  <sheetViews>
    <sheetView showGridLines="0" workbookViewId="0"/>
  </sheetViews>
  <sheetFormatPr defaultRowHeight="15"/>
  <cols>
    <col min="1" max="1" width="2.7109375" customWidth="1"/>
    <col min="2" max="19" width="12.7109375" customWidth="1"/>
  </cols>
  <sheetData>
    <row r="1" spans="1:17" ht="30" customHeight="1">
      <c r="A1" s="1" t="s">
        <v>0</v>
      </c>
      <c r="B1" s="1"/>
      <c r="C1" s="1"/>
      <c r="D1" s="1"/>
      <c r="E1" s="1"/>
      <c r="F1" s="1"/>
      <c r="G1" s="1"/>
      <c r="H1" s="1"/>
      <c r="I1" s="1"/>
      <c r="J1" s="1"/>
      <c r="K1" s="1"/>
      <c r="L1" s="1"/>
      <c r="M1" s="1"/>
      <c r="N1" s="1"/>
      <c r="O1" s="1"/>
      <c r="P1" s="1"/>
      <c r="Q1" s="1"/>
    </row>
    <row r="2" spans="1:17" ht="21" customHeight="1">
      <c r="B2" s="2" t="s">
        <v>32</v>
      </c>
      <c r="C2" s="2"/>
      <c r="D2" s="2"/>
      <c r="E2" s="2"/>
      <c r="F2" s="2"/>
      <c r="G2" s="2"/>
      <c r="H2" s="2"/>
      <c r="I2" s="2"/>
      <c r="J2" s="2"/>
      <c r="K2" s="2"/>
      <c r="L2" s="2"/>
      <c r="M2" s="2"/>
      <c r="N2" s="2"/>
      <c r="O2" s="2"/>
      <c r="P2" s="2"/>
      <c r="Q2" s="3" t="s">
        <v>2</v>
      </c>
    </row>
    <row r="3" spans="1:17" ht="6" customHeight="1"/>
    <row r="4" spans="1:17" ht="30" customHeight="1">
      <c r="B4" s="71" t="s">
        <v>435</v>
      </c>
      <c r="C4" s="71"/>
      <c r="D4" s="22" t="str">
        <f>IF(COUNTIF($K$11:$K$35,"PASS")=25,"PASS","FAIL")</f>
        <v>PASS</v>
      </c>
      <c r="E4" s="22"/>
      <c r="F4" s="23" t="str">
        <f>COUNTIF($K$11:$K$35,"PASS")&amp;" of 25 checks pass"</f>
        <v>25 of 25 checks pass</v>
      </c>
      <c r="G4" s="23"/>
      <c r="H4" s="23"/>
      <c r="I4" s="23"/>
      <c r="J4" s="23"/>
    </row>
    <row r="6" spans="1:17" ht="29.4" customHeight="1">
      <c r="B6" s="10" t="s">
        <v>436</v>
      </c>
      <c r="C6" s="10"/>
      <c r="D6" s="10"/>
      <c r="E6" s="10"/>
      <c r="F6" s="10"/>
      <c r="G6" s="10"/>
      <c r="H6" s="10"/>
      <c r="I6" s="10"/>
      <c r="J6" s="10"/>
      <c r="K6" s="10"/>
      <c r="L6" s="10"/>
    </row>
    <row r="8" spans="1:17" ht="21" customHeight="1">
      <c r="B8" s="8" t="s">
        <v>437</v>
      </c>
      <c r="C8" s="8"/>
      <c r="D8" s="8"/>
      <c r="E8" s="8"/>
      <c r="F8" s="8"/>
      <c r="G8" s="8"/>
      <c r="H8" s="8"/>
      <c r="I8" s="8"/>
      <c r="J8" s="8"/>
      <c r="K8" s="8"/>
      <c r="L8" s="8"/>
    </row>
    <row r="9" spans="1:17" ht="5" customHeight="1"/>
    <row r="10" spans="1:17" ht="30" customHeight="1">
      <c r="B10" s="33" t="s">
        <v>438</v>
      </c>
      <c r="C10" s="55" t="s">
        <v>143</v>
      </c>
      <c r="D10" s="55"/>
      <c r="E10" s="55"/>
      <c r="F10" s="55"/>
      <c r="G10" s="33" t="s">
        <v>439</v>
      </c>
      <c r="H10" s="33" t="s">
        <v>440</v>
      </c>
      <c r="I10" s="33" t="s">
        <v>441</v>
      </c>
      <c r="J10" s="33" t="s">
        <v>442</v>
      </c>
      <c r="K10" s="33" t="s">
        <v>443</v>
      </c>
    </row>
    <row r="11" spans="1:17" ht="16.2" customHeight="1">
      <c r="B11" s="60">
        <v>1</v>
      </c>
      <c r="C11" s="69" t="s">
        <v>444</v>
      </c>
      <c r="D11" s="69"/>
      <c r="E11" s="69"/>
      <c r="F11" s="69"/>
      <c r="G11" s="72">
        <v>10</v>
      </c>
      <c r="H11" s="39">
        <f>$L$60</f>
        <v>10</v>
      </c>
      <c r="I11" s="73">
        <f>IF(AND(ISNUMBER($G$11),ISNUMBER($H$11)),ABS($H$11-$G$11),"")</f>
        <v>0</v>
      </c>
      <c r="J11" s="74">
        <v>1E-09</v>
      </c>
      <c r="K11" s="44" t="str">
        <f>IF(AND(ISNUMBER($G$11),ISNUMBER($H$11)),IF(ABS($H$11-$G$11)&lt;=$J$11,"PASS","FAIL"),"FAIL")</f>
        <v>PASS</v>
      </c>
    </row>
    <row r="12" spans="1:17" ht="16.2" customHeight="1">
      <c r="B12" s="60">
        <v>2</v>
      </c>
      <c r="C12" s="69" t="s">
        <v>445</v>
      </c>
      <c r="D12" s="69"/>
      <c r="E12" s="69"/>
      <c r="F12" s="69"/>
      <c r="G12" s="72">
        <v>5</v>
      </c>
      <c r="H12" s="39">
        <f>$L$62</f>
        <v>5</v>
      </c>
      <c r="I12" s="73">
        <f>IF(AND(ISNUMBER($G$12),ISNUMBER($H$12)),ABS($H$12-$G$12),"")</f>
        <v>0</v>
      </c>
      <c r="J12" s="74">
        <v>1E-09</v>
      </c>
      <c r="K12" s="44" t="str">
        <f>IF(AND(ISNUMBER($G$12),ISNUMBER($H$12)),IF(ABS($H$12-$G$12)&lt;=$J$12,"PASS","FAIL"),"FAIL")</f>
        <v>PASS</v>
      </c>
    </row>
    <row r="13" spans="1:17" ht="16.2" customHeight="1">
      <c r="B13" s="60">
        <v>3</v>
      </c>
      <c r="C13" s="69" t="s">
        <v>446</v>
      </c>
      <c r="D13" s="69"/>
      <c r="E13" s="69"/>
      <c r="F13" s="69"/>
      <c r="G13" s="72">
        <v>15</v>
      </c>
      <c r="H13" s="39">
        <f>$G$66</f>
        <v>15</v>
      </c>
      <c r="I13" s="73">
        <f>IF(AND(ISNUMBER($G$13),ISNUMBER($H$13)),ABS($H$13-$G$13),"")</f>
        <v>0</v>
      </c>
      <c r="J13" s="74">
        <v>1E-09</v>
      </c>
      <c r="K13" s="44" t="str">
        <f>IF(AND(ISNUMBER($G$13),ISNUMBER($H$13)),IF(ABS($H$13-$G$13)&lt;=$J$13,"PASS","FAIL"),"FAIL")</f>
        <v>PASS</v>
      </c>
    </row>
    <row r="14" spans="1:17" ht="16.2" customHeight="1">
      <c r="B14" s="60">
        <v>4</v>
      </c>
      <c r="C14" s="69" t="s">
        <v>447</v>
      </c>
      <c r="D14" s="69"/>
      <c r="E14" s="69"/>
      <c r="F14" s="69"/>
      <c r="G14" s="58">
        <v>0.924</v>
      </c>
      <c r="H14" s="43">
        <f>$I$66</f>
        <v>0.924</v>
      </c>
      <c r="I14" s="73">
        <f>IF(AND(ISNUMBER($G$14),ISNUMBER($H$14)),ABS($H$14-$G$14),"")</f>
        <v>0</v>
      </c>
      <c r="J14" s="74">
        <v>1E-09</v>
      </c>
      <c r="K14" s="44" t="str">
        <f>IF(AND(ISNUMBER($G$14),ISNUMBER($H$14)),IF(ABS($H$14-$G$14)&lt;=$J$14,"PASS","FAIL"),"FAIL")</f>
        <v>PASS</v>
      </c>
    </row>
    <row r="15" spans="1:17" ht="16.2" customHeight="1">
      <c r="B15" s="60">
        <v>5</v>
      </c>
      <c r="C15" s="69" t="s">
        <v>448</v>
      </c>
      <c r="D15" s="69"/>
      <c r="E15" s="69"/>
      <c r="F15" s="69"/>
      <c r="G15" s="75">
        <v>38</v>
      </c>
      <c r="H15" s="42">
        <f>$H$66</f>
        <v>38</v>
      </c>
      <c r="I15" s="73">
        <f>IF(AND(ISNUMBER($G$15),ISNUMBER($H$15)),ABS($H$15-$G$15),"")</f>
        <v>0</v>
      </c>
      <c r="J15" s="74">
        <v>1E-09</v>
      </c>
      <c r="K15" s="44" t="str">
        <f>IF(AND(ISNUMBER($G$15),ISNUMBER($H$15)),IF(ABS($H$15-$G$15)&lt;=$J$15,"PASS","FAIL"),"FAIL")</f>
        <v>PASS</v>
      </c>
    </row>
    <row r="16" spans="1:17" ht="16.2" customHeight="1">
      <c r="B16" s="60">
        <v>6</v>
      </c>
      <c r="C16" s="69" t="s">
        <v>449</v>
      </c>
      <c r="D16" s="69"/>
      <c r="E16" s="69"/>
      <c r="F16" s="69"/>
      <c r="G16" s="68" t="s">
        <v>450</v>
      </c>
      <c r="H16" s="41" t="str">
        <f>$J$66</f>
        <v>Near target</v>
      </c>
      <c r="I16" s="41"/>
      <c r="J16" s="70" t="s">
        <v>451</v>
      </c>
      <c r="K16" s="44" t="str">
        <f>IF($H$16&amp;""=$G$16&amp;"","PASS","FAIL")</f>
        <v>PASS</v>
      </c>
    </row>
    <row r="17" spans="2:11" ht="16.2" customHeight="1">
      <c r="B17" s="60">
        <v>7</v>
      </c>
      <c r="C17" s="69" t="s">
        <v>452</v>
      </c>
      <c r="D17" s="69"/>
      <c r="E17" s="69"/>
      <c r="F17" s="69"/>
      <c r="G17" s="68" t="s">
        <v>453</v>
      </c>
      <c r="H17" s="41" t="str">
        <f>$J$67</f>
        <v>On target</v>
      </c>
      <c r="I17" s="41"/>
      <c r="J17" s="70" t="s">
        <v>451</v>
      </c>
      <c r="K17" s="44" t="str">
        <f>IF($H$17&amp;""=$G$17&amp;"","PASS","FAIL")</f>
        <v>PASS</v>
      </c>
    </row>
    <row r="18" spans="2:11" ht="16.2" customHeight="1">
      <c r="B18" s="60">
        <v>8</v>
      </c>
      <c r="C18" s="69" t="s">
        <v>454</v>
      </c>
      <c r="D18" s="69"/>
      <c r="E18" s="69"/>
      <c r="F18" s="69"/>
      <c r="G18" s="68" t="s">
        <v>455</v>
      </c>
      <c r="H18" s="41" t="str">
        <f>$J$68</f>
        <v>Below target</v>
      </c>
      <c r="I18" s="41"/>
      <c r="J18" s="70" t="s">
        <v>451</v>
      </c>
      <c r="K18" s="44" t="str">
        <f>IF($H$18&amp;""=$G$18&amp;"","PASS","FAIL")</f>
        <v>PASS</v>
      </c>
    </row>
    <row r="19" spans="2:11" ht="16.2" customHeight="1">
      <c r="B19" s="60">
        <v>9</v>
      </c>
      <c r="C19" s="69" t="s">
        <v>456</v>
      </c>
      <c r="D19" s="69"/>
      <c r="E19" s="69"/>
      <c r="F19" s="69"/>
      <c r="G19" s="68" t="s">
        <v>457</v>
      </c>
      <c r="H19" s="41" t="str">
        <f>$M$69</f>
        <v>Done &gt; due</v>
      </c>
      <c r="I19" s="41"/>
      <c r="J19" s="70" t="s">
        <v>451</v>
      </c>
      <c r="K19" s="44" t="str">
        <f>IF($H$19&amp;""=$G$19&amp;"","PASS","FAIL")</f>
        <v>PASS</v>
      </c>
    </row>
    <row r="20" spans="2:11" ht="16.2" customHeight="1">
      <c r="B20" s="60">
        <v>10</v>
      </c>
      <c r="C20" s="69" t="s">
        <v>458</v>
      </c>
      <c r="D20" s="69"/>
      <c r="E20" s="69"/>
      <c r="F20" s="69"/>
      <c r="G20" s="75">
        <v>1</v>
      </c>
      <c r="H20" s="42">
        <f>$K$66</f>
        <v>1</v>
      </c>
      <c r="I20" s="73">
        <f>IF(AND(ISNUMBER($G$20),ISNUMBER($H$20)),ABS($H$20-$G$20),"")</f>
        <v>0</v>
      </c>
      <c r="J20" s="74">
        <v>1E-09</v>
      </c>
      <c r="K20" s="44" t="str">
        <f>IF(AND(ISNUMBER($G$20),ISNUMBER($H$20)),IF(ABS($H$20-$G$20)&lt;=$J$20,"PASS","FAIL"),"FAIL")</f>
        <v>PASS</v>
      </c>
    </row>
    <row r="21" spans="2:11" ht="16.2" customHeight="1">
      <c r="B21" s="60">
        <v>11</v>
      </c>
      <c r="C21" s="69" t="s">
        <v>459</v>
      </c>
      <c r="D21" s="69"/>
      <c r="E21" s="69"/>
      <c r="F21" s="69"/>
      <c r="G21" s="76">
        <v>46090</v>
      </c>
      <c r="H21" s="45">
        <f>$L$73</f>
        <v>46090</v>
      </c>
      <c r="I21" s="73">
        <f>IF(AND(ISNUMBER($G$21),ISNUMBER($H$21)),ABS($H$21-$G$21),"")</f>
        <v>0</v>
      </c>
      <c r="J21" s="74">
        <v>1E-09</v>
      </c>
      <c r="K21" s="44" t="str">
        <f>IF(AND(ISNUMBER($G$21),ISNUMBER($H$21)),IF(ABS($H$21-$G$21)&lt;=$J$21,"PASS","FAIL"),"FAIL")</f>
        <v>PASS</v>
      </c>
    </row>
    <row r="22" spans="2:11" ht="16.2" customHeight="1">
      <c r="B22" s="60">
        <v>12</v>
      </c>
      <c r="C22" s="69" t="s">
        <v>460</v>
      </c>
      <c r="D22" s="69"/>
      <c r="E22" s="69"/>
      <c r="F22" s="69"/>
      <c r="G22" s="75">
        <v>4</v>
      </c>
      <c r="H22" s="42">
        <f>$M$73</f>
        <v>4</v>
      </c>
      <c r="I22" s="73">
        <f>IF(AND(ISNUMBER($G$22),ISNUMBER($H$22)),ABS($H$22-$G$22),"")</f>
        <v>0</v>
      </c>
      <c r="J22" s="74">
        <v>1E-09</v>
      </c>
      <c r="K22" s="44" t="str">
        <f>IF(AND(ISNUMBER($G$22),ISNUMBER($H$22)),IF(ABS($H$22-$G$22)&lt;=$J$22,"PASS","FAIL"),"FAIL")</f>
        <v>PASS</v>
      </c>
    </row>
    <row r="23" spans="2:11" ht="16.2" customHeight="1">
      <c r="B23" s="60">
        <v>13</v>
      </c>
      <c r="C23" s="69" t="s">
        <v>461</v>
      </c>
      <c r="D23" s="69"/>
      <c r="E23" s="69"/>
      <c r="F23" s="69"/>
      <c r="G23" s="68" t="s">
        <v>462</v>
      </c>
      <c r="H23" s="41" t="str">
        <f>$O$73</f>
        <v>Yes</v>
      </c>
      <c r="I23" s="41"/>
      <c r="J23" s="70" t="s">
        <v>451</v>
      </c>
      <c r="K23" s="44" t="str">
        <f>IF($H$23&amp;""=$G$23&amp;"","PASS","FAIL")</f>
        <v>PASS</v>
      </c>
    </row>
    <row r="24" spans="2:11" ht="16.2" customHeight="1">
      <c r="B24" s="60">
        <v>14</v>
      </c>
      <c r="C24" s="69" t="s">
        <v>463</v>
      </c>
      <c r="D24" s="69"/>
      <c r="E24" s="69"/>
      <c r="F24" s="69"/>
      <c r="G24" s="75">
        <v>31</v>
      </c>
      <c r="H24" s="42">
        <f>$M$74</f>
        <v>31</v>
      </c>
      <c r="I24" s="73">
        <f>IF(AND(ISNUMBER($G$24),ISNUMBER($H$24)),ABS($H$24-$G$24),"")</f>
        <v>0</v>
      </c>
      <c r="J24" s="74">
        <v>1E-09</v>
      </c>
      <c r="K24" s="44" t="str">
        <f>IF(AND(ISNUMBER($G$24),ISNUMBER($H$24)),IF(ABS($H$24-$G$24)&lt;=$J$24,"PASS","FAIL"),"FAIL")</f>
        <v>PASS</v>
      </c>
    </row>
    <row r="25" spans="2:11" ht="16.2" customHeight="1">
      <c r="B25" s="60">
        <v>15</v>
      </c>
      <c r="C25" s="69" t="s">
        <v>464</v>
      </c>
      <c r="D25" s="69"/>
      <c r="E25" s="69"/>
      <c r="F25" s="69"/>
      <c r="G25" s="68" t="s">
        <v>367</v>
      </c>
      <c r="H25" s="41" t="str">
        <f>$N$74</f>
        <v>Overdue</v>
      </c>
      <c r="I25" s="41"/>
      <c r="J25" s="70" t="s">
        <v>451</v>
      </c>
      <c r="K25" s="44" t="str">
        <f>IF($H$25&amp;""=$G$25&amp;"","PASS","FAIL")</f>
        <v>PASS</v>
      </c>
    </row>
    <row r="26" spans="2:11" ht="16.2" customHeight="1">
      <c r="B26" s="60">
        <v>16</v>
      </c>
      <c r="C26" s="69" t="s">
        <v>465</v>
      </c>
      <c r="D26" s="69"/>
      <c r="E26" s="69"/>
      <c r="F26" s="69"/>
      <c r="G26" s="68" t="s">
        <v>466</v>
      </c>
      <c r="H26" s="41" t="str">
        <f>$N$75</f>
        <v>Due soon</v>
      </c>
      <c r="I26" s="41"/>
      <c r="J26" s="70" t="s">
        <v>451</v>
      </c>
      <c r="K26" s="44" t="str">
        <f>IF($H$26&amp;""=$G$26&amp;"","PASS","FAIL")</f>
        <v>PASS</v>
      </c>
    </row>
    <row r="27" spans="2:11" ht="16.2" customHeight="1">
      <c r="B27" s="60">
        <v>17</v>
      </c>
      <c r="C27" s="69" t="s">
        <v>467</v>
      </c>
      <c r="D27" s="69"/>
      <c r="E27" s="69"/>
      <c r="F27" s="69"/>
      <c r="G27" s="68" t="s">
        <v>468</v>
      </c>
      <c r="H27" s="41" t="str">
        <f>$O$76</f>
        <v>No</v>
      </c>
      <c r="I27" s="41"/>
      <c r="J27" s="70" t="s">
        <v>451</v>
      </c>
      <c r="K27" s="44" t="str">
        <f>IF($H$27&amp;""=$G$27&amp;"","PASS","FAIL")</f>
        <v>PASS</v>
      </c>
    </row>
    <row r="28" spans="2:11" ht="16.2" customHeight="1">
      <c r="B28" s="60">
        <v>18</v>
      </c>
      <c r="C28" s="69" t="s">
        <v>469</v>
      </c>
      <c r="D28" s="69"/>
      <c r="E28" s="69"/>
      <c r="F28" s="69"/>
      <c r="G28" s="68" t="s">
        <v>470</v>
      </c>
      <c r="H28" s="41" t="str">
        <f>$Q$77</f>
        <v>Closed before found</v>
      </c>
      <c r="I28" s="41"/>
      <c r="J28" s="70" t="s">
        <v>451</v>
      </c>
      <c r="K28" s="44" t="str">
        <f>IF($H$28&amp;""=$G$28&amp;"","PASS","FAIL")</f>
        <v>PASS</v>
      </c>
    </row>
    <row r="29" spans="2:11" ht="16.2" customHeight="1">
      <c r="B29" s="60">
        <v>19</v>
      </c>
      <c r="C29" s="69" t="s">
        <v>471</v>
      </c>
      <c r="D29" s="69"/>
      <c r="E29" s="69"/>
      <c r="F29" s="69"/>
      <c r="G29" s="68" t="s">
        <v>472</v>
      </c>
      <c r="H29" s="41" t="str">
        <f>$M$61</f>
        <v>OK</v>
      </c>
      <c r="I29" s="41"/>
      <c r="J29" s="70" t="s">
        <v>451</v>
      </c>
      <c r="K29" s="44" t="str">
        <f>IF($H$29&amp;""=$G$29&amp;"","PASS","FAIL")</f>
        <v>PASS</v>
      </c>
    </row>
    <row r="30" spans="2:11" ht="29.4" customHeight="1">
      <c r="B30" s="60">
        <v>20</v>
      </c>
      <c r="C30" s="69" t="s">
        <v>473</v>
      </c>
      <c r="D30" s="69"/>
      <c r="E30" s="69"/>
      <c r="F30" s="69"/>
      <c r="G30" s="58">
        <v>0.9360655737704918</v>
      </c>
      <c r="H30" s="43">
        <f>IF((SUMIFS(tblVerifyChecks[Checks due],tblVerifyChecks[View date],"&gt;0"))=0,"",(SUMIFS(tblVerifyChecks[Checks done],tblVerifyChecks[View date],"&gt;0"))/(SUMIFS(tblVerifyChecks[Checks due],tblVerifyChecks[View date],"&gt;0")))</f>
        <v>0.936065573770492</v>
      </c>
      <c r="I30" s="73">
        <f>IF(AND(ISNUMBER($G$30),ISNUMBER($H$30)),ABS($H$30-$G$30),"")</f>
        <v>0</v>
      </c>
      <c r="J30" s="74">
        <v>1E-09</v>
      </c>
      <c r="K30" s="44" t="str">
        <f>IF(AND(ISNUMBER($G$30),ISNUMBER($H$30)),IF(ABS($H$30-$G$30)&lt;=$J$30,"PASS","FAIL"),"FAIL")</f>
        <v>PASS</v>
      </c>
    </row>
    <row r="31" spans="2:11" ht="16.2" customHeight="1">
      <c r="B31" s="60">
        <v>21</v>
      </c>
      <c r="C31" s="69" t="s">
        <v>474</v>
      </c>
      <c r="D31" s="69"/>
      <c r="E31" s="69"/>
      <c r="F31" s="69"/>
      <c r="G31" s="75">
        <v>39</v>
      </c>
      <c r="H31" s="42">
        <f>SUMIFS(tblVerifyChecks[Missed],tblVerifyChecks[View date],"&gt;0")</f>
        <v>39</v>
      </c>
      <c r="I31" s="73">
        <f>IF(AND(ISNUMBER($G$31),ISNUMBER($H$31)),ABS($H$31-$G$31),"")</f>
        <v>0</v>
      </c>
      <c r="J31" s="74">
        <v>1E-09</v>
      </c>
      <c r="K31" s="44" t="str">
        <f>IF(AND(ISNUMBER($G$31),ISNUMBER($H$31)),IF(ABS($H$31-$G$31)&lt;=$J$31,"PASS","FAIL"),"FAIL")</f>
        <v>PASS</v>
      </c>
    </row>
    <row r="32" spans="2:11" ht="16.2" customHeight="1">
      <c r="B32" s="60">
        <v>22</v>
      </c>
      <c r="C32" s="69" t="s">
        <v>475</v>
      </c>
      <c r="D32" s="69"/>
      <c r="E32" s="69"/>
      <c r="F32" s="69"/>
      <c r="G32" s="75">
        <v>2</v>
      </c>
      <c r="H32" s="42">
        <f>COUNTIFS(tblVerifyTags[Status],"Open",tblVerifyTags[View date],"&gt;0")</f>
        <v>2</v>
      </c>
      <c r="I32" s="73">
        <f>IF(AND(ISNUMBER($G$32),ISNUMBER($H$32)),ABS($H$32-$G$32),"")</f>
        <v>0</v>
      </c>
      <c r="J32" s="74">
        <v>1E-09</v>
      </c>
      <c r="K32" s="44" t="str">
        <f>IF(AND(ISNUMBER($G$32),ISNUMBER($H$32)),IF(ABS($H$32-$G$32)&lt;=$J$32,"PASS","FAIL"),"FAIL")</f>
        <v>PASS</v>
      </c>
    </row>
    <row r="33" spans="2:12" ht="16.2" customHeight="1">
      <c r="B33" s="60">
        <v>23</v>
      </c>
      <c r="C33" s="69" t="s">
        <v>476</v>
      </c>
      <c r="D33" s="69"/>
      <c r="E33" s="69"/>
      <c r="F33" s="69"/>
      <c r="G33" s="75">
        <v>1</v>
      </c>
      <c r="H33" s="42">
        <f>COUNTIFS(tblVerifyTags[Due status],"Overdue",tblVerifyTags[View date],"&gt;0")</f>
        <v>1</v>
      </c>
      <c r="I33" s="73">
        <f>IF(AND(ISNUMBER($G$33),ISNUMBER($H$33)),ABS($H$33-$G$33),"")</f>
        <v>0</v>
      </c>
      <c r="J33" s="74">
        <v>1E-09</v>
      </c>
      <c r="K33" s="44" t="str">
        <f>IF(AND(ISNUMBER($G$33),ISNUMBER($H$33)),IF(ABS($H$33-$G$33)&lt;=$J$33,"PASS","FAIL"),"FAIL")</f>
        <v>PASS</v>
      </c>
    </row>
    <row r="34" spans="2:12" ht="16.2" customHeight="1">
      <c r="B34" s="60">
        <v>24</v>
      </c>
      <c r="C34" s="69" t="s">
        <v>477</v>
      </c>
      <c r="D34" s="69"/>
      <c r="E34" s="69"/>
      <c r="F34" s="69"/>
      <c r="G34" s="58">
        <v>0.6666666666666666</v>
      </c>
      <c r="H34" s="43">
        <f>IF((COUNTIFS(tblVerifyTags[Status],"Closed",tblVerifyTags[View date],"&gt;0"))=0,"",(COUNTIFS(tblVerifyTags[Closed on time],"Yes",tblVerifyTags[View date],"&gt;0"))/(COUNTIFS(tblVerifyTags[Status],"Closed",tblVerifyTags[View date],"&gt;0")))</f>
        <v>0.666666666666667</v>
      </c>
      <c r="I34" s="73">
        <f>IF(AND(ISNUMBER($G$34),ISNUMBER($H$34)),ABS($H$34-$G$34),"")</f>
        <v>0</v>
      </c>
      <c r="J34" s="74">
        <v>1E-09</v>
      </c>
      <c r="K34" s="44" t="str">
        <f>IF(AND(ISNUMBER($G$34),ISNUMBER($H$34)),IF(ABS($H$34-$G$34)&lt;=$J$34,"PASS","FAIL"),"FAIL")</f>
        <v>PASS</v>
      </c>
    </row>
    <row r="35" spans="2:12" ht="16.2" customHeight="1">
      <c r="B35" s="60">
        <v>25</v>
      </c>
      <c r="C35" s="69" t="s">
        <v>478</v>
      </c>
      <c r="D35" s="69"/>
      <c r="E35" s="69"/>
      <c r="F35" s="69"/>
      <c r="G35" s="72">
        <v>30</v>
      </c>
      <c r="H35" s="39">
        <f>IF($E$46="",SUM(tblVerifyStandard[Minutes per week]),SUMIFS(tblVerifyStandard[Minutes per week],tblVerifyStandard[Machine],$E$46))</f>
        <v>30</v>
      </c>
      <c r="I35" s="73">
        <f>IF(AND(ISNUMBER($G$35),ISNUMBER($H$35)),ABS($H$35-$G$35),"")</f>
        <v>0</v>
      </c>
      <c r="J35" s="74">
        <v>1E-09</v>
      </c>
      <c r="K35" s="44" t="str">
        <f>IF(AND(ISNUMBER($G$35),ISNUMBER($H$35)),IF(ABS($H$35-$G$35)&lt;=$J$35,"PASS","FAIL"),"FAIL")</f>
        <v>PASS</v>
      </c>
    </row>
    <row r="37" spans="2:12" ht="21" customHeight="1">
      <c r="B37" s="8" t="s">
        <v>479</v>
      </c>
      <c r="C37" s="8"/>
      <c r="D37" s="8"/>
      <c r="E37" s="8"/>
      <c r="F37" s="8"/>
      <c r="G37" s="8"/>
      <c r="H37" s="8"/>
      <c r="I37" s="8"/>
      <c r="J37" s="8"/>
      <c r="K37" s="8"/>
      <c r="L37" s="8"/>
    </row>
    <row r="38" spans="2:12" ht="5" customHeight="1"/>
    <row r="39" spans="2:12">
      <c r="B39" s="21" t="s">
        <v>480</v>
      </c>
      <c r="C39" s="21"/>
      <c r="D39" s="21"/>
      <c r="E39" s="21"/>
      <c r="F39" s="21"/>
      <c r="G39" s="21"/>
      <c r="H39" s="21"/>
      <c r="I39" s="21"/>
      <c r="J39" s="21"/>
      <c r="K39" s="21"/>
      <c r="L39" s="21"/>
    </row>
    <row r="40" spans="2:12">
      <c r="B40" s="32" t="s">
        <v>481</v>
      </c>
      <c r="C40" s="32"/>
      <c r="D40" s="32"/>
      <c r="E40" s="32"/>
      <c r="F40" s="32"/>
    </row>
    <row r="41" spans="2:12">
      <c r="B41" s="27" t="s">
        <v>81</v>
      </c>
      <c r="C41" s="27"/>
      <c r="D41" s="27"/>
      <c r="E41" s="58">
        <v>0.95</v>
      </c>
      <c r="F41" s="7"/>
    </row>
    <row r="42" spans="2:12">
      <c r="B42" s="27" t="s">
        <v>482</v>
      </c>
      <c r="C42" s="27"/>
      <c r="D42" s="27"/>
      <c r="E42" s="76">
        <v>46094</v>
      </c>
      <c r="F42" s="7"/>
    </row>
    <row r="43" spans="2:12">
      <c r="B43" s="27" t="s">
        <v>483</v>
      </c>
      <c r="C43" s="27"/>
      <c r="D43" s="27"/>
      <c r="E43" s="75">
        <v>2</v>
      </c>
      <c r="F43" s="7"/>
    </row>
    <row r="44" spans="2:12">
      <c r="B44" s="27" t="s">
        <v>484</v>
      </c>
      <c r="C44" s="27"/>
      <c r="D44" s="27"/>
      <c r="E44" s="75">
        <v>0</v>
      </c>
      <c r="F44" s="7"/>
    </row>
    <row r="45" spans="2:12">
      <c r="B45" s="27" t="s">
        <v>485</v>
      </c>
      <c r="C45" s="27"/>
      <c r="D45" s="27"/>
      <c r="E45" s="75">
        <v>2958465</v>
      </c>
      <c r="F45" s="7"/>
    </row>
    <row r="46" spans="2:12">
      <c r="B46" s="27" t="s">
        <v>486</v>
      </c>
      <c r="C46" s="27"/>
      <c r="D46" s="27"/>
      <c r="E46" s="68" t="s">
        <v>248</v>
      </c>
      <c r="F46" s="68"/>
    </row>
    <row r="48" spans="2:12">
      <c r="B48" s="32" t="s">
        <v>487</v>
      </c>
      <c r="C48" s="32"/>
      <c r="D48" s="32"/>
      <c r="E48" s="32"/>
      <c r="F48" s="32"/>
      <c r="G48" s="32"/>
      <c r="H48" s="32"/>
      <c r="I48" s="32"/>
      <c r="J48" s="32"/>
      <c r="K48" s="32"/>
      <c r="L48" s="32"/>
    </row>
    <row r="49" spans="2:13" ht="20" customHeight="1">
      <c r="B49" s="33" t="s">
        <v>66</v>
      </c>
      <c r="C49" s="33" t="s">
        <v>67</v>
      </c>
      <c r="D49" s="33" t="s">
        <v>68</v>
      </c>
    </row>
    <row r="50" spans="2:13">
      <c r="B50" s="68" t="s">
        <v>488</v>
      </c>
      <c r="C50" s="68" t="s">
        <v>489</v>
      </c>
      <c r="D50" s="68" t="s">
        <v>490</v>
      </c>
    </row>
    <row r="51" spans="2:13">
      <c r="B51" s="68" t="s">
        <v>491</v>
      </c>
      <c r="C51" s="68" t="s">
        <v>489</v>
      </c>
      <c r="D51" s="68" t="s">
        <v>492</v>
      </c>
    </row>
    <row r="53" spans="2:13">
      <c r="B53" s="32" t="s">
        <v>493</v>
      </c>
      <c r="C53" s="32"/>
      <c r="D53" s="32"/>
      <c r="E53" s="32"/>
      <c r="F53" s="32"/>
      <c r="G53" s="32"/>
      <c r="H53" s="32"/>
      <c r="I53" s="32"/>
      <c r="J53" s="32"/>
      <c r="K53" s="32"/>
      <c r="L53" s="32"/>
    </row>
    <row r="54" spans="2:13" ht="20" customHeight="1">
      <c r="B54" s="33" t="s">
        <v>72</v>
      </c>
      <c r="C54" s="33" t="s">
        <v>73</v>
      </c>
      <c r="D54" s="33" t="s">
        <v>74</v>
      </c>
    </row>
    <row r="55" spans="2:13">
      <c r="B55" s="68" t="s">
        <v>117</v>
      </c>
      <c r="C55" s="68" t="s">
        <v>248</v>
      </c>
      <c r="D55" s="68" t="s">
        <v>248</v>
      </c>
    </row>
    <row r="56" spans="2:13">
      <c r="B56" s="68" t="s">
        <v>128</v>
      </c>
      <c r="C56" s="68" t="s">
        <v>248</v>
      </c>
      <c r="D56" s="68" t="s">
        <v>248</v>
      </c>
    </row>
    <row r="58" spans="2:13">
      <c r="B58" s="32" t="s">
        <v>494</v>
      </c>
      <c r="C58" s="32"/>
      <c r="D58" s="32"/>
      <c r="E58" s="32"/>
      <c r="F58" s="32"/>
      <c r="G58" s="32"/>
      <c r="H58" s="32"/>
      <c r="I58" s="32"/>
      <c r="J58" s="32"/>
      <c r="K58" s="32"/>
      <c r="L58" s="32"/>
    </row>
    <row r="59" spans="2:13" ht="32" customHeight="1">
      <c r="B59" s="33" t="s">
        <v>66</v>
      </c>
      <c r="C59" s="33" t="s">
        <v>135</v>
      </c>
      <c r="D59" s="33" t="s">
        <v>136</v>
      </c>
      <c r="E59" s="33" t="s">
        <v>137</v>
      </c>
      <c r="F59" s="33" t="s">
        <v>138</v>
      </c>
      <c r="G59" s="33" t="s">
        <v>139</v>
      </c>
      <c r="H59" s="33" t="s">
        <v>69</v>
      </c>
      <c r="I59" s="33" t="s">
        <v>140</v>
      </c>
      <c r="J59" s="33" t="s">
        <v>141</v>
      </c>
      <c r="K59" s="33" t="s">
        <v>70</v>
      </c>
      <c r="L59" s="33" t="s">
        <v>142</v>
      </c>
      <c r="M59" s="33" t="s">
        <v>143</v>
      </c>
    </row>
    <row r="60" spans="2:13">
      <c r="B60" s="68" t="s">
        <v>488</v>
      </c>
      <c r="C60" s="75">
        <v>1</v>
      </c>
      <c r="D60" s="68" t="s">
        <v>145</v>
      </c>
      <c r="E60" s="68" t="s">
        <v>495</v>
      </c>
      <c r="F60" s="68" t="s">
        <v>496</v>
      </c>
      <c r="G60" s="68" t="s">
        <v>497</v>
      </c>
      <c r="H60" s="68" t="s">
        <v>107</v>
      </c>
      <c r="I60" s="72">
        <v>2</v>
      </c>
      <c r="J60" s="68" t="s">
        <v>149</v>
      </c>
      <c r="K60" s="77">
        <v>5</v>
      </c>
      <c r="L60" s="39">
        <f>IF(tblVerifyStandard[[#This Row],[Machine]]="","",IF(tblVerifyStandard[[#This Row],[Checks per week]]="","",tblVerifyStandard[[#This Row],[Time (min)]]*tblVerifyStandard[[#This Row],[Checks per week]]))</f>
        <v>10</v>
      </c>
      <c r="M60" s="40" t="str">
        <f>IF(tblVerifyStandard[[#This Row],[Machine]]="","",IF(tblVerifyStandard[[#This Row],[Item no.]]="","Missing item no.",IF(tblVerifyStandard[[#This Row],[Task]]="","Missing task",IF(tblVerifyStandard[[#This Row],[Point]]="","Missing point",IF(tblVerifyStandard[[#This Row],[Time (min)]]="","Missing time",IF(tblVerifyStandard[[#This Row],[Checks per week]]="","Frequency not on Setup list",IF(COUNTIF(tblVerifyMachines[Machine],tblVerifyStandard[[#This Row],[Machine]])=0,"Machine not on Setup list",IF(COUNTIFS(tblVerifyStandard[Machine],tblVerifyStandard[[#This Row],[Machine]],tblVerifyStandard[Item no.],tblVerifyStandard[[#This Row],[Item no.]])&gt;1,"Duplicate item no.","OK"))))))))</f>
        <v>OK</v>
      </c>
    </row>
    <row r="61" spans="2:13">
      <c r="B61" s="68" t="s">
        <v>488</v>
      </c>
      <c r="C61" s="75">
        <v>2</v>
      </c>
      <c r="D61" s="68" t="s">
        <v>150</v>
      </c>
      <c r="E61" s="68" t="s">
        <v>498</v>
      </c>
      <c r="F61" s="68" t="s">
        <v>496</v>
      </c>
      <c r="G61" s="68" t="s">
        <v>497</v>
      </c>
      <c r="H61" s="68" t="s">
        <v>105</v>
      </c>
      <c r="I61" s="72">
        <v>1.5</v>
      </c>
      <c r="J61" s="68" t="s">
        <v>149</v>
      </c>
      <c r="K61" s="77">
        <v>10</v>
      </c>
      <c r="L61" s="39">
        <f>IF(tblVerifyStandard[[#This Row],[Machine]]="","",IF(tblVerifyStandard[[#This Row],[Checks per week]]="","",tblVerifyStandard[[#This Row],[Time (min)]]*tblVerifyStandard[[#This Row],[Checks per week]]))</f>
        <v>15</v>
      </c>
      <c r="M61" s="40" t="str">
        <f>IF(tblVerifyStandard[[#This Row],[Machine]]="","",IF(tblVerifyStandard[[#This Row],[Item no.]]="","Missing item no.",IF(tblVerifyStandard[[#This Row],[Task]]="","Missing task",IF(tblVerifyStandard[[#This Row],[Point]]="","Missing point",IF(tblVerifyStandard[[#This Row],[Time (min)]]="","Missing time",IF(tblVerifyStandard[[#This Row],[Checks per week]]="","Frequency not on Setup list",IF(COUNTIF(tblVerifyMachines[Machine],tblVerifyStandard[[#This Row],[Machine]])=0,"Machine not on Setup list",IF(COUNTIFS(tblVerifyStandard[Machine],tblVerifyStandard[[#This Row],[Machine]],tblVerifyStandard[Item no.],tblVerifyStandard[[#This Row],[Item no.]])&gt;1,"Duplicate item no.","OK"))))))))</f>
        <v>OK</v>
      </c>
    </row>
    <row r="62" spans="2:13">
      <c r="B62" s="68" t="s">
        <v>491</v>
      </c>
      <c r="C62" s="75">
        <v>1</v>
      </c>
      <c r="D62" s="68" t="s">
        <v>160</v>
      </c>
      <c r="E62" s="68" t="s">
        <v>499</v>
      </c>
      <c r="F62" s="68" t="s">
        <v>496</v>
      </c>
      <c r="G62" s="68" t="s">
        <v>497</v>
      </c>
      <c r="H62" s="68" t="s">
        <v>111</v>
      </c>
      <c r="I62" s="72">
        <v>20</v>
      </c>
      <c r="J62" s="68" t="s">
        <v>149</v>
      </c>
      <c r="K62" s="77">
        <v>0.25</v>
      </c>
      <c r="L62" s="39">
        <f>IF(tblVerifyStandard[[#This Row],[Machine]]="","",IF(tblVerifyStandard[[#This Row],[Checks per week]]="","",tblVerifyStandard[[#This Row],[Time (min)]]*tblVerifyStandard[[#This Row],[Checks per week]]))</f>
        <v>5</v>
      </c>
      <c r="M62" s="40" t="str">
        <f>IF(tblVerifyStandard[[#This Row],[Machine]]="","",IF(tblVerifyStandard[[#This Row],[Item no.]]="","Missing item no.",IF(tblVerifyStandard[[#This Row],[Task]]="","Missing task",IF(tblVerifyStandard[[#This Row],[Point]]="","Missing point",IF(tblVerifyStandard[[#This Row],[Time (min)]]="","Missing time",IF(tblVerifyStandard[[#This Row],[Checks per week]]="","Frequency not on Setup list",IF(COUNTIF(tblVerifyMachines[Machine],tblVerifyStandard[[#This Row],[Machine]])=0,"Machine not on Setup list",IF(COUNTIFS(tblVerifyStandard[Machine],tblVerifyStandard[[#This Row],[Machine]],tblVerifyStandard[Item no.],tblVerifyStandard[[#This Row],[Item no.]])&gt;1,"Duplicate item no.","OK"))))))))</f>
        <v>OK</v>
      </c>
    </row>
    <row r="64" spans="2:13">
      <c r="B64" s="32" t="s">
        <v>500</v>
      </c>
      <c r="C64" s="32"/>
      <c r="D64" s="32"/>
      <c r="E64" s="32"/>
      <c r="F64" s="32"/>
      <c r="G64" s="32"/>
      <c r="H64" s="32"/>
      <c r="I64" s="32"/>
      <c r="J64" s="32"/>
      <c r="K64" s="32"/>
      <c r="L64" s="32"/>
    </row>
    <row r="65" spans="2:17" ht="32" customHeight="1">
      <c r="B65" s="33" t="s">
        <v>237</v>
      </c>
      <c r="C65" s="33" t="s">
        <v>66</v>
      </c>
      <c r="D65" s="33" t="s">
        <v>238</v>
      </c>
      <c r="E65" s="33" t="s">
        <v>239</v>
      </c>
      <c r="F65" s="33" t="s">
        <v>67</v>
      </c>
      <c r="G65" s="33" t="s">
        <v>240</v>
      </c>
      <c r="H65" s="33" t="s">
        <v>241</v>
      </c>
      <c r="I65" s="33" t="s">
        <v>242</v>
      </c>
      <c r="J65" s="33" t="s">
        <v>243</v>
      </c>
      <c r="K65" s="33" t="s">
        <v>244</v>
      </c>
      <c r="L65" s="33" t="s">
        <v>245</v>
      </c>
      <c r="M65" s="33" t="s">
        <v>143</v>
      </c>
      <c r="N65" s="33" t="s">
        <v>246</v>
      </c>
    </row>
    <row r="66" spans="2:17">
      <c r="B66" s="76">
        <v>46083</v>
      </c>
      <c r="C66" s="68" t="s">
        <v>488</v>
      </c>
      <c r="D66" s="75">
        <v>500</v>
      </c>
      <c r="E66" s="75">
        <v>462</v>
      </c>
      <c r="F66" s="68" t="s">
        <v>489</v>
      </c>
      <c r="G66" s="39">
        <f>IF(tblVerifyChecks[[#This Row],[Week starting]]="","",SUMIFS(tblVerifyStandard[Checks per week],tblVerifyStandard[Machine],tblVerifyChecks[[#This Row],[Machine]]))</f>
        <v>15</v>
      </c>
      <c r="H66" s="42">
        <f>IF(tblVerifyChecks[[#This Row],[Week starting]]="","",tblVerifyChecks[[#This Row],[Checks due]]-tblVerifyChecks[[#This Row],[Checks done]])</f>
        <v>38</v>
      </c>
      <c r="I66" s="43">
        <f>IF(tblVerifyChecks[[#This Row],[Week starting]]="","",IF(tblVerifyChecks[[#This Row],[Checks due]]&gt;0,tblVerifyChecks[[#This Row],[Checks done]]/tblVerifyChecks[[#This Row],[Checks due]],""))</f>
        <v>0.924</v>
      </c>
      <c r="J66" s="44" t="str">
        <f>IF(NOT(ISNUMBER(tblVerifyChecks[[#This Row],[Compliance]])),"",IF(tblVerifyChecks[[#This Row],[Compliance]]&gt;=$E$41,"On target",IF(tblVerifyChecks[[#This Row],[Compliance]]&gt;=$E$41*(1-0.05),"Near target","Below target")))</f>
        <v>Near target</v>
      </c>
      <c r="K66" s="42">
        <f>IF(tblVerifyChecks[[#This Row],[Week starting]]="","",COUNTIFS(tblVerifyTags[Machine],tblVerifyChecks[[#This Row],[Machine]],tblVerifyTags[Date found],"&gt;="&amp;tblVerifyChecks[[#This Row],[Week starting]],tblVerifyTags[Date found],"&lt;"&amp;tblVerifyChecks[[#This Row],[Week starting]]+7))</f>
        <v>1</v>
      </c>
      <c r="L66" s="45">
        <f>IF(tblVerifyChecks[[#This Row],[Week starting]]="","",IF(AND(tblVerifyChecks[[#This Row],[Week starting]]&gt;=$E$44,tblVerifyChecks[[#This Row],[Week starting]]&lt;=$E$45,OR($E$46="",tblVerifyChecks[[#This Row],[Machine]]=$E$46)),tblVerifyChecks[[#This Row],[Week starting]],""))</f>
        <v>46083</v>
      </c>
      <c r="M66" s="40" t="str">
        <f>IF(tblVerifyChecks[[#This Row],[Week starting]]="","",IF(tblVerifyChecks[[#This Row],[Machine]]="","Missing machine",IF(tblVerifyChecks[[#This Row],[Checks due]]="","Missing checks due",IF(tblVerifyChecks[[#This Row],[Checks done]]="","Missing checks done",IF(tblVerifyChecks[[#This Row],[Area]]="","Machine not on Setup list",IF(tblVerifyChecks[[#This Row],[Checks done]]&gt;tblVerifyChecks[[#This Row],[Checks due]],"Done &gt; due",IF(WEEKDAY(tblVerifyChecks[[#This Row],[Week starting]],2)&lt;&gt;1,"Week does not start on a Monday",IF(COUNTIFS(tblVerifyChecks[Week starting],tblVerifyChecks[[#This Row],[Week starting]],tblVerifyChecks[Machine],tblVerifyChecks[[#This Row],[Machine]])&gt;1,"Duplicate week and machine","OK"))))))))</f>
        <v>OK</v>
      </c>
      <c r="N66" s="68" t="s">
        <v>501</v>
      </c>
    </row>
    <row r="67" spans="2:17">
      <c r="B67" s="76">
        <v>46083</v>
      </c>
      <c r="C67" s="68" t="s">
        <v>491</v>
      </c>
      <c r="D67" s="75">
        <v>40</v>
      </c>
      <c r="E67" s="75">
        <v>40</v>
      </c>
      <c r="F67" s="68" t="s">
        <v>489</v>
      </c>
      <c r="G67" s="39">
        <f>IF(tblVerifyChecks[[#This Row],[Week starting]]="","",SUMIFS(tblVerifyStandard[Checks per week],tblVerifyStandard[Machine],tblVerifyChecks[[#This Row],[Machine]]))</f>
        <v>0.25</v>
      </c>
      <c r="H67" s="42">
        <f>IF(tblVerifyChecks[[#This Row],[Week starting]]="","",tblVerifyChecks[[#This Row],[Checks due]]-tblVerifyChecks[[#This Row],[Checks done]])</f>
        <v>0</v>
      </c>
      <c r="I67" s="43">
        <f>IF(tblVerifyChecks[[#This Row],[Week starting]]="","",IF(tblVerifyChecks[[#This Row],[Checks due]]&gt;0,tblVerifyChecks[[#This Row],[Checks done]]/tblVerifyChecks[[#This Row],[Checks due]],""))</f>
        <v>1</v>
      </c>
      <c r="J67" s="44" t="str">
        <f>IF(NOT(ISNUMBER(tblVerifyChecks[[#This Row],[Compliance]])),"",IF(tblVerifyChecks[[#This Row],[Compliance]]&gt;=$E$41,"On target",IF(tblVerifyChecks[[#This Row],[Compliance]]&gt;=$E$41*(1-0.05),"Near target","Below target")))</f>
        <v>On target</v>
      </c>
      <c r="K67" s="42">
        <f>IF(tblVerifyChecks[[#This Row],[Week starting]]="","",COUNTIFS(tblVerifyTags[Machine],tblVerifyChecks[[#This Row],[Machine]],tblVerifyTags[Date found],"&gt;="&amp;tblVerifyChecks[[#This Row],[Week starting]],tblVerifyTags[Date found],"&lt;"&amp;tblVerifyChecks[[#This Row],[Week starting]]+7))</f>
        <v>1</v>
      </c>
      <c r="L67" s="45">
        <f>IF(tblVerifyChecks[[#This Row],[Week starting]]="","",IF(AND(tblVerifyChecks[[#This Row],[Week starting]]&gt;=$E$44,tblVerifyChecks[[#This Row],[Week starting]]&lt;=$E$45,OR($E$46="",tblVerifyChecks[[#This Row],[Machine]]=$E$46)),tblVerifyChecks[[#This Row],[Week starting]],""))</f>
        <v>46083</v>
      </c>
      <c r="M67" s="40" t="str">
        <f>IF(tblVerifyChecks[[#This Row],[Week starting]]="","",IF(tblVerifyChecks[[#This Row],[Machine]]="","Missing machine",IF(tblVerifyChecks[[#This Row],[Checks due]]="","Missing checks due",IF(tblVerifyChecks[[#This Row],[Checks done]]="","Missing checks done",IF(tblVerifyChecks[[#This Row],[Area]]="","Machine not on Setup list",IF(tblVerifyChecks[[#This Row],[Checks done]]&gt;tblVerifyChecks[[#This Row],[Checks due]],"Done &gt; due",IF(WEEKDAY(tblVerifyChecks[[#This Row],[Week starting]],2)&lt;&gt;1,"Week does not start on a Monday",IF(COUNTIFS(tblVerifyChecks[Week starting],tblVerifyChecks[[#This Row],[Week starting]],tblVerifyChecks[Machine],tblVerifyChecks[[#This Row],[Machine]])&gt;1,"Duplicate week and machine","OK"))))))))</f>
        <v>OK</v>
      </c>
      <c r="N67" s="68" t="s">
        <v>248</v>
      </c>
    </row>
    <row r="68" spans="2:17">
      <c r="B68" s="76">
        <v>46090</v>
      </c>
      <c r="C68" s="68" t="s">
        <v>488</v>
      </c>
      <c r="D68" s="75">
        <v>30</v>
      </c>
      <c r="E68" s="75">
        <v>24</v>
      </c>
      <c r="F68" s="68" t="s">
        <v>489</v>
      </c>
      <c r="G68" s="39">
        <f>IF(tblVerifyChecks[[#This Row],[Week starting]]="","",SUMIFS(tblVerifyStandard[Checks per week],tblVerifyStandard[Machine],tblVerifyChecks[[#This Row],[Machine]]))</f>
        <v>15</v>
      </c>
      <c r="H68" s="42">
        <f>IF(tblVerifyChecks[[#This Row],[Week starting]]="","",tblVerifyChecks[[#This Row],[Checks due]]-tblVerifyChecks[[#This Row],[Checks done]])</f>
        <v>6</v>
      </c>
      <c r="I68" s="43">
        <f>IF(tblVerifyChecks[[#This Row],[Week starting]]="","",IF(tblVerifyChecks[[#This Row],[Checks due]]&gt;0,tblVerifyChecks[[#This Row],[Checks done]]/tblVerifyChecks[[#This Row],[Checks due]],""))</f>
        <v>0.8</v>
      </c>
      <c r="J68" s="44" t="str">
        <f>IF(NOT(ISNUMBER(tblVerifyChecks[[#This Row],[Compliance]])),"",IF(tblVerifyChecks[[#This Row],[Compliance]]&gt;=$E$41,"On target",IF(tblVerifyChecks[[#This Row],[Compliance]]&gt;=$E$41*(1-0.05),"Near target","Below target")))</f>
        <v>Below target</v>
      </c>
      <c r="K68" s="42">
        <f>IF(tblVerifyChecks[[#This Row],[Week starting]]="","",COUNTIFS(tblVerifyTags[Machine],tblVerifyChecks[[#This Row],[Machine]],tblVerifyTags[Date found],"&gt;="&amp;tblVerifyChecks[[#This Row],[Week starting]],tblVerifyTags[Date found],"&lt;"&amp;tblVerifyChecks[[#This Row],[Week starting]]+7))</f>
        <v>1</v>
      </c>
      <c r="L68" s="45">
        <f>IF(tblVerifyChecks[[#This Row],[Week starting]]="","",IF(AND(tblVerifyChecks[[#This Row],[Week starting]]&gt;=$E$44,tblVerifyChecks[[#This Row],[Week starting]]&lt;=$E$45,OR($E$46="",tblVerifyChecks[[#This Row],[Machine]]=$E$46)),tblVerifyChecks[[#This Row],[Week starting]],""))</f>
        <v>46090</v>
      </c>
      <c r="M68" s="40" t="str">
        <f>IF(tblVerifyChecks[[#This Row],[Week starting]]="","",IF(tblVerifyChecks[[#This Row],[Machine]]="","Missing machine",IF(tblVerifyChecks[[#This Row],[Checks due]]="","Missing checks due",IF(tblVerifyChecks[[#This Row],[Checks done]]="","Missing checks done",IF(tblVerifyChecks[[#This Row],[Area]]="","Machine not on Setup list",IF(tblVerifyChecks[[#This Row],[Checks done]]&gt;tblVerifyChecks[[#This Row],[Checks due]],"Done &gt; due",IF(WEEKDAY(tblVerifyChecks[[#This Row],[Week starting]],2)&lt;&gt;1,"Week does not start on a Monday",IF(COUNTIFS(tblVerifyChecks[Week starting],tblVerifyChecks[[#This Row],[Week starting]],tblVerifyChecks[Machine],tblVerifyChecks[[#This Row],[Machine]])&gt;1,"Duplicate week and machine","OK"))))))))</f>
        <v>OK</v>
      </c>
      <c r="N68" s="68" t="s">
        <v>248</v>
      </c>
    </row>
    <row r="69" spans="2:17">
      <c r="B69" s="76">
        <v>46090</v>
      </c>
      <c r="C69" s="68" t="s">
        <v>491</v>
      </c>
      <c r="D69" s="75">
        <v>40</v>
      </c>
      <c r="E69" s="75">
        <v>45</v>
      </c>
      <c r="F69" s="68" t="s">
        <v>489</v>
      </c>
      <c r="G69" s="39">
        <f>IF(tblVerifyChecks[[#This Row],[Week starting]]="","",SUMIFS(tblVerifyStandard[Checks per week],tblVerifyStandard[Machine],tblVerifyChecks[[#This Row],[Machine]]))</f>
        <v>0.25</v>
      </c>
      <c r="H69" s="42">
        <f>IF(tblVerifyChecks[[#This Row],[Week starting]]="","",tblVerifyChecks[[#This Row],[Checks due]]-tblVerifyChecks[[#This Row],[Checks done]])</f>
        <v>-5</v>
      </c>
      <c r="I69" s="43">
        <f>IF(tblVerifyChecks[[#This Row],[Week starting]]="","",IF(tblVerifyChecks[[#This Row],[Checks due]]&gt;0,tblVerifyChecks[[#This Row],[Checks done]]/tblVerifyChecks[[#This Row],[Checks due]],""))</f>
        <v>1.125</v>
      </c>
      <c r="J69" s="44" t="str">
        <f>IF(NOT(ISNUMBER(tblVerifyChecks[[#This Row],[Compliance]])),"",IF(tblVerifyChecks[[#This Row],[Compliance]]&gt;=$E$41,"On target",IF(tblVerifyChecks[[#This Row],[Compliance]]&gt;=$E$41*(1-0.05),"Near target","Below target")))</f>
        <v>On target</v>
      </c>
      <c r="K69" s="42">
        <f>IF(tblVerifyChecks[[#This Row],[Week starting]]="","",COUNTIFS(tblVerifyTags[Machine],tblVerifyChecks[[#This Row],[Machine]],tblVerifyTags[Date found],"&gt;="&amp;tblVerifyChecks[[#This Row],[Week starting]],tblVerifyTags[Date found],"&lt;"&amp;tblVerifyChecks[[#This Row],[Week starting]]+7))</f>
        <v>0</v>
      </c>
      <c r="L69" s="45">
        <f>IF(tblVerifyChecks[[#This Row],[Week starting]]="","",IF(AND(tblVerifyChecks[[#This Row],[Week starting]]&gt;=$E$44,tblVerifyChecks[[#This Row],[Week starting]]&lt;=$E$45,OR($E$46="",tblVerifyChecks[[#This Row],[Machine]]=$E$46)),tblVerifyChecks[[#This Row],[Week starting]],""))</f>
        <v>46090</v>
      </c>
      <c r="M69" s="40" t="str">
        <f>IF(tblVerifyChecks[[#This Row],[Week starting]]="","",IF(tblVerifyChecks[[#This Row],[Machine]]="","Missing machine",IF(tblVerifyChecks[[#This Row],[Checks due]]="","Missing checks due",IF(tblVerifyChecks[[#This Row],[Checks done]]="","Missing checks done",IF(tblVerifyChecks[[#This Row],[Area]]="","Machine not on Setup list",IF(tblVerifyChecks[[#This Row],[Checks done]]&gt;tblVerifyChecks[[#This Row],[Checks due]],"Done &gt; due",IF(WEEKDAY(tblVerifyChecks[[#This Row],[Week starting]],2)&lt;&gt;1,"Week does not start on a Monday",IF(COUNTIFS(tblVerifyChecks[Week starting],tblVerifyChecks[[#This Row],[Week starting]],tblVerifyChecks[Machine],tblVerifyChecks[[#This Row],[Machine]])&gt;1,"Duplicate week and machine","OK"))))))))</f>
        <v>Done &gt; due</v>
      </c>
      <c r="N69" s="68" t="s">
        <v>502</v>
      </c>
    </row>
    <row r="71" spans="2:17">
      <c r="B71" s="32" t="s">
        <v>503</v>
      </c>
      <c r="C71" s="32"/>
      <c r="D71" s="32"/>
      <c r="E71" s="32"/>
      <c r="F71" s="32"/>
      <c r="G71" s="32"/>
      <c r="H71" s="32"/>
      <c r="I71" s="32"/>
      <c r="J71" s="32"/>
      <c r="K71" s="32"/>
      <c r="L71" s="32"/>
    </row>
    <row r="72" spans="2:17" ht="32" customHeight="1">
      <c r="B72" s="33" t="s">
        <v>251</v>
      </c>
      <c r="C72" s="33" t="s">
        <v>252</v>
      </c>
      <c r="D72" s="33" t="s">
        <v>66</v>
      </c>
      <c r="E72" s="33" t="s">
        <v>253</v>
      </c>
      <c r="F72" s="33" t="s">
        <v>72</v>
      </c>
      <c r="G72" s="33" t="s">
        <v>75</v>
      </c>
      <c r="H72" s="33" t="s">
        <v>68</v>
      </c>
      <c r="I72" s="33" t="s">
        <v>243</v>
      </c>
      <c r="J72" s="33" t="s">
        <v>254</v>
      </c>
      <c r="K72" s="33" t="s">
        <v>76</v>
      </c>
      <c r="L72" s="33" t="s">
        <v>255</v>
      </c>
      <c r="M72" s="33" t="s">
        <v>256</v>
      </c>
      <c r="N72" s="33" t="s">
        <v>257</v>
      </c>
      <c r="O72" s="33" t="s">
        <v>258</v>
      </c>
      <c r="P72" s="33" t="s">
        <v>245</v>
      </c>
      <c r="Q72" s="33" t="s">
        <v>143</v>
      </c>
    </row>
    <row r="73" spans="2:17">
      <c r="B73" s="68" t="s">
        <v>504</v>
      </c>
      <c r="C73" s="76">
        <v>46083</v>
      </c>
      <c r="D73" s="68" t="s">
        <v>488</v>
      </c>
      <c r="E73" s="68" t="s">
        <v>265</v>
      </c>
      <c r="F73" s="68" t="s">
        <v>117</v>
      </c>
      <c r="G73" s="68" t="s">
        <v>115</v>
      </c>
      <c r="H73" s="68" t="s">
        <v>505</v>
      </c>
      <c r="I73" s="68" t="s">
        <v>263</v>
      </c>
      <c r="J73" s="76">
        <v>46087</v>
      </c>
      <c r="K73" s="75">
        <v>7</v>
      </c>
      <c r="L73" s="45">
        <f>IF(tblVerifyTags[[#This Row],[Tag no.]]="","",IF(tblVerifyTags[[#This Row],[Target (days)]]="","",tblVerifyTags[[#This Row],[Date found]]+tblVerifyTags[[#This Row],[Target (days)]]))</f>
        <v>46090</v>
      </c>
      <c r="M73" s="42">
        <f>IF(tblVerifyTags[[#This Row],[Tag no.]]="","",IF(tblVerifyTags[[#This Row],[Status]]="Closed",IF(tblVerifyTags[[#This Row],[Date closed]]="","",tblVerifyTags[[#This Row],[Date closed]]-tblVerifyTags[[#This Row],[Date found]]),$E$42-tblVerifyTags[[#This Row],[Date found]]))</f>
        <v>4</v>
      </c>
      <c r="N73" s="44" t="str">
        <f>IF(tblVerifyTags[[#This Row],[Tag no.]]="","",IF(tblVerifyTags[[#This Row],[Status]]="Closed","Complete",IF(tblVerifyTags[[#This Row],[Due date]]="","",IF($E$42&gt;tblVerifyTags[[#This Row],[Due date]],"Overdue",IF(tblVerifyTags[[#This Row],[Due date]]-$E$42&lt;=$E$43,"Due soon","OK")))))</f>
        <v>Complete</v>
      </c>
      <c r="O73" s="44" t="str">
        <f>IF(tblVerifyTags[[#This Row],[Tag no.]]="","",IF(OR(tblVerifyTags[[#This Row],[Status]]&lt;&gt;"Closed",tblVerifyTags[[#This Row],[Date closed]]="",tblVerifyTags[[#This Row],[Due date]]=""),"",IF(tblVerifyTags[[#This Row],[Date closed]]&lt;=tblVerifyTags[[#This Row],[Due date]],"Yes","No")))</f>
        <v>Yes</v>
      </c>
      <c r="P73" s="45">
        <f>IF(tblVerifyTags[[#This Row],[Tag no.]]="","",IF(AND(tblVerifyTags[[#This Row],[Date found]]&gt;=$E$44,tblVerifyTags[[#This Row],[Date found]]&lt;=$E$45,OR($E$46="",tblVerifyTags[[#This Row],[Machine]]=$E$46)),tblVerifyTags[[#This Row],[Date found]],""))</f>
        <v>46083</v>
      </c>
      <c r="Q73" s="40" t="str">
        <f>IF(tblVerifyTags[[#This Row],[Tag no.]]="","",IF(tblVerifyTags[[#This Row],[Date found]]="","Missing date found",IF(tblVerifyTags[[#This Row],[Status]]="","Missing status",IF(tblVerifyTags[[#This Row],[Target (days)]]="","Tag type not on Setup list",IF(COUNTIF(tblVerifyMachines[Machine],tblVerifyTags[[#This Row],[Machine]])=0,"Machine not on Setup list",IF(COUNTIF(tblVerifyAbnTypes[Abnormality type],tblVerifyTags[[#This Row],[Abnormality type]])=0,"Abnormality type not on list",IF(OR(AND(tblVerifyTags[[#This Row],[Status]]="Closed",tblVerifyTags[[#This Row],[Date closed]]=""),AND(tblVerifyTags[[#This Row],[Status]]&lt;&gt;"Closed",tblVerifyTags[[#This Row],[Date closed]]&lt;&gt;"")),"Status and closing date disagree",IF(AND(tblVerifyTags[[#This Row],[Date closed]]&lt;&gt;"",tblVerifyTags[[#This Row],[Date closed]]&lt;tblVerifyTags[[#This Row],[Date found]]),"Closed before found",IF(OR(tblVerifyTags[[#This Row],[Date found]]&gt;$E$42,AND(tblVerifyTags[[#This Row],[Date closed]]&lt;&gt;"",tblVerifyTags[[#This Row],[Date closed]]&gt;$E$42)),"Date after the status date",IF(COUNTIF(tblVerifyTags[Tag no.],tblVerifyTags[[#This Row],[Tag no.]])&gt;1,"Duplicate tag no.","OK"))))))))))</f>
        <v>OK</v>
      </c>
    </row>
    <row r="74" spans="2:17">
      <c r="B74" s="68" t="s">
        <v>506</v>
      </c>
      <c r="C74" s="76">
        <v>46063</v>
      </c>
      <c r="D74" s="68" t="s">
        <v>488</v>
      </c>
      <c r="E74" s="68" t="s">
        <v>265</v>
      </c>
      <c r="F74" s="68" t="s">
        <v>117</v>
      </c>
      <c r="G74" s="68" t="s">
        <v>122</v>
      </c>
      <c r="H74" s="68" t="s">
        <v>507</v>
      </c>
      <c r="I74" s="68" t="s">
        <v>284</v>
      </c>
      <c r="J74" s="76"/>
      <c r="K74" s="75">
        <v>21</v>
      </c>
      <c r="L74" s="45">
        <f>IF(tblVerifyTags[[#This Row],[Tag no.]]="","",IF(tblVerifyTags[[#This Row],[Target (days)]]="","",tblVerifyTags[[#This Row],[Date found]]+tblVerifyTags[[#This Row],[Target (days)]]))</f>
        <v>46084</v>
      </c>
      <c r="M74" s="42">
        <f>IF(tblVerifyTags[[#This Row],[Tag no.]]="","",IF(tblVerifyTags[[#This Row],[Status]]="Closed",IF(tblVerifyTags[[#This Row],[Date closed]]="","",tblVerifyTags[[#This Row],[Date closed]]-tblVerifyTags[[#This Row],[Date found]]),$E$42-tblVerifyTags[[#This Row],[Date found]]))</f>
        <v>31</v>
      </c>
      <c r="N74" s="44" t="str">
        <f>IF(tblVerifyTags[[#This Row],[Tag no.]]="","",IF(tblVerifyTags[[#This Row],[Status]]="Closed","Complete",IF(tblVerifyTags[[#This Row],[Due date]]="","",IF($E$42&gt;tblVerifyTags[[#This Row],[Due date]],"Overdue",IF(tblVerifyTags[[#This Row],[Due date]]-$E$42&lt;=$E$43,"Due soon","OK")))))</f>
        <v>Overdue</v>
      </c>
      <c r="O74" s="44">
        <f>IF(tblVerifyTags[[#This Row],[Tag no.]]="","",IF(OR(tblVerifyTags[[#This Row],[Status]]&lt;&gt;"Closed",tblVerifyTags[[#This Row],[Date closed]]="",tblVerifyTags[[#This Row],[Due date]]=""),"",IF(tblVerifyTags[[#This Row],[Date closed]]&lt;=tblVerifyTags[[#This Row],[Due date]],"Yes","No")))</f>
        <v/>
      </c>
      <c r="P74" s="45">
        <f>IF(tblVerifyTags[[#This Row],[Tag no.]]="","",IF(AND(tblVerifyTags[[#This Row],[Date found]]&gt;=$E$44,tblVerifyTags[[#This Row],[Date found]]&lt;=$E$45,OR($E$46="",tblVerifyTags[[#This Row],[Machine]]=$E$46)),tblVerifyTags[[#This Row],[Date found]],""))</f>
        <v>46063</v>
      </c>
      <c r="Q74" s="40" t="str">
        <f>IF(tblVerifyTags[[#This Row],[Tag no.]]="","",IF(tblVerifyTags[[#This Row],[Date found]]="","Missing date found",IF(tblVerifyTags[[#This Row],[Status]]="","Missing status",IF(tblVerifyTags[[#This Row],[Target (days)]]="","Tag type not on Setup list",IF(COUNTIF(tblVerifyMachines[Machine],tblVerifyTags[[#This Row],[Machine]])=0,"Machine not on Setup list",IF(COUNTIF(tblVerifyAbnTypes[Abnormality type],tblVerifyTags[[#This Row],[Abnormality type]])=0,"Abnormality type not on list",IF(OR(AND(tblVerifyTags[[#This Row],[Status]]="Closed",tblVerifyTags[[#This Row],[Date closed]]=""),AND(tblVerifyTags[[#This Row],[Status]]&lt;&gt;"Closed",tblVerifyTags[[#This Row],[Date closed]]&lt;&gt;"")),"Status and closing date disagree",IF(AND(tblVerifyTags[[#This Row],[Date closed]]&lt;&gt;"",tblVerifyTags[[#This Row],[Date closed]]&lt;tblVerifyTags[[#This Row],[Date found]]),"Closed before found",IF(OR(tblVerifyTags[[#This Row],[Date found]]&gt;$E$42,AND(tblVerifyTags[[#This Row],[Date closed]]&lt;&gt;"",tblVerifyTags[[#This Row],[Date closed]]&gt;$E$42)),"Date after the status date",IF(COUNTIF(tblVerifyTags[Tag no.],tblVerifyTags[[#This Row],[Tag no.]])&gt;1,"Duplicate tag no.","OK"))))))))))</f>
        <v>OK</v>
      </c>
    </row>
    <row r="75" spans="2:17">
      <c r="B75" s="68" t="s">
        <v>508</v>
      </c>
      <c r="C75" s="76">
        <v>46075</v>
      </c>
      <c r="D75" s="68" t="s">
        <v>491</v>
      </c>
      <c r="E75" s="68" t="s">
        <v>261</v>
      </c>
      <c r="F75" s="68" t="s">
        <v>117</v>
      </c>
      <c r="G75" s="68" t="s">
        <v>122</v>
      </c>
      <c r="H75" s="68" t="s">
        <v>509</v>
      </c>
      <c r="I75" s="68" t="s">
        <v>284</v>
      </c>
      <c r="J75" s="76"/>
      <c r="K75" s="75">
        <v>21</v>
      </c>
      <c r="L75" s="45">
        <f>IF(tblVerifyTags[[#This Row],[Tag no.]]="","",IF(tblVerifyTags[[#This Row],[Target (days)]]="","",tblVerifyTags[[#This Row],[Date found]]+tblVerifyTags[[#This Row],[Target (days)]]))</f>
        <v>46096</v>
      </c>
      <c r="M75" s="42">
        <f>IF(tblVerifyTags[[#This Row],[Tag no.]]="","",IF(tblVerifyTags[[#This Row],[Status]]="Closed",IF(tblVerifyTags[[#This Row],[Date closed]]="","",tblVerifyTags[[#This Row],[Date closed]]-tblVerifyTags[[#This Row],[Date found]]),$E$42-tblVerifyTags[[#This Row],[Date found]]))</f>
        <v>19</v>
      </c>
      <c r="N75" s="44" t="str">
        <f>IF(tblVerifyTags[[#This Row],[Tag no.]]="","",IF(tblVerifyTags[[#This Row],[Status]]="Closed","Complete",IF(tblVerifyTags[[#This Row],[Due date]]="","",IF($E$42&gt;tblVerifyTags[[#This Row],[Due date]],"Overdue",IF(tblVerifyTags[[#This Row],[Due date]]-$E$42&lt;=$E$43,"Due soon","OK")))))</f>
        <v>Due soon</v>
      </c>
      <c r="O75" s="44">
        <f>IF(tblVerifyTags[[#This Row],[Tag no.]]="","",IF(OR(tblVerifyTags[[#This Row],[Status]]&lt;&gt;"Closed",tblVerifyTags[[#This Row],[Date closed]]="",tblVerifyTags[[#This Row],[Due date]]=""),"",IF(tblVerifyTags[[#This Row],[Date closed]]&lt;=tblVerifyTags[[#This Row],[Due date]],"Yes","No")))</f>
        <v/>
      </c>
      <c r="P75" s="45">
        <f>IF(tblVerifyTags[[#This Row],[Tag no.]]="","",IF(AND(tblVerifyTags[[#This Row],[Date found]]&gt;=$E$44,tblVerifyTags[[#This Row],[Date found]]&lt;=$E$45,OR($E$46="",tblVerifyTags[[#This Row],[Machine]]=$E$46)),tblVerifyTags[[#This Row],[Date found]],""))</f>
        <v>46075</v>
      </c>
      <c r="Q75" s="40" t="str">
        <f>IF(tblVerifyTags[[#This Row],[Tag no.]]="","",IF(tblVerifyTags[[#This Row],[Date found]]="","Missing date found",IF(tblVerifyTags[[#This Row],[Status]]="","Missing status",IF(tblVerifyTags[[#This Row],[Target (days)]]="","Tag type not on Setup list",IF(COUNTIF(tblVerifyMachines[Machine],tblVerifyTags[[#This Row],[Machine]])=0,"Machine not on Setup list",IF(COUNTIF(tblVerifyAbnTypes[Abnormality type],tblVerifyTags[[#This Row],[Abnormality type]])=0,"Abnormality type not on list",IF(OR(AND(tblVerifyTags[[#This Row],[Status]]="Closed",tblVerifyTags[[#This Row],[Date closed]]=""),AND(tblVerifyTags[[#This Row],[Status]]&lt;&gt;"Closed",tblVerifyTags[[#This Row],[Date closed]]&lt;&gt;"")),"Status and closing date disagree",IF(AND(tblVerifyTags[[#This Row],[Date closed]]&lt;&gt;"",tblVerifyTags[[#This Row],[Date closed]]&lt;tblVerifyTags[[#This Row],[Date found]]),"Closed before found",IF(OR(tblVerifyTags[[#This Row],[Date found]]&gt;$E$42,AND(tblVerifyTags[[#This Row],[Date closed]]&lt;&gt;"",tblVerifyTags[[#This Row],[Date closed]]&gt;$E$42)),"Date after the status date",IF(COUNTIF(tblVerifyTags[Tag no.],tblVerifyTags[[#This Row],[Tag no.]])&gt;1,"Duplicate tag no.","OK"))))))))))</f>
        <v>OK</v>
      </c>
    </row>
    <row r="76" spans="2:17">
      <c r="B76" s="68" t="s">
        <v>510</v>
      </c>
      <c r="C76" s="76">
        <v>46083</v>
      </c>
      <c r="D76" s="68" t="s">
        <v>491</v>
      </c>
      <c r="E76" s="68" t="s">
        <v>272</v>
      </c>
      <c r="F76" s="68" t="s">
        <v>128</v>
      </c>
      <c r="G76" s="68" t="s">
        <v>129</v>
      </c>
      <c r="H76" s="68" t="s">
        <v>511</v>
      </c>
      <c r="I76" s="68" t="s">
        <v>263</v>
      </c>
      <c r="J76" s="76">
        <v>46090</v>
      </c>
      <c r="K76" s="75">
        <v>2</v>
      </c>
      <c r="L76" s="45">
        <f>IF(tblVerifyTags[[#This Row],[Tag no.]]="","",IF(tblVerifyTags[[#This Row],[Target (days)]]="","",tblVerifyTags[[#This Row],[Date found]]+tblVerifyTags[[#This Row],[Target (days)]]))</f>
        <v>46085</v>
      </c>
      <c r="M76" s="42">
        <f>IF(tblVerifyTags[[#This Row],[Tag no.]]="","",IF(tblVerifyTags[[#This Row],[Status]]="Closed",IF(tblVerifyTags[[#This Row],[Date closed]]="","",tblVerifyTags[[#This Row],[Date closed]]-tblVerifyTags[[#This Row],[Date found]]),$E$42-tblVerifyTags[[#This Row],[Date found]]))</f>
        <v>7</v>
      </c>
      <c r="N76" s="44" t="str">
        <f>IF(tblVerifyTags[[#This Row],[Tag no.]]="","",IF(tblVerifyTags[[#This Row],[Status]]="Closed","Complete",IF(tblVerifyTags[[#This Row],[Due date]]="","",IF($E$42&gt;tblVerifyTags[[#This Row],[Due date]],"Overdue",IF(tblVerifyTags[[#This Row],[Due date]]-$E$42&lt;=$E$43,"Due soon","OK")))))</f>
        <v>Complete</v>
      </c>
      <c r="O76" s="44" t="str">
        <f>IF(tblVerifyTags[[#This Row],[Tag no.]]="","",IF(OR(tblVerifyTags[[#This Row],[Status]]&lt;&gt;"Closed",tblVerifyTags[[#This Row],[Date closed]]="",tblVerifyTags[[#This Row],[Due date]]=""),"",IF(tblVerifyTags[[#This Row],[Date closed]]&lt;=tblVerifyTags[[#This Row],[Due date]],"Yes","No")))</f>
        <v>No</v>
      </c>
      <c r="P76" s="45">
        <f>IF(tblVerifyTags[[#This Row],[Tag no.]]="","",IF(AND(tblVerifyTags[[#This Row],[Date found]]&gt;=$E$44,tblVerifyTags[[#This Row],[Date found]]&lt;=$E$45,OR($E$46="",tblVerifyTags[[#This Row],[Machine]]=$E$46)),tblVerifyTags[[#This Row],[Date found]],""))</f>
        <v>46083</v>
      </c>
      <c r="Q76" s="40" t="str">
        <f>IF(tblVerifyTags[[#This Row],[Tag no.]]="","",IF(tblVerifyTags[[#This Row],[Date found]]="","Missing date found",IF(tblVerifyTags[[#This Row],[Status]]="","Missing status",IF(tblVerifyTags[[#This Row],[Target (days)]]="","Tag type not on Setup list",IF(COUNTIF(tblVerifyMachines[Machine],tblVerifyTags[[#This Row],[Machine]])=0,"Machine not on Setup list",IF(COUNTIF(tblVerifyAbnTypes[Abnormality type],tblVerifyTags[[#This Row],[Abnormality type]])=0,"Abnormality type not on list",IF(OR(AND(tblVerifyTags[[#This Row],[Status]]="Closed",tblVerifyTags[[#This Row],[Date closed]]=""),AND(tblVerifyTags[[#This Row],[Status]]&lt;&gt;"Closed",tblVerifyTags[[#This Row],[Date closed]]&lt;&gt;"")),"Status and closing date disagree",IF(AND(tblVerifyTags[[#This Row],[Date closed]]&lt;&gt;"",tblVerifyTags[[#This Row],[Date closed]]&lt;tblVerifyTags[[#This Row],[Date found]]),"Closed before found",IF(OR(tblVerifyTags[[#This Row],[Date found]]&gt;$E$42,AND(tblVerifyTags[[#This Row],[Date closed]]&lt;&gt;"",tblVerifyTags[[#This Row],[Date closed]]&gt;$E$42)),"Date after the status date",IF(COUNTIF(tblVerifyTags[Tag no.],tblVerifyTags[[#This Row],[Tag no.]])&gt;1,"Duplicate tag no.","OK"))))))))))</f>
        <v>OK</v>
      </c>
    </row>
    <row r="77" spans="2:17">
      <c r="B77" s="68" t="s">
        <v>512</v>
      </c>
      <c r="C77" s="76">
        <v>46091</v>
      </c>
      <c r="D77" s="68" t="s">
        <v>488</v>
      </c>
      <c r="E77" s="68" t="s">
        <v>265</v>
      </c>
      <c r="F77" s="68" t="s">
        <v>117</v>
      </c>
      <c r="G77" s="68" t="s">
        <v>115</v>
      </c>
      <c r="H77" s="68" t="s">
        <v>513</v>
      </c>
      <c r="I77" s="68" t="s">
        <v>263</v>
      </c>
      <c r="J77" s="76">
        <v>46090</v>
      </c>
      <c r="K77" s="75">
        <v>7</v>
      </c>
      <c r="L77" s="45">
        <f>IF(tblVerifyTags[[#This Row],[Tag no.]]="","",IF(tblVerifyTags[[#This Row],[Target (days)]]="","",tblVerifyTags[[#This Row],[Date found]]+tblVerifyTags[[#This Row],[Target (days)]]))</f>
        <v>46098</v>
      </c>
      <c r="M77" s="42">
        <f>IF(tblVerifyTags[[#This Row],[Tag no.]]="","",IF(tblVerifyTags[[#This Row],[Status]]="Closed",IF(tblVerifyTags[[#This Row],[Date closed]]="","",tblVerifyTags[[#This Row],[Date closed]]-tblVerifyTags[[#This Row],[Date found]]),$E$42-tblVerifyTags[[#This Row],[Date found]]))</f>
        <v>-1</v>
      </c>
      <c r="N77" s="44" t="str">
        <f>IF(tblVerifyTags[[#This Row],[Tag no.]]="","",IF(tblVerifyTags[[#This Row],[Status]]="Closed","Complete",IF(tblVerifyTags[[#This Row],[Due date]]="","",IF($E$42&gt;tblVerifyTags[[#This Row],[Due date]],"Overdue",IF(tblVerifyTags[[#This Row],[Due date]]-$E$42&lt;=$E$43,"Due soon","OK")))))</f>
        <v>Complete</v>
      </c>
      <c r="O77" s="44" t="str">
        <f>IF(tblVerifyTags[[#This Row],[Tag no.]]="","",IF(OR(tblVerifyTags[[#This Row],[Status]]&lt;&gt;"Closed",tblVerifyTags[[#This Row],[Date closed]]="",tblVerifyTags[[#This Row],[Due date]]=""),"",IF(tblVerifyTags[[#This Row],[Date closed]]&lt;=tblVerifyTags[[#This Row],[Due date]],"Yes","No")))</f>
        <v>Yes</v>
      </c>
      <c r="P77" s="45">
        <f>IF(tblVerifyTags[[#This Row],[Tag no.]]="","",IF(AND(tblVerifyTags[[#This Row],[Date found]]&gt;=$E$44,tblVerifyTags[[#This Row],[Date found]]&lt;=$E$45,OR($E$46="",tblVerifyTags[[#This Row],[Machine]]=$E$46)),tblVerifyTags[[#This Row],[Date found]],""))</f>
        <v>46091</v>
      </c>
      <c r="Q77" s="40" t="str">
        <f>IF(tblVerifyTags[[#This Row],[Tag no.]]="","",IF(tblVerifyTags[[#This Row],[Date found]]="","Missing date found",IF(tblVerifyTags[[#This Row],[Status]]="","Missing status",IF(tblVerifyTags[[#This Row],[Target (days)]]="","Tag type not on Setup list",IF(COUNTIF(tblVerifyMachines[Machine],tblVerifyTags[[#This Row],[Machine]])=0,"Machine not on Setup list",IF(COUNTIF(tblVerifyAbnTypes[Abnormality type],tblVerifyTags[[#This Row],[Abnormality type]])=0,"Abnormality type not on list",IF(OR(AND(tblVerifyTags[[#This Row],[Status]]="Closed",tblVerifyTags[[#This Row],[Date closed]]=""),AND(tblVerifyTags[[#This Row],[Status]]&lt;&gt;"Closed",tblVerifyTags[[#This Row],[Date closed]]&lt;&gt;"")),"Status and closing date disagree",IF(AND(tblVerifyTags[[#This Row],[Date closed]]&lt;&gt;"",tblVerifyTags[[#This Row],[Date closed]]&lt;tblVerifyTags[[#This Row],[Date found]]),"Closed before found",IF(OR(tblVerifyTags[[#This Row],[Date found]]&gt;$E$42,AND(tblVerifyTags[[#This Row],[Date closed]]&lt;&gt;"",tblVerifyTags[[#This Row],[Date closed]]&gt;$E$42)),"Date after the status date",IF(COUNTIF(tblVerifyTags[Tag no.],tblVerifyTags[[#This Row],[Tag no.]])&gt;1,"Duplicate tag no.","OK"))))))))))</f>
        <v>Closed before found</v>
      </c>
    </row>
  </sheetData>
  <sheetProtection sheet="1" formatColumns="0" formatRows="0"/>
  <mergeCells count="48">
    <mergeCell ref="A1:Q1"/>
    <mergeCell ref="B2:P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B37:L37"/>
    <mergeCell ref="B39:L39"/>
    <mergeCell ref="B40:F40"/>
    <mergeCell ref="B41:D41"/>
    <mergeCell ref="B42:D42"/>
    <mergeCell ref="B43:D43"/>
    <mergeCell ref="B44:D44"/>
    <mergeCell ref="B45:D45"/>
    <mergeCell ref="B46:D46"/>
    <mergeCell ref="E46:F46"/>
    <mergeCell ref="B48:L48"/>
    <mergeCell ref="B53:L53"/>
    <mergeCell ref="B58:L58"/>
    <mergeCell ref="B64:L64"/>
    <mergeCell ref="B71:L71"/>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35">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M60:M62">
    <cfRule type="expression" dxfId="3" priority="41">
      <formula>$M60="OK"</formula>
    </cfRule>
    <cfRule type="expression" dxfId="1" priority="42">
      <formula>AND($M60&lt;&gt;"",$M60&lt;&gt;"OK")</formula>
    </cfRule>
  </conditionalFormatting>
  <conditionalFormatting sqref="M66:M69">
    <cfRule type="expression" dxfId="3" priority="43">
      <formula>$M66="OK"</formula>
    </cfRule>
    <cfRule type="expression" dxfId="1" priority="44">
      <formula>AND($M66&lt;&gt;"",$M66&lt;&gt;"OK")</formula>
    </cfRule>
  </conditionalFormatting>
  <conditionalFormatting sqref="Q73:Q77">
    <cfRule type="expression" dxfId="3" priority="45">
      <formula>$Q73="OK"</formula>
    </cfRule>
    <cfRule type="expression" dxfId="1" priority="46">
      <formula>AND($Q73&lt;&gt;"",$Q73&lt;&gt;"OK")</formula>
    </cfRule>
  </conditionalFormatting>
  <hyperlinks>
    <hyperlink ref="Q2" r:id="rId1" tooltip="Free manufacturing calculators and templates"/>
  </hyperlinks>
  <printOptions horizontalCentered="1"/>
  <pageMargins left="0.4" right="0.4" top="0.7" bottom="0.65" header="0.3" footer="0.3"/>
  <pageSetup fitToHeight="0" orientation="landscape"/>
  <headerFooter>
    <oddHeader>&amp;L&amp;8MFG Calcs - TPM Autonomous Maintenance Checklist&amp;R&amp;8&amp;A</oddHeader>
    <oddFooter>&amp;L&amp;8mfgcalcs.com - free manufacturing templates&amp;R&amp;8Page &amp;P of &amp;N</oddFooter>
  </headerFooter>
  <rowBreaks count="1" manualBreakCount="1">
    <brk id="39" max="16383" man="1"/>
  </rowBreaks>
  <tableParts count="5">
    <tablePart r:id="rId2"/>
    <tablePart r:id="rId3"/>
    <tablePart r:id="rId4"/>
    <tablePart r:id="rId5"/>
    <tablePart r:id="rId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29</vt:i4>
      </vt:variant>
    </vt:vector>
  </HeadingPairs>
  <TitlesOfParts>
    <vt:vector size="37" baseType="lpstr">
      <vt:lpstr>Start Here</vt:lpstr>
      <vt:lpstr>Setup</vt:lpstr>
      <vt:lpstr>CILT Standard</vt:lpstr>
      <vt:lpstr>Weekly Checks</vt:lpstr>
      <vt:lpstr>Abnormality Tags</vt:lpstr>
      <vt:lpstr>Dashboard</vt:lpstr>
      <vt:lpstr>Method</vt:lpstr>
      <vt:lpstr>Verify</vt:lpstr>
      <vt:lpstr>AsOf</vt:lpstr>
      <vt:lpstr>DashFrom</vt:lpstr>
      <vt:lpstr>DashMachine</vt:lpstr>
      <vt:lpstr>DashTo</vt:lpstr>
      <vt:lpstr>KpiAmMin</vt:lpstr>
      <vt:lpstr>KpiCompliance</vt:lpstr>
      <vt:lpstr>KpiFound</vt:lpstr>
      <vt:lpstr>KpiMissed</vt:lpstr>
      <vt:lpstr>KpiOnTime</vt:lpstr>
      <vt:lpstr>KpiOpenTags</vt:lpstr>
      <vt:lpstr>KpiOverdue</vt:lpstr>
      <vt:lpstr>KpiTopType</vt:lpstr>
      <vt:lpstr>PlantName</vt:lpstr>
      <vt:lpstr>'Abnormality Tags'!Print_Area</vt:lpstr>
      <vt:lpstr>'CILT Standard'!Print_Area</vt:lpstr>
      <vt:lpstr>Dashboard!Print_Area</vt:lpstr>
      <vt:lpstr>Method!Print_Area</vt:lpstr>
      <vt:lpstr>Setup!Print_Area</vt:lpstr>
      <vt:lpstr>'Start Here'!Print_Area</vt:lpstr>
      <vt:lpstr>Verify!Print_Area</vt:lpstr>
      <vt:lpstr>'Weekly Checks'!Print_Area</vt:lpstr>
      <vt:lpstr>'Abnormality Tags'!Print_Titles</vt:lpstr>
      <vt:lpstr>'CILT Standard'!Print_Titles</vt:lpstr>
      <vt:lpstr>Method!Print_Titles</vt:lpstr>
      <vt:lpstr>'Weekly Checks'!Print_Titles</vt:lpstr>
      <vt:lpstr>SelfCheck</vt:lpstr>
      <vt:lpstr>SelfCheckSummary</vt:lpstr>
      <vt:lpstr>TagDueSoon</vt:lpstr>
      <vt:lpstr>TargetCompliance</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TPM Autonomous Maintenance Checklist - free Excel template from MFG Calcs</dc:title>
  <dc:subject>Write each machine's clean, inspect, lubricate and tighten standard, track weekly check compliance, and follow every abnormality tag until it is fixed.</dc:subject>
  <dc:creator>MFG Calcs</dc:creator>
  <cp:keywords>TPM, autonomous maintenance, Jishu Hozen, CILT, AM checklist, abnormality tags, check sheet, compliance</cp:keywords>
  <dc:description>https://www.mfgcalcs.com/templates/tpm-checklist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tpm-checklist</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checklist</vt:lpwstr>
  </property>
  <property fmtid="{D5CDD505-2E9C-101B-9397-08002B2CF9AE}" pid="6" name="Template URL">
    <vt:lpwstr>https://www.mfgcalcs.com/templates/tpm-checklist</vt:lpwstr>
  </property>
  <property fmtid="{D5CDD505-2E9C-101B-9397-08002B2CF9AE}" pid="7" name="Template sheet roles">
    <vt:lpwstr>Start Here=start;Setup=setup;CILT Standard=work;Weekly Checks=work;Abnormality Tags=work;Dashboard=dashboard;Method=method;Verify=verify</vt:lpwstr>
  </property>
</Properties>
</file>