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Part Costs" sheetId="3" r:id="rId3"/>
    <sheet name="Operations" sheetId="4" r:id="rId4"/>
    <sheet name="Dashboard" sheetId="5" r:id="rId5"/>
    <sheet name="Method" sheetId="6" r:id="rId6"/>
    <sheet name="Verify" sheetId="7" r:id="rId7"/>
  </sheets>
  <definedNames>
    <definedName name="Currency">Setup!$C$7</definedName>
    <definedName name="KpiBelow">Dashboard!$D$5</definedName>
    <definedName name="KpiBig">Dashboard!$J$5</definedName>
    <definedName name="KpiMargin">Dashboard!$B$5</definedName>
    <definedName name="KpiScrap">Dashboard!$G$5</definedName>
    <definedName name="LabourRate">Setup!$C$8</definedName>
    <definedName name="OverheadPct">Setup!$C$9</definedName>
    <definedName name="PartList">tblParts[Part]</definedName>
    <definedName name="PlantName">Setup!$C$6</definedName>
    <definedName name="_xlnm.Print_Area" localSheetId="4">Dashboard!$A$1:$L$68</definedName>
    <definedName name="_xlnm.Print_Area" localSheetId="5">Method!$A$1:$D$60</definedName>
    <definedName name="_xlnm.Print_Area" localSheetId="3">Operations!$A$1:$N$44</definedName>
    <definedName name="_xlnm.Print_Area" localSheetId="2">'Part Costs'!$A$1:$X$16</definedName>
    <definedName name="_xlnm.Print_Area" localSheetId="1">Setup!$A$1:$E$28</definedName>
    <definedName name="_xlnm.Print_Area" localSheetId="0">'Start Here'!$A$1:$F$57</definedName>
    <definedName name="_xlnm.Print_Area" localSheetId="6">Verify!$A$1:$X$52</definedName>
    <definedName name="_xlnm.Print_Titles" localSheetId="5">Method!$1:$2</definedName>
    <definedName name="_xlnm.Print_Titles" localSheetId="3">Operations!$1:$6</definedName>
    <definedName name="_xlnm.Print_Titles" localSheetId="2">'Part Costs'!$1:$6</definedName>
    <definedName name="SelfCheck">Verify!$D$4</definedName>
    <definedName name="SelfCheckSummary">Verify!$F$4</definedName>
    <definedName name="TargetMargin">Setup!$C$10</definedName>
    <definedName name="WorkCentres">tblWorkCentres[Work centre]</definedName>
  </definedNames>
  <calcPr calcId="124519" fullCalcOnLoad="1"/>
</workbook>
</file>

<file path=xl/sharedStrings.xml><?xml version="1.0" encoding="utf-8"?>
<sst xmlns="http://schemas.openxmlformats.org/spreadsheetml/2006/main" count="654" uniqueCount="281">
  <si>
    <t>Unit Cost Spreadsheet</t>
  </si>
  <si>
    <t>Read this first: what the workbook does and how to use it.</t>
  </si>
  <si>
    <t>mfgcalcs.com</t>
  </si>
  <si>
    <t>Cost every part in a family from material, routing, setup, overhead and scrap, and see which parts miss your margin and where the money goes.</t>
  </si>
  <si>
    <t>For: Cost and manufacturing engineers, estimators, plant controllers and owners of machine shops and fabricators.</t>
  </si>
  <si>
    <t>Version 1.0.0  ·  updated 15 October 2026</t>
  </si>
  <si>
    <t>Quick start</t>
  </si>
  <si>
    <t>1.</t>
  </si>
  <si>
    <t>On Setup, type your currency, loaded labour rate, overhead percentage and target margin, then list your work centres with their machine rates.</t>
  </si>
  <si>
    <t>2.</t>
  </si>
  <si>
    <t>On Part Costs, add one row per part: material, bought-in items, batch size, scrap rate, annual volume and price.</t>
  </si>
  <si>
    <t>3.</t>
  </si>
  <si>
    <t>On Operations, add one row per routing step: part, work centre, setup hours, cycle seconds and operators per machine.</t>
  </si>
  <si>
    <t>4.</t>
  </si>
  <si>
    <t>Read unit cost, margin and status on Part Costs; the Check columns name any part or operation that does not add up.</t>
  </si>
  <si>
    <t>5.</t>
  </si>
  <si>
    <t>Open the Dashboard: margin against target, the cost build-up of every part and the annual cost by element.</t>
  </si>
  <si>
    <t>What is in this workbook</t>
  </si>
  <si>
    <t>Start Here</t>
  </si>
  <si>
    <t>Setup</t>
  </si>
  <si>
    <t>Currency, labour rate, overhead, target margin and the work-centre machine rates.</t>
  </si>
  <si>
    <t>Part Costs</t>
  </si>
  <si>
    <t>One row per part: material, batch, scrap, volume and price. Labour, machine and setup come from the Operations sheet.</t>
  </si>
  <si>
    <t>Operations</t>
  </si>
  <si>
    <t>One row per routing step of each part: work centre, setup hours, cycle time and operators per machine.</t>
  </si>
  <si>
    <t>Dashboard</t>
  </si>
  <si>
    <t>Margin against target, the cost build-up of every part, and where the annual cost goes.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</si>
  <si>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</si>
  <si>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</si>
  <si>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</si>
  <si>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</si>
  <si>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</si>
  <si>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</si>
  <si>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</si>
  <si>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</si>
  <si>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</si>
  <si>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</si>
  <si>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</si>
  <si>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</si>
  <si>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</si>
  <si>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</si>
  <si>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</si>
  <si>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</si>
  <si>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</si>
  <si>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</si>
  <si>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</si>
  <si>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</si>
  <si>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Unit Cost Calculator on mfgcalcs.com</t>
  </si>
  <si>
    <t>Latest version</t>
  </si>
  <si>
    <t>mfgcalcs.com/templates/unit-cost-spreadsheet</t>
  </si>
  <si>
    <t>More free templates</t>
  </si>
  <si>
    <t>mfgcalcs.com/templates</t>
  </si>
  <si>
    <t>Version</t>
  </si>
  <si>
    <t>1.0.0 (updated 15 October 2026)</t>
  </si>
  <si>
    <t>About the example data</t>
  </si>
  <si>
    <t>Every number already in this workbook is example data for Kessler Precision, a fictional business invented for this template, so the dashboard and charts show something meaningful on day one. It costs ten parts (fittings, manifold blocks, a ground valve spool and an assembled kit) through nine work centres; rates, prices and volumes are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</si>
  <si>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</si>
  <si>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</si>
  <si>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</si>
  <si>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</si>
  <si>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</si>
  <si>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</si>
  <si>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</si>
  <si>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</si>
  <si>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Work centre</t>
  </si>
  <si>
    <t>Machine rate</t>
  </si>
  <si>
    <t>Notes</t>
  </si>
  <si>
    <t>Rates and targets</t>
  </si>
  <si>
    <t>Company or plant</t>
  </si>
  <si>
    <t>Kessler Precision (example)</t>
  </si>
  <si>
    <t>Currency label</t>
  </si>
  <si>
    <t>USD</t>
  </si>
  <si>
    <t>Direct labour rate, loaded</t>
  </si>
  <si>
    <t>Factory overhead on conversion cost</t>
  </si>
  <si>
    <t>Target margin on price</t>
  </si>
  <si>
    <t>Margin is on price: a 25% margin is a 33% markup on cost. 'Near target' means within 5% of the target (23.75% to 25% against a 25% target). Rates are examples: use your own shop and payroll figures.</t>
  </si>
  <si>
    <t>Work centres</t>
  </si>
  <si>
    <t>Machine rate = the hourly cost of the machine without its operator: depreciation, interest, space, power and maintenance (the Machine Hour Rate template builds one). Labour is added from the labour rate and the operators per machine.</t>
  </si>
  <si>
    <t>Work centres (example machine rates)</t>
  </si>
  <si>
    <t>Saw</t>
  </si>
  <si>
    <t>Bandsaw; depreciation, power, space and maintenance</t>
  </si>
  <si>
    <t>CNC lathe</t>
  </si>
  <si>
    <t>2-axis lathe with bar feeder</t>
  </si>
  <si>
    <t>CNC mill 3-axis</t>
  </si>
  <si>
    <t>Vertical machining centre</t>
  </si>
  <si>
    <t>CNC mill 5-axis</t>
  </si>
  <si>
    <t>5-axis machining centre</t>
  </si>
  <si>
    <t>Cylindrical grinder</t>
  </si>
  <si>
    <t/>
  </si>
  <si>
    <t>Deburr bench</t>
  </si>
  <si>
    <t>Hand tools and air</t>
  </si>
  <si>
    <t>Parts washer</t>
  </si>
  <si>
    <t>Aqueous washer</t>
  </si>
  <si>
    <t>Inspection (CMM)</t>
  </si>
  <si>
    <t>Coordinate measuring machine</t>
  </si>
  <si>
    <t>Assembly bench</t>
  </si>
  <si>
    <t>Kitting and bagging</t>
  </si>
  <si>
    <t>Part</t>
  </si>
  <si>
    <t>Description</t>
  </si>
  <si>
    <t>Material</t>
  </si>
  <si>
    <t>Bought-in and packaging</t>
  </si>
  <si>
    <t>Batch size</t>
  </si>
  <si>
    <t>Scrap rate</t>
  </si>
  <si>
    <t>Annual volume</t>
  </si>
  <si>
    <t>Price</t>
  </si>
  <si>
    <t>Labour</t>
  </si>
  <si>
    <t>Machine</t>
  </si>
  <si>
    <t>Overhead</t>
  </si>
  <si>
    <t>Cost per part started</t>
  </si>
  <si>
    <t>Scrap allowance</t>
  </si>
  <si>
    <t>Unit cost</t>
  </si>
  <si>
    <t>Margin</t>
  </si>
  <si>
    <t>Margin status</t>
  </si>
  <si>
    <t>Annual cost</t>
  </si>
  <si>
    <t>Annual revenue</t>
  </si>
  <si>
    <t>Annual margin</t>
  </si>
  <si>
    <t>Annual scrap cost</t>
  </si>
  <si>
    <t>Check</t>
  </si>
  <si>
    <t>Example data for Kessler Precision (fictional). Replace it with your own: select the example rows, right-click, Delete &gt; Table Rows (do the same on Operations). Yellow = you type; blue = calculated; Check names any problem.</t>
  </si>
  <si>
    <t>parts</t>
  </si>
  <si>
    <t>%</t>
  </si>
  <si>
    <t>parts/yr</t>
  </si>
  <si>
    <t>% of price</t>
  </si>
  <si>
    <t>HF-101</t>
  </si>
  <si>
    <t>Straight adaptor 1/2 in, steel</t>
  </si>
  <si>
    <t>HF-102</t>
  </si>
  <si>
    <t>Elbow 90 deg 1/2 in, steel</t>
  </si>
  <si>
    <t>HF-205</t>
  </si>
  <si>
    <t>Tee 3/4 in, steel</t>
  </si>
  <si>
    <t>HF-130</t>
  </si>
  <si>
    <t>Adaptor 1 in, stainless</t>
  </si>
  <si>
    <t>MB-310</t>
  </si>
  <si>
    <t>Manifold block, 4 ports</t>
  </si>
  <si>
    <t>MB-320</t>
  </si>
  <si>
    <t>Manifold block, 6 ports, 5-axis</t>
  </si>
  <si>
    <t>VS-410</t>
  </si>
  <si>
    <t>Valve spool, ground</t>
  </si>
  <si>
    <t>FL-720</t>
  </si>
  <si>
    <t>Flange, steel</t>
  </si>
  <si>
    <t>PL-610</t>
  </si>
  <si>
    <t>Port plug, bar-fed</t>
  </si>
  <si>
    <t>KT-500</t>
  </si>
  <si>
    <t>Fitting kit, 4 fittings bagged</t>
  </si>
  <si>
    <t>Op</t>
  </si>
  <si>
    <t>Operation</t>
  </si>
  <si>
    <t>Setup (h/batch)</t>
  </si>
  <si>
    <t>Cycle (s/part)</t>
  </si>
  <si>
    <t>Operators (per machine)</t>
  </si>
  <si>
    <t>Setup cost</t>
  </si>
  <si>
    <t>Example routings for Kessler Precision (fictional). One row per operation; a part's labour, machine and setup cost on Part Costs are the sums of its rows here.</t>
  </si>
  <si>
    <t>Cut blank</t>
  </si>
  <si>
    <t>Turn</t>
  </si>
  <si>
    <t>Deburr</t>
  </si>
  <si>
    <t>Wash</t>
  </si>
  <si>
    <t>Mill and drill</t>
  </si>
  <si>
    <t>Inspect</t>
  </si>
  <si>
    <t>Machine 5 sides</t>
  </si>
  <si>
    <t>Grind lands</t>
  </si>
  <si>
    <t>Bar-fed, one operator tends four lathes</t>
  </si>
  <si>
    <t>Kit and bag</t>
  </si>
  <si>
    <t>WEIGHTED MARGIN ON PRICE</t>
  </si>
  <si>
    <t>PARTS BELOW TARGET MARGIN</t>
  </si>
  <si>
    <t>BIGGEST COST ELEMENT</t>
  </si>
  <si>
    <t>Margin status on Part Costs</t>
  </si>
  <si>
    <t>Scrap allowance x annual volume</t>
  </si>
  <si>
    <t>Share of annual cost</t>
  </si>
  <si>
    <t>By part: unit cost, margin and annual figures</t>
  </si>
  <si>
    <t>Target margin</t>
  </si>
  <si>
    <t>Annual cost by element (all parts)</t>
  </si>
  <si>
    <t>Cost element</t>
  </si>
  <si>
    <t>Share</t>
  </si>
  <si>
    <t>Materials</t>
  </si>
  <si>
    <t>Chart data: unit cost build-up by part (first parts of the Part Costs table)</t>
  </si>
  <si>
    <t>The Dashboard shows the first 10 parts of the Part Costs table. The tiles and the annual cost by element cover every part; to chart more parts, extend the By part and chart data blocks (see Method).</t>
  </si>
  <si>
    <t>What this workbook calculates</t>
  </si>
  <si>
    <t>Unit cost is the full cost of one good part: what goes into it (material and bought-in items), the time it spends on each work centre (labour and machine), its share of the setups, the factory overhead on that conversion work, and the extra parts that must be started because some are scrapped. Each part is a row on Part Costs; its routing is one row per operation on Operations, so a part can visit any number of work centres with different rates and crews.</t>
  </si>
  <si>
    <t>Calculations</t>
  </si>
  <si>
    <t>Quantity</t>
  </si>
  <si>
    <t>How it is calculated</t>
  </si>
  <si>
    <t>Units</t>
  </si>
  <si>
    <t>Labour per operation</t>
  </si>
  <si>
    <t>Cycle seconds / 3600 x operators per machine x loaded labour rate (Setup).</t>
  </si>
  <si>
    <t>currency/part</t>
  </si>
  <si>
    <t>Machine per operation</t>
  </si>
  <si>
    <t>Cycle seconds / 3600 x the work centre's machine rate (Setup list, looked up by INDEX/MATCH).</t>
  </si>
  <si>
    <t>Setup cost per operation</t>
  </si>
  <si>
    <t>Setup hours x (machine rate + labour rate): the machine is charged while one setter sets it up.</t>
  </si>
  <si>
    <t>currency/batch</t>
  </si>
  <si>
    <t>Labour, machine per part</t>
  </si>
  <si>
    <t>SUMIFS of the part's operations.
Excel: =SUMIFS(tblOps[Labour], tblOps[Part], [@Part])</t>
  </si>
  <si>
    <t>Setup per part</t>
  </si>
  <si>
    <t>Sum of the part's setup costs / batch size.</t>
  </si>
  <si>
    <t>(Labour + machine + setup) x overhead percentage (Setup).</t>
  </si>
  <si>
    <t>Material + bought-in and packaging + labour + machine + setup + overhead.</t>
  </si>
  <si>
    <t>Cost per part started / (1 - scrap rate): every good part carries the cost of the scrapped ones.</t>
  </si>
  <si>
    <t>Unit cost - cost per part started.</t>
  </si>
  <si>
    <t>Margin and status</t>
  </si>
  <si>
    <t>(Price - unit cost) / price. On target at or above the target margin, Near target within 5% of it, Below target otherwise.</t>
  </si>
  <si>
    <t>Annual cost, revenue, margin, scrap cost</t>
  </si>
  <si>
    <t>Unit cost, price, price - unit cost and scrap allowance, each x annual volume.</t>
  </si>
  <si>
    <t>currency/yr</t>
  </si>
  <si>
    <t>Weighted margin</t>
  </si>
  <si>
    <t>Sum of annual margin / sum of annual revenue over the priced parts (not an average of percentages).</t>
  </si>
  <si>
    <t>Annual cost by element</t>
  </si>
  <si>
    <t>For each element (materials = material + bought-in and packaging; labour; machine; setup; overhead; scrap allowance), SUMPRODUCT of its per-part cost and the annual volume over all parts; share = element / total.</t>
  </si>
  <si>
    <t>Assumptions</t>
  </si>
  <si>
    <t>Every operation runs the parts started, and scrap is found at the end and replaced by starting more parts: material and every operation's time are paid for the scrapped parts too.</t>
  </si>
  <si>
    <t>One setter sets up each operation; during setup the machine is charged at its rate. Setup time is the same whatever the batch size.</t>
  </si>
  <si>
    <t>Overhead is a single percentage of conversion cost (labour, machine and setup); material and bought-in items carry none.</t>
  </si>
  <si>
    <t>Rates are the same for every part at a work centre; operators per machine split one person's time across the machines they tend.</t>
  </si>
  <si>
    <t>Limitations</t>
  </si>
  <si>
    <t>Scrap that is found part-way through the routing costs less than modelled here (the later operations are not spent on it).</t>
  </si>
  <si>
    <t>No learning curve, no volume discounts on material, no tooling amortisation: put tooling per part into bought-in and packaging if you need it.</t>
  </si>
  <si>
    <t>The Dashboard's part blocks have 10 slots; the tiles and the annual cost by element cover every part. A warning appears when the table is longer.</t>
  </si>
  <si>
    <t>Margin uses the price you type; it does not include freight, payment terms or rebates.</t>
  </si>
  <si>
    <t>Agreement with the live calculator</t>
  </si>
  <si>
    <t>The live Unit Cost calculator costs one part from material, a single shop rate, cycle time, setup cost per run, batch size and scrap rate: cost per part started = material + shop rate x cycle / 3600 + setup cost / batch; unit cost = cost per part started / (1 - scrap rate); scrap loss = unit cost - cost per part started. This workbook is the same model per part with a routing: for a one-operation part, its shop rate is (machine rate + operators x labour rate) x (1 + overhead) and its setup cost per run is setup hours x (machine rate + labour rate) x (1 + overhead). The build checks the reference implementation against the calculator's engine for the calculator's own example (2.50 material, 93 per hour, 45 s, 240 setup, 500 parts, 3% scrap: unit cost 4.27) and for the example port plug PL-610.</t>
  </si>
  <si>
    <t>Open the Unit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</si>
  <si>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</si>
  <si>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</si>
  <si>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Product costing and absorption of overhead as described in management accounting texts, e.g. Horngren, Datar and Rajan, Cost Accounting: A Managerial Emphasis (job costing and overhead allocation chapters).</t>
  </si>
  <si>
    <t>MFG Calcs Unit Cost calculator (unit-cost): cost per part started, unit cost per good part and scrap loss.</t>
  </si>
  <si>
    <t>MFG Calcs Machine Hour Rate and Labor Cost templates: how the machine rate and the loaded labour rate used here are built.</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</si>
  <si>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</si>
  <si>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</si>
  <si>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</si>
  <si>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</si>
  <si>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</si>
  <si>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</si>
  <si>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</si>
  <si>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</si>
  <si>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</si>
  <si>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</si>
  <si>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</si>
  <si>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</si>
  <si>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</si>
  <si>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</si>
  <si>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</si>
  <si>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</si>
  <si>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T-1 (calculator example): cost per part started (calculator: 4.1425)</t>
  </si>
  <si>
    <t>T-1: unit cost per good part (calculator: 4.2706)</t>
  </si>
  <si>
    <t>T-1: scrap allowance (calculator: scrap loss 0.1281)</t>
  </si>
  <si>
    <t>T-1: margin on a 5.00 price</t>
  </si>
  <si>
    <t>T-1: margin status against 25%</t>
  </si>
  <si>
    <t>Below target</t>
  </si>
  <si>
    <t>exact</t>
  </si>
  <si>
    <t>T-2 operation 10: labour per part</t>
  </si>
  <si>
    <t>T-2 operation 10: machine per part</t>
  </si>
  <si>
    <t>T-2 operation 10: setup cost per batch</t>
  </si>
  <si>
    <t>T-2: labour summed over its operations</t>
  </si>
  <si>
    <t>T-2: setup per part</t>
  </si>
  <si>
    <t>T-2: overhead</t>
  </si>
  <si>
    <t>T-2: unit cost</t>
  </si>
  <si>
    <t>T-2: annual margin</t>
  </si>
  <si>
    <t>T-2: annual scrap cost</t>
  </si>
  <si>
    <t>Operation with an unknown work centre: Check</t>
  </si>
  <si>
    <t>Work centre not on Setup list</t>
  </si>
  <si>
    <t>Part without operations: Check</t>
  </si>
  <si>
    <t>No operations for this part</t>
  </si>
  <si>
    <t>Weighted margin (Dashboard formula)</t>
  </si>
  <si>
    <t>Annual scrap cost (Dashboard formula)</t>
  </si>
  <si>
    <t>Parts below target margin (Dashboard formula)</t>
  </si>
  <si>
    <t>Fixed test inputs</t>
  </si>
  <si>
    <t>White cells are fixed test inputs; blue cells are the workbook's formulas evaluated on them.</t>
  </si>
  <si>
    <t>Parameters</t>
  </si>
  <si>
    <t>Loaded labour rate</t>
  </si>
  <si>
    <t>Overhead on conversion cost</t>
  </si>
  <si>
    <t>Test table: Ops</t>
  </si>
  <si>
    <t>T-1</t>
  </si>
  <si>
    <t>Calculator example</t>
  </si>
  <si>
    <t>Cell</t>
  </si>
  <si>
    <t>T-2</t>
  </si>
  <si>
    <t>Lathe</t>
  </si>
  <si>
    <t>Bench</t>
  </si>
  <si>
    <t>Unknown centre</t>
  </si>
  <si>
    <t>Typo</t>
  </si>
  <si>
    <t>Check speaks</t>
  </si>
  <si>
    <t>Test table: Parts</t>
  </si>
  <si>
    <t>Two operations</t>
  </si>
  <si>
    <t>T-3</t>
  </si>
  <si>
    <t>No routing</t>
  </si>
</sst>
</file>

<file path=xl/styles.xml><?xml version="1.0" encoding="utf-8"?>
<styleSheet xmlns="http://schemas.openxmlformats.org/spreadsheetml/2006/main">
  <numFmts count="7">
    <numFmt numFmtId="164" formatCode="#,##0.00"/>
    <numFmt numFmtId="165" formatCode="0.0%"/>
    <numFmt numFmtId="166" formatCode="#,##0"/>
    <numFmt numFmtId="167" formatCode="#,##0.0"/>
    <numFmt numFmtId="168" formatCode="#,##0.0000"/>
    <numFmt numFmtId="169" formatCode="&quot;Target &quot;0.0%"/>
    <numFmt numFmtId="170"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b/>
      <sz val="16"/>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1">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0" fontId="20" fillId="7" borderId="2" xfId="0" applyFont="1" applyFill="1" applyBorder="1" applyAlignment="1">
      <alignment vertical="center" wrapText="1"/>
    </xf>
    <xf numFmtId="166"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164" fontId="9"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6" fontId="10" fillId="4" borderId="3" xfId="0" applyNumberFormat="1" applyFont="1" applyFill="1" applyBorder="1" applyAlignment="1">
      <alignment vertical="center"/>
    </xf>
    <xf numFmtId="0" fontId="21" fillId="4" borderId="3" xfId="0" applyFont="1" applyFill="1" applyBorder="1" applyAlignment="1">
      <alignment vertical="center"/>
    </xf>
    <xf numFmtId="167" fontId="10" fillId="3" borderId="2" xfId="0" applyNumberFormat="1" applyFont="1" applyFill="1" applyBorder="1" applyAlignment="1" applyProtection="1">
      <alignment vertical="center"/>
      <protection locked="0"/>
    </xf>
    <xf numFmtId="168" fontId="10" fillId="4" borderId="3" xfId="0" applyNumberFormat="1" applyFont="1" applyFill="1" applyBorder="1" applyAlignment="1">
      <alignment vertical="center"/>
    </xf>
    <xf numFmtId="0" fontId="10" fillId="3" borderId="2" xfId="0" applyFont="1" applyFill="1" applyBorder="1" applyAlignment="1" applyProtection="1">
      <alignment vertical="top" wrapText="1"/>
      <protection locked="0"/>
    </xf>
    <xf numFmtId="0" fontId="22" fillId="9" borderId="6" xfId="0" applyFont="1" applyFill="1" applyBorder="1" applyAlignment="1">
      <alignment vertical="center" wrapText="1"/>
    </xf>
    <xf numFmtId="165" fontId="4" fillId="9" borderId="7" xfId="0" applyNumberFormat="1" applyFont="1" applyFill="1" applyBorder="1" applyAlignment="1">
      <alignment horizontal="left" vertical="center"/>
    </xf>
    <xf numFmtId="166"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169" fontId="24" fillId="9" borderId="7" xfId="0" applyNumberFormat="1" applyFont="1" applyFill="1" applyBorder="1" applyAlignment="1">
      <alignment horizontal="left" vertical="center"/>
    </xf>
    <xf numFmtId="0" fontId="24" fillId="9" borderId="7" xfId="0" applyFont="1" applyFill="1" applyBorder="1" applyAlignment="1">
      <alignment vertical="center"/>
    </xf>
    <xf numFmtId="0" fontId="22" fillId="9" borderId="8" xfId="0" applyFont="1" applyFill="1" applyBorder="1" applyAlignment="1">
      <alignment vertical="center"/>
    </xf>
    <xf numFmtId="0" fontId="19" fillId="2" borderId="5" xfId="0" applyFont="1" applyFill="1" applyBorder="1" applyAlignment="1">
      <alignment horizontal="left" vertical="center" wrapText="1"/>
    </xf>
    <xf numFmtId="0" fontId="9" fillId="0" borderId="9" xfId="0" applyFont="1" applyBorder="1" applyAlignment="1">
      <alignment vertical="center"/>
    </xf>
    <xf numFmtId="165" fontId="10"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9" fillId="0" borderId="9" xfId="0" applyNumberFormat="1" applyFont="1" applyBorder="1" applyAlignment="1">
      <alignment horizontal="center" vertical="center"/>
    </xf>
    <xf numFmtId="168" fontId="10" fillId="0" borderId="9" xfId="0" applyNumberFormat="1" applyFont="1" applyBorder="1" applyAlignment="1">
      <alignment vertical="center"/>
    </xf>
    <xf numFmtId="170" fontId="10" fillId="4" borderId="3" xfId="0" applyNumberFormat="1" applyFont="1" applyFill="1" applyBorder="1" applyAlignment="1">
      <alignment vertical="center"/>
    </xf>
    <xf numFmtId="170" fontId="10" fillId="0" borderId="9" xfId="0" applyNumberFormat="1" applyFont="1" applyBorder="1" applyAlignment="1">
      <alignment vertical="center"/>
    </xf>
    <xf numFmtId="0" fontId="10" fillId="4" borderId="3" xfId="0" applyFont="1" applyFill="1" applyBorder="1" applyAlignment="1">
      <alignment vertical="center"/>
    </xf>
    <xf numFmtId="164" fontId="10" fillId="0" borderId="9" xfId="0" applyNumberFormat="1" applyFont="1" applyBorder="1" applyAlignment="1">
      <alignment vertical="center"/>
    </xf>
    <xf numFmtId="166"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Unit cost build-up by part (per good part)</a:t>
            </a:r>
          </a:p>
        </c:rich>
      </c:tx>
      <c:layout/>
    </c:title>
    <c:plotArea>
      <c:layout/>
      <c:barChart>
        <c:barDir val="bar"/>
        <c:grouping val="stacked"/>
        <c:ser>
          <c:idx val="0"/>
          <c:order val="0"/>
          <c:tx>
            <c:v>Materials</c:v>
          </c:tx>
          <c:spPr>
            <a:solidFill>
              <a:srgbClr val="3B64D8"/>
            </a:solidFill>
            <a:ln w="9525">
              <a:solidFill>
                <a:srgbClr val="FFFFFF"/>
              </a:solidFill>
            </a:ln>
          </c:spPr>
          <c:cat>
            <c:strRef>
              <c:f>Dashboard!$B$56:$B$65</c:f>
              <c:strCache>
                <c:ptCount val="10"/>
                <c:pt idx="0">
                  <c:v>HF-101</c:v>
                </c:pt>
                <c:pt idx="1">
                  <c:v>HF-102</c:v>
                </c:pt>
                <c:pt idx="2">
                  <c:v>HF-205</c:v>
                </c:pt>
                <c:pt idx="3">
                  <c:v>HF-130</c:v>
                </c:pt>
                <c:pt idx="4">
                  <c:v>MB-310</c:v>
                </c:pt>
                <c:pt idx="5">
                  <c:v>MB-320</c:v>
                </c:pt>
                <c:pt idx="6">
                  <c:v>VS-410</c:v>
                </c:pt>
                <c:pt idx="7">
                  <c:v>FL-720</c:v>
                </c:pt>
                <c:pt idx="8">
                  <c:v>PL-610</c:v>
                </c:pt>
                <c:pt idx="9">
                  <c:v>KT-500</c:v>
                </c:pt>
              </c:strCache>
            </c:strRef>
          </c:cat>
          <c:val>
            <c:numRef>
              <c:f>Dashboard!$C$56:$C$65</c:f>
              <c:numCache>
                <c:formatCode>General</c:formatCode>
                <c:ptCount val="10"/>
                <c:pt idx="0">
                  <c:v>1.22</c:v>
                </c:pt>
                <c:pt idx="1">
                  <c:v>1.59</c:v>
                </c:pt>
                <c:pt idx="2">
                  <c:v>2.48</c:v>
                </c:pt>
                <c:pt idx="3">
                  <c:v>4.75</c:v>
                </c:pt>
                <c:pt idx="4">
                  <c:v>7.2</c:v>
                </c:pt>
                <c:pt idx="5">
                  <c:v>9.8</c:v>
                </c:pt>
                <c:pt idx="6">
                  <c:v>2.1</c:v>
                </c:pt>
                <c:pt idx="7">
                  <c:v>3.5</c:v>
                </c:pt>
                <c:pt idx="8">
                  <c:v>0.4</c:v>
                </c:pt>
                <c:pt idx="9">
                  <c:v>11.2</c:v>
                </c:pt>
              </c:numCache>
            </c:numRef>
          </c:val>
        </c:ser>
        <c:ser>
          <c:idx val="1"/>
          <c:order val="1"/>
          <c:tx>
            <c:v>Labour</c:v>
          </c:tx>
          <c:spPr>
            <a:solidFill>
              <a:srgbClr val="E8702A"/>
            </a:solidFill>
            <a:ln w="9525">
              <a:solidFill>
                <a:srgbClr val="FFFFFF"/>
              </a:solidFill>
            </a:ln>
          </c:spPr>
          <c:cat>
            <c:strRef>
              <c:f>Dashboard!$B$56:$B$65</c:f>
              <c:strCache>
                <c:ptCount val="10"/>
                <c:pt idx="0">
                  <c:v>HF-101</c:v>
                </c:pt>
                <c:pt idx="1">
                  <c:v>HF-102</c:v>
                </c:pt>
                <c:pt idx="2">
                  <c:v>HF-205</c:v>
                </c:pt>
                <c:pt idx="3">
                  <c:v>HF-130</c:v>
                </c:pt>
                <c:pt idx="4">
                  <c:v>MB-310</c:v>
                </c:pt>
                <c:pt idx="5">
                  <c:v>MB-320</c:v>
                </c:pt>
                <c:pt idx="6">
                  <c:v>VS-410</c:v>
                </c:pt>
                <c:pt idx="7">
                  <c:v>FL-720</c:v>
                </c:pt>
                <c:pt idx="8">
                  <c:v>PL-610</c:v>
                </c:pt>
                <c:pt idx="9">
                  <c:v>KT-500</c:v>
                </c:pt>
              </c:strCache>
            </c:strRef>
          </c:cat>
          <c:val>
            <c:numRef>
              <c:f>Dashboard!$D$56:$D$65</c:f>
              <c:numCache>
                <c:formatCode>General</c:formatCode>
                <c:ptCount val="10"/>
                <c:pt idx="0">
                  <c:v>0.355111111111111</c:v>
                </c:pt>
                <c:pt idx="1">
                  <c:v>0.657333333333333</c:v>
                </c:pt>
                <c:pt idx="2">
                  <c:v>0.921777777777778</c:v>
                </c:pt>
                <c:pt idx="3">
                  <c:v>0.827333333333333</c:v>
                </c:pt>
                <c:pt idx="4">
                  <c:v>4.26888888888889</c:v>
                </c:pt>
                <c:pt idx="5">
                  <c:v>7.14944444444445</c:v>
                </c:pt>
                <c:pt idx="6">
                  <c:v>1.90305555555556</c:v>
                </c:pt>
                <c:pt idx="7">
                  <c:v>1.15694444444444</c:v>
                </c:pt>
                <c:pt idx="8">
                  <c:v>0.0330555555555556</c:v>
                </c:pt>
                <c:pt idx="9">
                  <c:v>0.85</c:v>
                </c:pt>
              </c:numCache>
            </c:numRef>
          </c:val>
        </c:ser>
        <c:ser>
          <c:idx val="2"/>
          <c:order val="2"/>
          <c:tx>
            <c:v>Machine</c:v>
          </c:tx>
          <c:spPr>
            <a:solidFill>
              <a:srgbClr val="1BA37A"/>
            </a:solidFill>
            <a:ln w="9525">
              <a:solidFill>
                <a:srgbClr val="FFFFFF"/>
              </a:solidFill>
            </a:ln>
          </c:spPr>
          <c:cat>
            <c:strRef>
              <c:f>Dashboard!$B$56:$B$65</c:f>
              <c:strCache>
                <c:ptCount val="10"/>
                <c:pt idx="0">
                  <c:v>HF-101</c:v>
                </c:pt>
                <c:pt idx="1">
                  <c:v>HF-102</c:v>
                </c:pt>
                <c:pt idx="2">
                  <c:v>HF-205</c:v>
                </c:pt>
                <c:pt idx="3">
                  <c:v>HF-130</c:v>
                </c:pt>
                <c:pt idx="4">
                  <c:v>MB-310</c:v>
                </c:pt>
                <c:pt idx="5">
                  <c:v>MB-320</c:v>
                </c:pt>
                <c:pt idx="6">
                  <c:v>VS-410</c:v>
                </c:pt>
                <c:pt idx="7">
                  <c:v>FL-720</c:v>
                </c:pt>
                <c:pt idx="8">
                  <c:v>PL-610</c:v>
                </c:pt>
                <c:pt idx="9">
                  <c:v>KT-500</c:v>
                </c:pt>
              </c:strCache>
            </c:strRef>
          </c:cat>
          <c:val>
            <c:numRef>
              <c:f>Dashboard!$E$56:$E$65</c:f>
              <c:numCache>
                <c:formatCode>General</c:formatCode>
                <c:ptCount val="10"/>
                <c:pt idx="0">
                  <c:v>0.662777777777778</c:v>
                </c:pt>
                <c:pt idx="1">
                  <c:v>1.34388888888889</c:v>
                </c:pt>
                <c:pt idx="2">
                  <c:v>1.91444444444444</c:v>
                </c:pt>
                <c:pt idx="3">
                  <c:v>1.63388888888889</c:v>
                </c:pt>
                <c:pt idx="4">
                  <c:v>7.07777777777778</c:v>
                </c:pt>
                <c:pt idx="5">
                  <c:v>21.5027777777778</c:v>
                </c:pt>
                <c:pt idx="6">
                  <c:v>3.42055555555556</c:v>
                </c:pt>
                <c:pt idx="7">
                  <c:v>2.38055555555556</c:v>
                </c:pt>
                <c:pt idx="8">
                  <c:v>0.178888888888889</c:v>
                </c:pt>
                <c:pt idx="9">
                  <c:v>0.15</c:v>
                </c:pt>
              </c:numCache>
            </c:numRef>
          </c:val>
        </c:ser>
        <c:ser>
          <c:idx val="3"/>
          <c:order val="3"/>
          <c:tx>
            <c:v>Setup</c:v>
          </c:tx>
          <c:spPr>
            <a:solidFill>
              <a:srgbClr val="E0A100"/>
            </a:solidFill>
            <a:ln w="9525">
              <a:solidFill>
                <a:srgbClr val="FFFFFF"/>
              </a:solidFill>
            </a:ln>
          </c:spPr>
          <c:cat>
            <c:strRef>
              <c:f>Dashboard!$B$56:$B$65</c:f>
              <c:strCache>
                <c:ptCount val="10"/>
                <c:pt idx="0">
                  <c:v>HF-101</c:v>
                </c:pt>
                <c:pt idx="1">
                  <c:v>HF-102</c:v>
                </c:pt>
                <c:pt idx="2">
                  <c:v>HF-205</c:v>
                </c:pt>
                <c:pt idx="3">
                  <c:v>HF-130</c:v>
                </c:pt>
                <c:pt idx="4">
                  <c:v>MB-310</c:v>
                </c:pt>
                <c:pt idx="5">
                  <c:v>MB-320</c:v>
                </c:pt>
                <c:pt idx="6">
                  <c:v>VS-410</c:v>
                </c:pt>
                <c:pt idx="7">
                  <c:v>FL-720</c:v>
                </c:pt>
                <c:pt idx="8">
                  <c:v>PL-610</c:v>
                </c:pt>
                <c:pt idx="9">
                  <c:v>KT-500</c:v>
                </c:pt>
              </c:strCache>
            </c:strRef>
          </c:cat>
          <c:val>
            <c:numRef>
              <c:f>Dashboard!$F$56:$F$65</c:f>
              <c:numCache>
                <c:formatCode>General</c:formatCode>
                <c:ptCount val="10"/>
                <c:pt idx="0">
                  <c:v>0.186</c:v>
                </c:pt>
                <c:pt idx="1">
                  <c:v>0.50125</c:v>
                </c:pt>
                <c:pt idx="2">
                  <c:v>0.806666666666667</c:v>
                </c:pt>
                <c:pt idx="3">
                  <c:v>0.665</c:v>
                </c:pt>
                <c:pt idx="4">
                  <c:v>2.005</c:v>
                </c:pt>
                <c:pt idx="5">
                  <c:v>7.03333333333333</c:v>
                </c:pt>
                <c:pt idx="6">
                  <c:v>1.066</c:v>
                </c:pt>
                <c:pt idx="7">
                  <c:v>1.60333333333333</c:v>
                </c:pt>
                <c:pt idx="8">
                  <c:v>0.03</c:v>
                </c:pt>
                <c:pt idx="9">
                  <c:v>0.04</c:v>
                </c:pt>
              </c:numCache>
            </c:numRef>
          </c:val>
        </c:ser>
        <c:ser>
          <c:idx val="4"/>
          <c:order val="4"/>
          <c:tx>
            <c:v>Overhead</c:v>
          </c:tx>
          <c:spPr>
            <a:solidFill>
              <a:srgbClr val="D0558A"/>
            </a:solidFill>
            <a:ln w="9525">
              <a:solidFill>
                <a:srgbClr val="FFFFFF"/>
              </a:solidFill>
            </a:ln>
          </c:spPr>
          <c:cat>
            <c:strRef>
              <c:f>Dashboard!$B$56:$B$65</c:f>
              <c:strCache>
                <c:ptCount val="10"/>
                <c:pt idx="0">
                  <c:v>HF-101</c:v>
                </c:pt>
                <c:pt idx="1">
                  <c:v>HF-102</c:v>
                </c:pt>
                <c:pt idx="2">
                  <c:v>HF-205</c:v>
                </c:pt>
                <c:pt idx="3">
                  <c:v>HF-130</c:v>
                </c:pt>
                <c:pt idx="4">
                  <c:v>MB-310</c:v>
                </c:pt>
                <c:pt idx="5">
                  <c:v>MB-320</c:v>
                </c:pt>
                <c:pt idx="6">
                  <c:v>VS-410</c:v>
                </c:pt>
                <c:pt idx="7">
                  <c:v>FL-720</c:v>
                </c:pt>
                <c:pt idx="8">
                  <c:v>PL-610</c:v>
                </c:pt>
                <c:pt idx="9">
                  <c:v>KT-500</c:v>
                </c:pt>
              </c:strCache>
            </c:strRef>
          </c:cat>
          <c:val>
            <c:numRef>
              <c:f>Dashboard!$G$56:$G$65</c:f>
              <c:numCache>
                <c:formatCode>General</c:formatCode>
                <c:ptCount val="10"/>
                <c:pt idx="0">
                  <c:v>0.361166666666667</c:v>
                </c:pt>
                <c:pt idx="1">
                  <c:v>0.750741666666667</c:v>
                </c:pt>
                <c:pt idx="2">
                  <c:v>1.09286666666667</c:v>
                </c:pt>
                <c:pt idx="3">
                  <c:v>0.937866666666667</c:v>
                </c:pt>
                <c:pt idx="4">
                  <c:v>4.0055</c:v>
                </c:pt>
                <c:pt idx="5">
                  <c:v>10.7056666666667</c:v>
                </c:pt>
                <c:pt idx="6">
                  <c:v>1.91688333333333</c:v>
                </c:pt>
                <c:pt idx="7">
                  <c:v>1.54225</c:v>
                </c:pt>
                <c:pt idx="8">
                  <c:v>0.0725833333333333</c:v>
                </c:pt>
                <c:pt idx="9">
                  <c:v>0.312</c:v>
                </c:pt>
              </c:numCache>
            </c:numRef>
          </c:val>
        </c:ser>
        <c:ser>
          <c:idx val="5"/>
          <c:order val="5"/>
          <c:tx>
            <c:v>Scrap allowance</c:v>
          </c:tx>
          <c:spPr>
            <a:solidFill>
              <a:srgbClr val="6250D6"/>
            </a:solidFill>
            <a:ln w="9525">
              <a:solidFill>
                <a:srgbClr val="FFFFFF"/>
              </a:solidFill>
            </a:ln>
          </c:spPr>
          <c:cat>
            <c:strRef>
              <c:f>Dashboard!$B$56:$B$65</c:f>
              <c:strCache>
                <c:ptCount val="10"/>
                <c:pt idx="0">
                  <c:v>HF-101</c:v>
                </c:pt>
                <c:pt idx="1">
                  <c:v>HF-102</c:v>
                </c:pt>
                <c:pt idx="2">
                  <c:v>HF-205</c:v>
                </c:pt>
                <c:pt idx="3">
                  <c:v>HF-130</c:v>
                </c:pt>
                <c:pt idx="4">
                  <c:v>MB-310</c:v>
                </c:pt>
                <c:pt idx="5">
                  <c:v>MB-320</c:v>
                </c:pt>
                <c:pt idx="6">
                  <c:v>VS-410</c:v>
                </c:pt>
                <c:pt idx="7">
                  <c:v>FL-720</c:v>
                </c:pt>
                <c:pt idx="8">
                  <c:v>PL-610</c:v>
                </c:pt>
                <c:pt idx="9">
                  <c:v>KT-500</c:v>
                </c:pt>
              </c:strCache>
            </c:strRef>
          </c:cat>
          <c:val>
            <c:numRef>
              <c:f>Dashboard!$H$56:$H$65</c:f>
              <c:numCache>
                <c:formatCode>General</c:formatCode>
                <c:ptCount val="10"/>
                <c:pt idx="0">
                  <c:v>0.0568378684807256</c:v>
                </c:pt>
                <c:pt idx="1">
                  <c:v>0.149790120274914</c:v>
                </c:pt>
                <c:pt idx="2">
                  <c:v>0.261711341393207</c:v>
                </c:pt>
                <c:pt idx="3">
                  <c:v>0.272600687285223</c:v>
                </c:pt>
                <c:pt idx="4">
                  <c:v>1.02321527777778</c:v>
                </c:pt>
                <c:pt idx="5">
                  <c:v>3.58667375886525</c:v>
                </c:pt>
                <c:pt idx="6">
                  <c:v>0.904912560386473</c:v>
                </c:pt>
                <c:pt idx="7">
                  <c:v>0.261104700854701</c:v>
                </c:pt>
                <c:pt idx="8">
                  <c:v>0.0108811336717428</c:v>
                </c:pt>
                <c:pt idx="9">
                  <c:v>0.0630753768844221</c:v>
                </c:pt>
              </c:numCache>
            </c:numRef>
          </c:val>
        </c:ser>
        <c:gapWidth val="50"/>
        <c:overlap val="100"/>
        <c:axId val="50010001"/>
        <c:axId val="50010002"/>
      </c:barChart>
      <c:catAx>
        <c:axId val="5001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Margin on price by part</a:t>
            </a:r>
          </a:p>
        </c:rich>
      </c:tx>
      <c:layout/>
    </c:title>
    <c:plotArea>
      <c:layout/>
      <c:barChart>
        <c:barDir val="col"/>
        <c:grouping val="clustered"/>
        <c:ser>
          <c:idx val="0"/>
          <c:order val="0"/>
          <c:tx>
            <c:v>Margin</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Dashboard!$B$31:$B$40</c:f>
              <c:strCache>
                <c:ptCount val="10"/>
                <c:pt idx="0">
                  <c:v>HF-101</c:v>
                </c:pt>
                <c:pt idx="1">
                  <c:v>HF-102</c:v>
                </c:pt>
                <c:pt idx="2">
                  <c:v>HF-205</c:v>
                </c:pt>
                <c:pt idx="3">
                  <c:v>HF-130</c:v>
                </c:pt>
                <c:pt idx="4">
                  <c:v>MB-310</c:v>
                </c:pt>
                <c:pt idx="5">
                  <c:v>MB-320</c:v>
                </c:pt>
                <c:pt idx="6">
                  <c:v>VS-410</c:v>
                </c:pt>
                <c:pt idx="7">
                  <c:v>FL-720</c:v>
                </c:pt>
                <c:pt idx="8">
                  <c:v>PL-610</c:v>
                </c:pt>
                <c:pt idx="9">
                  <c:v>KT-500</c:v>
                </c:pt>
              </c:strCache>
            </c:strRef>
          </c:cat>
          <c:val>
            <c:numRef>
              <c:f>Dashboard!$E$31:$E$40</c:f>
              <c:numCache>
                <c:formatCode>General</c:formatCode>
                <c:ptCount val="10"/>
                <c:pt idx="0">
                  <c:v>0.306855262430175</c:v>
                </c:pt>
                <c:pt idx="1">
                  <c:v>0.281582156954849</c:v>
                </c:pt>
                <c:pt idx="2">
                  <c:v>0.281012798370311</c:v>
                </c:pt>
                <c:pt idx="3">
                  <c:v>0.242775868652157</c:v>
                </c:pt>
                <c:pt idx="4">
                  <c:v>0.299167617960426</c:v>
                </c:pt>
                <c:pt idx="5">
                  <c:v>0.120913294395773</c:v>
                </c:pt>
                <c:pt idx="6">
                  <c:v>0.186229711882668</c:v>
                </c:pt>
                <c:pt idx="7">
                  <c:v>0.279711170055998</c:v>
                </c:pt>
                <c:pt idx="8">
                  <c:v>0.309134370048076</c:v>
                </c:pt>
                <c:pt idx="9">
                  <c:v>0.266565385064859</c:v>
                </c:pt>
              </c:numCache>
            </c:numRef>
          </c:val>
        </c:ser>
        <c:gapWidth val="60"/>
        <c:overlap val="-10"/>
        <c:axId val="50020001"/>
        <c:axId val="50020002"/>
      </c:barChart>
      <c:lineChart>
        <c:grouping val="standard"/>
        <c:ser>
          <c:idx val="1"/>
          <c:order val="1"/>
          <c:tx>
            <c:v>Target margin</c:v>
          </c:tx>
          <c:spPr>
            <a:ln w="19050">
              <a:solidFill>
                <a:srgbClr val="4A5361"/>
              </a:solidFill>
              <a:prstDash val="dash"/>
            </a:ln>
          </c:spPr>
          <c:marker>
            <c:symbol val="none"/>
          </c:marker>
          <c:cat>
            <c:strRef>
              <c:f>Dashboard!$B$31:$B$40</c:f>
              <c:strCache>
                <c:ptCount val="10"/>
                <c:pt idx="0">
                  <c:v>HF-101</c:v>
                </c:pt>
                <c:pt idx="1">
                  <c:v>HF-102</c:v>
                </c:pt>
                <c:pt idx="2">
                  <c:v>HF-205</c:v>
                </c:pt>
                <c:pt idx="3">
                  <c:v>HF-130</c:v>
                </c:pt>
                <c:pt idx="4">
                  <c:v>MB-310</c:v>
                </c:pt>
                <c:pt idx="5">
                  <c:v>MB-320</c:v>
                </c:pt>
                <c:pt idx="6">
                  <c:v>VS-410</c:v>
                </c:pt>
                <c:pt idx="7">
                  <c:v>FL-720</c:v>
                </c:pt>
                <c:pt idx="8">
                  <c:v>PL-610</c:v>
                </c:pt>
                <c:pt idx="9">
                  <c:v>KT-500</c:v>
                </c:pt>
              </c:strCache>
            </c:strRef>
          </c:cat>
          <c:val>
            <c:numRef>
              <c:f>Dashboard!$F$31:$F$40</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ser>
        <c:marker val="1"/>
        <c:axId val="50020001"/>
        <c:axId val="5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Annual cost by element</a:t>
            </a:r>
          </a:p>
        </c:rich>
      </c:tx>
      <c:layout/>
    </c:title>
    <c:plotArea>
      <c:layout/>
      <c:barChart>
        <c:barDir val="col"/>
        <c:grouping val="clustered"/>
        <c:ser>
          <c:idx val="0"/>
          <c:order val="0"/>
          <c:tx>
            <c:v>Annual cost</c:v>
          </c:tx>
          <c:spPr>
            <a:solidFill>
              <a:srgbClr val="3B64D8"/>
            </a:solidFill>
            <a:ln w="9525">
              <a:solidFill>
                <a:srgbClr val="FFFFFF"/>
              </a:solidFill>
            </a:ln>
          </c:spPr>
          <c:cat>
            <c:strRef>
              <c:f>Dashboard!$B$45:$B$50</c:f>
              <c:strCache>
                <c:ptCount val="6"/>
                <c:pt idx="0">
                  <c:v>Materials</c:v>
                </c:pt>
                <c:pt idx="1">
                  <c:v>Labour</c:v>
                </c:pt>
                <c:pt idx="2">
                  <c:v>Machine</c:v>
                </c:pt>
                <c:pt idx="3">
                  <c:v>Setup</c:v>
                </c:pt>
                <c:pt idx="4">
                  <c:v>Overhead</c:v>
                </c:pt>
                <c:pt idx="5">
                  <c:v>Scrap allowance</c:v>
                </c:pt>
              </c:strCache>
            </c:strRef>
          </c:cat>
          <c:val>
            <c:numRef>
              <c:f>Dashboard!$C$45:$C$50</c:f>
              <c:numCache>
                <c:formatCode>General</c:formatCode>
                <c:ptCount val="6"/>
                <c:pt idx="0">
                  <c:v>217210</c:v>
                </c:pt>
                <c:pt idx="1">
                  <c:v>72191.4444444444</c:v>
                </c:pt>
                <c:pt idx="2">
                  <c:v>149515</c:v>
                </c:pt>
                <c:pt idx="3">
                  <c:v>52052.8333333333</c:v>
                </c:pt>
                <c:pt idx="4">
                  <c:v>82127.7833333333</c:v>
                </c:pt>
                <c:pt idx="5">
                  <c:v>21854.4500114513</c:v>
                </c:pt>
              </c:numCache>
            </c:numRef>
          </c:val>
        </c:ser>
        <c:gapWidth val="60"/>
        <c:overlap val="-10"/>
        <c:axId val="50030001"/>
        <c:axId val="50030002"/>
      </c:bar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9</xdr:row>
      <xdr:rowOff>38100</xdr:rowOff>
    </xdr:from>
    <xdr:to>
      <xdr:col>5</xdr:col>
      <xdr:colOff>676275</xdr:colOff>
      <xdr:row>25</xdr:row>
      <xdr:rowOff>152400</xdr:rowOff>
    </xdr:to>
    <xdr:graphicFrame macro="">
      <xdr:nvGraphicFramePr>
        <xdr:cNvPr id="2" name="Chart 1" descr="Stacked bar chart of each part's unit cost split into material and bought-in items, labour, machine, setup, overhead and scrap allowanc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9</xdr:row>
      <xdr:rowOff>38100</xdr:rowOff>
    </xdr:from>
    <xdr:to>
      <xdr:col>11</xdr:col>
      <xdr:colOff>676275</xdr:colOff>
      <xdr:row>25</xdr:row>
      <xdr:rowOff>152400</xdr:rowOff>
    </xdr:to>
    <xdr:graphicFrame macro="">
      <xdr:nvGraphicFramePr>
        <xdr:cNvPr id="3" name="Chart 2" descr="Column chart of each part's margin on price with the target margin as a dashed line; parts below the line miss the targe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38100</xdr:colOff>
      <xdr:row>41</xdr:row>
      <xdr:rowOff>38100</xdr:rowOff>
    </xdr:from>
    <xdr:to>
      <xdr:col>11</xdr:col>
      <xdr:colOff>676275</xdr:colOff>
      <xdr:row>50</xdr:row>
      <xdr:rowOff>171450</xdr:rowOff>
    </xdr:to>
    <xdr:graphicFrame macro="">
      <xdr:nvGraphicFramePr>
        <xdr:cNvPr id="4" name="Chart 3" descr="Column chart of the part family's annual cost split into materials (material and bought-in items), labour, machine, setup, overhead and scrap allowanc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id="1" name="tblWorkCentres" displayName="tblWorkCentres" ref="B19:D28" totalsRowShown="0">
  <autoFilter ref="B19:D28"/>
  <tableColumns count="3">
    <tableColumn id="1" name="Work centre"/>
    <tableColumn id="2" name="Machine rate"/>
    <tableColumn id="3" name="Notes"/>
  </tableColumns>
  <tableStyleInfo name="TableStyleLight1" showFirstColumn="0" showLastColumn="0" showRowStripes="0" showColumnStripes="0"/>
</table>
</file>

<file path=xl/tables/table2.xml><?xml version="1.0" encoding="utf-8"?>
<table xmlns="http://schemas.openxmlformats.org/spreadsheetml/2006/main" id="2" name="tblParts" displayName="tblParts" ref="B6:X16" totalsRowShown="0">
  <autoFilter ref="B6:X16"/>
  <tableColumns count="23">
    <tableColumn id="1" name="Part"/>
    <tableColumn id="2" name="Description"/>
    <tableColumn id="3" name="Material"/>
    <tableColumn id="4" name="Bought-in and packaging"/>
    <tableColumn id="5" name="Batch size"/>
    <tableColumn id="6" name="Scrap rate"/>
    <tableColumn id="7" name="Annual volume"/>
    <tableColumn id="8" name="Price"/>
    <tableColumn id="9" name="Labour">
      <calculatedColumnFormula>IF(tblParts[[#This Row],[Part]]="","",SUMIFS(tblOps[Labour],tblOps[Part],tblParts[[#This Row],[Part]]))</calculatedColumnFormula>
    </tableColumn>
    <tableColumn id="10" name="Machine">
      <calculatedColumnFormula>IF(tblParts[[#This Row],[Part]]="","",SUMIFS(tblOps[Machine],tblOps[Part],tblParts[[#This Row],[Part]]))</calculatedColumnFormula>
    </tableColumn>
    <tableColumn id="11" name="Setup">
      <calculatedColumnFormula>IF(tblParts[[#This Row],[Part]]="","",IF(tblParts[[#This Row],[Batch size]]&gt;0,SUMIFS(tblOps[Setup cost],tblOps[Part],tblParts[[#This Row],[Part]])/tblParts[[#This Row],[Batch size]],0))</calculatedColumnFormula>
    </tableColumn>
    <tableColumn id="12" name="Overhead">
      <calculatedColumnFormula>IF(tblParts[[#This Row],[Part]]="","",(tblParts[[#This Row],[Labour]]+tblParts[[#This Row],[Machine]]+tblParts[[#This Row],[Setup]])*OverheadPct)</calculatedColumnFormula>
    </tableColumn>
    <tableColumn id="13" name="Cost per part started">
      <calculatedColumnFormula>IF(tblParts[[#This Row],[Part]]="","",tblParts[[#This Row],[Material]]+tblParts[[#This Row],[Bought-in and packaging]]+tblParts[[#This Row],[Labour]]+tblParts[[#This Row],[Machine]]+tblParts[[#This Row],[Setup]]+tblParts[[#This Row],[Overhead]])</calculatedColumnFormula>
    </tableColumn>
    <tableColumn id="14" name="Scrap allowance">
      <calculatedColumnFormula>IF(tblParts[[#This Row],[Part]]="","",IF(tblParts[[#This Row],[Scrap rate]]&lt;1,tblParts[[#This Row],[Cost per part started]]*tblParts[[#This Row],[Scrap rate]]/(1-tblParts[[#This Row],[Scrap rate]]),""))</calculatedColumnFormula>
    </tableColumn>
    <tableColumn id="15" name="Unit cost">
      <calculatedColumnFormula>IF(tblParts[[#This Row],[Part]]="","",IF(tblParts[[#This Row],[Scrap rate]]&lt;1,tblParts[[#This Row],[Cost per part started]]/(1-tblParts[[#This Row],[Scrap rate]]),""))</calculatedColumnFormula>
    </tableColumn>
    <tableColumn id="16" name="Margin">
      <calculatedColumnFormula>IF(tblParts[[#This Row],[Part]]="","",IF(tblParts[[#This Row],[Price]]&gt;0,(tblParts[[#This Row],[Price]]-tblParts[[#This Row],[Unit cost]])/tblParts[[#This Row],[Price]],""))</calculatedColumnFormula>
    </tableColumn>
    <tableColumn id="17" name="Margin status">
      <calculatedColumnFormula>IF(NOT(ISNUMBER(tblParts[[#This Row],[Margin]])),"",IF(tblParts[[#This Row],[Margin]]&gt;=TargetMargin,"On target",IF(tblParts[[#This Row],[Margin]]&gt;=TargetMargin*(1-0.05),"Near target","Below target")))</calculatedColumnFormula>
    </tableColumn>
    <tableColumn id="18" name="Annual cost">
      <calculatedColumnFormula>IF(tblParts[[#This Row],[Part]]="","",tblParts[[#This Row],[Unit cost]]*tblParts[[#This Row],[Annual volume]])</calculatedColumnFormula>
    </tableColumn>
    <tableColumn id="19" name="Annual revenue">
      <calculatedColumnFormula>IF(tblParts[[#This Row],[Part]]="","",IF(tblParts[[#This Row],[Price]]&gt;0,tblParts[[#This Row],[Price]]*tblParts[[#This Row],[Annual volume]],""))</calculatedColumnFormula>
    </tableColumn>
    <tableColumn id="20" name="Annual margin">
      <calculatedColumnFormula>IF(tblParts[[#This Row],[Part]]="","",IF(tblParts[[#This Row],[Price]]&gt;0,tblParts[[#This Row],[Annual revenue]]-tblParts[[#This Row],[Annual cost]],""))</calculatedColumnFormula>
    </tableColumn>
    <tableColumn id="21" name="Annual scrap cost">
      <calculatedColumnFormula>IF(tblParts[[#This Row],[Part]]="","",tblParts[[#This Row],[Scrap allowance]]*tblParts[[#This Row],[Annual volume]])</calculatedColumnFormula>
    </tableColumn>
    <tableColumn id="22" name="Check">
      <calculatedColumnFormula>IF(tblParts[[#This Row],[Part]]="","",IF(tblParts[[#This Row],[Material]]="","Missing material",IF(tblParts[[#This Row],[Batch size]]="","Missing batch size",IF(tblParts[[#This Row],[Scrap rate]]="","Missing scrap rate",IF(tblParts[[#This Row],[Annual volume]]="","Missing annual volume",IF(COUNTIF(tblOps[Part],tblParts[[#This Row],[Part]])=0,"No operations for this part",IF(COUNTIF(tblParts[Part],tblParts[[#This Row],[Part]])&gt;1,"Duplicate part","OK")))))))</calculatedColumnFormula>
    </tableColumn>
    <tableColumn id="23" name="Notes"/>
  </tableColumns>
  <tableStyleInfo name="TableStyleLight1" showFirstColumn="0" showLastColumn="0" showRowStripes="0" showColumnStripes="0"/>
</table>
</file>

<file path=xl/tables/table3.xml><?xml version="1.0" encoding="utf-8"?>
<table xmlns="http://schemas.openxmlformats.org/spreadsheetml/2006/main" id="3" name="tblOps" displayName="tblOps" ref="B6:N44" totalsRowShown="0">
  <autoFilter ref="B6:N44"/>
  <tableColumns count="13">
    <tableColumn id="1" name="Part"/>
    <tableColumn id="2" name="Op"/>
    <tableColumn id="3" name="Operation"/>
    <tableColumn id="4" name="Work centre"/>
    <tableColumn id="5" name="Setup (h/batch)"/>
    <tableColumn id="6" name="Cycle (s/part)"/>
    <tableColumn id="7" name="Operators (per machine)"/>
    <tableColumn id="8" name="Machine rate">
      <calculatedColumnFormula>IF(tblOps[[#This Row],[Part]]="","",IFERROR(INDEX(tblWorkCentres[Machine rate],MATCH(tblOps[[#This Row],[Work centre]],tblWorkCentres[Work centre],0)),""))</calculatedColumnFormula>
    </tableColumn>
    <tableColumn id="9" name="Labour">
      <calculatedColumnFormula>IF(tblOps[[#This Row],[Part]]="","",IF(tblOps[[#This Row],[Machine rate]]="","",tblOps[[#This Row],[Cycle (s/part)]]/3600*tblOps[[#This Row],[Operators (per machine)]]*LabourRate))</calculatedColumnFormula>
    </tableColumn>
    <tableColumn id="10" name="Machine">
      <calculatedColumnFormula>IF(tblOps[[#This Row],[Part]]="","",IF(tblOps[[#This Row],[Machine rate]]="","",tblOps[[#This Row],[Cycle (s/part)]]/3600*tblOps[[#This Row],[Machine rate]]))</calculatedColumnFormula>
    </tableColumn>
    <tableColumn id="11" name="Setup cost">
      <calculatedColumnFormula>IF(tblOps[[#This Row],[Part]]="","",IF(tblOps[[#This Row],[Machine rate]]="","",tblOps[[#This Row],[Setup (h/batch)]]*(tblOps[[#This Row],[Machine rate]]+LabourRate)))</calculatedColumnFormula>
    </tableColumn>
    <tableColumn id="12" name="Check">
      <calculatedColumnFormula>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calculatedColumnFormula>
    </tableColumn>
    <tableColumn id="13" name="Notes"/>
  </tableColumns>
  <tableStyleInfo name="TableStyleLight1" showFirstColumn="0" showLastColumn="0" showRowStripes="0" showColumnStripes="0"/>
</table>
</file>

<file path=xl/tables/table4.xml><?xml version="1.0" encoding="utf-8"?>
<table xmlns="http://schemas.openxmlformats.org/spreadsheetml/2006/main" id="4" name="tblVerifyOps" displayName="tblVerifyOps" ref="B41:N45" totalsRowShown="0">
  <tableColumns count="13">
    <tableColumn id="1" name="Part"/>
    <tableColumn id="2" name="Op"/>
    <tableColumn id="3" name="Operation"/>
    <tableColumn id="4" name="Work centre"/>
    <tableColumn id="5" name="Setup (h/batch)"/>
    <tableColumn id="6" name="Cycle (s/part)"/>
    <tableColumn id="7" name="Operators (per machine)"/>
    <tableColumn id="8" name="Machine rate"/>
    <tableColumn id="9" name="Labour">
      <calculatedColumnFormula>IF(tblVerifyOps[[#This Row],[Part]]="","",IF(tblVerifyOps[[#This Row],[Machine rate]]="","",tblVerifyOps[[#This Row],[Cycle (s/part)]]/3600*tblVerifyOps[[#This Row],[Operators (per machine)]]*$E$35))</calculatedColumnFormula>
    </tableColumn>
    <tableColumn id="10" name="Machine">
      <calculatedColumnFormula>IF(tblVerifyOps[[#This Row],[Part]]="","",IF(tblVerifyOps[[#This Row],[Machine rate]]="","",tblVerifyOps[[#This Row],[Cycle (s/part)]]/3600*tblVerifyOps[[#This Row],[Machine rate]]))</calculatedColumnFormula>
    </tableColumn>
    <tableColumn id="11" name="Setup cost">
      <calculatedColumnFormula>IF(tblVerifyOps[[#This Row],[Part]]="","",IF(tblVerifyOps[[#This Row],[Machine rate]]="","",tblVerifyOps[[#This Row],[Setup (h/batch)]]*(tblVerifyOps[[#This Row],[Machine rate]]+$E$35)))</calculatedColumnFormula>
    </tableColumn>
    <tableColumn id="12" name="Check">
      <calculatedColumnFormula>IF(tblVerifyOps[[#This Row],[Part]]="","",IF(tblVerifyOps[[#This Row],[Work centre]]="","Missing work centre",IF(tblVerifyOps[[#This Row],[Cycle (s/part)]]="","Missing cycle",IF(tblVerifyOps[[#This Row],[Operators (per machine)]]="","Missing operators",IF(tblVerifyOps[[#This Row],[Machine rate]]="","Work centre not on Setup list",IF(COUNTIF(tblVerifyParts[Part],tblVerifyOps[[#This Row],[Part]])=0,"Part not on Part Costs",IF(COUNTIFS(tblVerifyOps[Part],tblVerifyOps[[#This Row],[Part]],tblVerifyOps[Op],tblVerifyOps[[#This Row],[Op]])&gt;1,"Duplicate operation number","OK")))))))</calculatedColumnFormula>
    </tableColumn>
    <tableColumn id="13" name="Notes"/>
  </tableColumns>
  <tableStyleInfo name="TableStyleLight1" showFirstColumn="0" showLastColumn="0" showRowStripes="0" showColumnStripes="0"/>
</table>
</file>

<file path=xl/tables/table5.xml><?xml version="1.0" encoding="utf-8"?>
<table xmlns="http://schemas.openxmlformats.org/spreadsheetml/2006/main" id="5" name="tblVerifyParts" displayName="tblVerifyParts" ref="B49:X52" totalsRowShown="0">
  <tableColumns count="23">
    <tableColumn id="1" name="Part"/>
    <tableColumn id="2" name="Description"/>
    <tableColumn id="3" name="Material"/>
    <tableColumn id="4" name="Bought-in and packaging"/>
    <tableColumn id="5" name="Batch size"/>
    <tableColumn id="6" name="Scrap rate"/>
    <tableColumn id="7" name="Annual volume"/>
    <tableColumn id="8" name="Price"/>
    <tableColumn id="9" name="Labour">
      <calculatedColumnFormula>IF(tblVerifyParts[[#This Row],[Part]]="","",SUMIFS(tblVerifyOps[Labour],tblVerifyOps[Part],tblVerifyParts[[#This Row],[Part]]))</calculatedColumnFormula>
    </tableColumn>
    <tableColumn id="10" name="Machine">
      <calculatedColumnFormula>IF(tblVerifyParts[[#This Row],[Part]]="","",SUMIFS(tblVerifyOps[Machine],tblVerifyOps[Part],tblVerifyParts[[#This Row],[Part]]))</calculatedColumnFormula>
    </tableColumn>
    <tableColumn id="11" name="Setup">
      <calculatedColumnFormula>IF(tblVerifyParts[[#This Row],[Part]]="","",IF(tblVerifyParts[[#This Row],[Batch size]]&gt;0,SUMIFS(tblVerifyOps[Setup cost],tblVerifyOps[Part],tblVerifyParts[[#This Row],[Part]])/tblVerifyParts[[#This Row],[Batch size]],0))</calculatedColumnFormula>
    </tableColumn>
    <tableColumn id="12" name="Overhead">
      <calculatedColumnFormula>IF(tblVerifyParts[[#This Row],[Part]]="","",(tblVerifyParts[[#This Row],[Labour]]+tblVerifyParts[[#This Row],[Machine]]+tblVerifyParts[[#This Row],[Setup]])*$E$36)</calculatedColumnFormula>
    </tableColumn>
    <tableColumn id="13" name="Cost per part started">
      <calculatedColumnFormula>IF(tblVerifyParts[[#This Row],[Part]]="","",tblVerifyParts[[#This Row],[Material]]+tblVerifyParts[[#This Row],[Bought-in and packaging]]+tblVerifyParts[[#This Row],[Labour]]+tblVerifyParts[[#This Row],[Machine]]+tblVerifyParts[[#This Row],[Setup]]+tblVerifyParts[[#This Row],[Overhead]])</calculatedColumnFormula>
    </tableColumn>
    <tableColumn id="14" name="Scrap allowance">
      <calculatedColumnFormula>IF(tblVerifyParts[[#This Row],[Part]]="","",IF(tblVerifyParts[[#This Row],[Scrap rate]]&lt;1,tblVerifyParts[[#This Row],[Cost per part started]]*tblVerifyParts[[#This Row],[Scrap rate]]/(1-tblVerifyParts[[#This Row],[Scrap rate]]),""))</calculatedColumnFormula>
    </tableColumn>
    <tableColumn id="15" name="Unit cost">
      <calculatedColumnFormula>IF(tblVerifyParts[[#This Row],[Part]]="","",IF(tblVerifyParts[[#This Row],[Scrap rate]]&lt;1,tblVerifyParts[[#This Row],[Cost per part started]]/(1-tblVerifyParts[[#This Row],[Scrap rate]]),""))</calculatedColumnFormula>
    </tableColumn>
    <tableColumn id="16" name="Margin">
      <calculatedColumnFormula>IF(tblVerifyParts[[#This Row],[Part]]="","",IF(tblVerifyParts[[#This Row],[Price]]&gt;0,(tblVerifyParts[[#This Row],[Price]]-tblVerifyParts[[#This Row],[Unit cost]])/tblVerifyParts[[#This Row],[Price]],""))</calculatedColumnFormula>
    </tableColumn>
    <tableColumn id="17" name="Margin status">
      <calculatedColumnFormula>IF(NOT(ISNUMBER(tblVerifyParts[[#This Row],[Margin]])),"",IF(tblVerifyParts[[#This Row],[Margin]]&gt;=$E$37,"On target",IF(tblVerifyParts[[#This Row],[Margin]]&gt;=$E$37*(1-0.05),"Near target","Below target")))</calculatedColumnFormula>
    </tableColumn>
    <tableColumn id="18" name="Annual cost">
      <calculatedColumnFormula>IF(tblVerifyParts[[#This Row],[Part]]="","",tblVerifyParts[[#This Row],[Unit cost]]*tblVerifyParts[[#This Row],[Annual volume]])</calculatedColumnFormula>
    </tableColumn>
    <tableColumn id="19" name="Annual revenue">
      <calculatedColumnFormula>IF(tblVerifyParts[[#This Row],[Part]]="","",IF(tblVerifyParts[[#This Row],[Price]]&gt;0,tblVerifyParts[[#This Row],[Price]]*tblVerifyParts[[#This Row],[Annual volume]],""))</calculatedColumnFormula>
    </tableColumn>
    <tableColumn id="20" name="Annual margin">
      <calculatedColumnFormula>IF(tblVerifyParts[[#This Row],[Part]]="","",IF(tblVerifyParts[[#This Row],[Price]]&gt;0,tblVerifyParts[[#This Row],[Annual revenue]]-tblVerifyParts[[#This Row],[Annual cost]],""))</calculatedColumnFormula>
    </tableColumn>
    <tableColumn id="21" name="Annual scrap cost">
      <calculatedColumnFormula>IF(tblVerifyParts[[#This Row],[Part]]="","",tblVerifyParts[[#This Row],[Scrap allowance]]*tblVerifyParts[[#This Row],[Annual volume]])</calculatedColumnFormula>
    </tableColumn>
    <tableColumn id="22" name="Check">
      <calculatedColumnFormula>IF(tblVerifyParts[[#This Row],[Part]]="","",IF(tblVerifyParts[[#This Row],[Material]]="","Missing material",IF(tblVerifyParts[[#This Row],[Batch size]]="","Missing batch size",IF(tblVerifyParts[[#This Row],[Scrap rate]]="","Missing scrap rate",IF(tblVerifyParts[[#This Row],[Annual volume]]="","Missing annual volume",IF(COUNTIF(tblVerifyOps[Part],tblVerifyParts[[#This Row],[Part]])=0,"No operations for this part",IF(COUNTIF(tblVerifyParts[Part],tblVerifyParts[[#This Row],[Part]])&gt;1,"Duplicate part","OK")))))))</calculatedColumnFormula>
    </tableColumn>
    <tableColumn id="23"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unit-cost-spreadsheet" TargetMode="External"/><Relationship Id="rId2" Type="http://schemas.openxmlformats.org/officeDocument/2006/relationships/hyperlink" Target="https://www.mfgcalcs.com/calculators/lean-manufacturing-operations/unit-cost?utm_source=mfgcalcs-template&amp;utm_medium=xlsx&amp;utm_campaign=unit-cost-spreadsheet" TargetMode="External"/><Relationship Id="rId3" Type="http://schemas.openxmlformats.org/officeDocument/2006/relationships/hyperlink" Target="https://www.mfgcalcs.com/templates/unit-cost-spreadsheet?utm_source=mfgcalcs-template&amp;utm_medium=xlsx&amp;utm_campaign=unit-cost-spreadsheet" TargetMode="External"/><Relationship Id="rId4" Type="http://schemas.openxmlformats.org/officeDocument/2006/relationships/hyperlink" Target="https://www.mfgcalcs.com/templates?utm_source=mfgcalcs-template&amp;utm_medium=xlsx&amp;utm_campaign=unit-cost-spreadshee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unit-cost-spreadsheet"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unit-cost-spreadsheet"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unit-cost-spreadsheet" TargetMode="External"/><Relationship Id="rId2"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unit-cost-spreadsheet"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unit-cost-spreadsheet" TargetMode="External"/><Relationship Id="rId2" Type="http://schemas.openxmlformats.org/officeDocument/2006/relationships/hyperlink" Target="https://www.mfgcalcs.com/calculators/lean-manufacturing-operations/unit-cost?utm_source=mfgcalcs-template&amp;utm_medium=xlsx&amp;utm_campaign=unit-cost-spreadshee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unit-cost-spreadsheet" TargetMode="External"/><Relationship Id="rId2" Type="http://schemas.openxmlformats.org/officeDocument/2006/relationships/table" Target="../tables/table4.xml"/><Relationship Id="rId3"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19 of 19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Part Costs'!A1" tooltip="Go to Part Costs" display="Part Costs"/>
    <hyperlink ref="C23" location="Operations!A1" tooltip="Go to Operations" display="Operations"/>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Unit Cost Spreadsheet&amp;R&amp;8&amp;A</oddHeader>
    <oddFooter>&amp;L&amp;8mfgcalcs.com - free manufacturing templates&amp;R&amp;8Page &amp;P of &amp;N</oddFooter>
  </headerFooter>
  <rowBreaks count="1" manualBreakCount="1">
    <brk id="34"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28"/>
  <sheetViews>
    <sheetView showGridLines="0" workbookViewId="0"/>
  </sheetViews>
  <sheetFormatPr defaultRowHeight="15"/>
  <cols>
    <col min="1" max="1" width="2.7109375" customWidth="1"/>
    <col min="2" max="2" width="34.7109375" customWidth="1"/>
    <col min="3" max="3" width="16.7109375" customWidth="1"/>
    <col min="4" max="4" width="46.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67</v>
      </c>
      <c r="C4" s="8"/>
      <c r="D4" s="8"/>
    </row>
    <row r="5" spans="1:5" ht="5" customHeight="1"/>
    <row r="6" spans="1:5">
      <c r="B6" s="27" t="s">
        <v>68</v>
      </c>
      <c r="C6" s="28" t="s">
        <v>69</v>
      </c>
      <c r="D6" s="28"/>
    </row>
    <row r="7" spans="1:5">
      <c r="B7" s="27" t="s">
        <v>70</v>
      </c>
      <c r="C7" s="28" t="s">
        <v>71</v>
      </c>
      <c r="D7" s="28"/>
    </row>
    <row r="8" spans="1:5">
      <c r="B8" s="27" t="s">
        <v>72</v>
      </c>
      <c r="C8" s="29">
        <v>34</v>
      </c>
      <c r="D8" s="7" t="str">
        <f>Currency&amp;"/h"</f>
        <v>USD/h</v>
      </c>
    </row>
    <row r="9" spans="1:5">
      <c r="B9" s="27" t="s">
        <v>73</v>
      </c>
      <c r="C9" s="30">
        <v>0.3</v>
      </c>
      <c r="D9" s="7"/>
    </row>
    <row r="10" spans="1:5">
      <c r="B10" s="27" t="s">
        <v>74</v>
      </c>
      <c r="C10" s="30">
        <v>0.25</v>
      </c>
      <c r="D10" s="7"/>
    </row>
    <row r="12" spans="1:5" ht="35.4" customHeight="1">
      <c r="B12" s="25" t="s">
        <v>75</v>
      </c>
      <c r="C12" s="25"/>
      <c r="D12" s="25"/>
    </row>
    <row r="14" spans="1:5" ht="21" customHeight="1">
      <c r="B14" s="8" t="s">
        <v>76</v>
      </c>
      <c r="C14" s="8"/>
      <c r="D14" s="8"/>
    </row>
    <row r="15" spans="1:5" ht="5" customHeight="1"/>
    <row r="16" spans="1:5" ht="26.76" customHeight="1">
      <c r="B16" s="21" t="s">
        <v>77</v>
      </c>
      <c r="C16" s="21"/>
      <c r="D16" s="21"/>
    </row>
    <row r="17" spans="2:4">
      <c r="B17" s="31" t="s">
        <v>78</v>
      </c>
      <c r="C17" s="31"/>
      <c r="D17" s="31"/>
    </row>
    <row r="18" spans="2:4" ht="14" customHeight="1">
      <c r="B18" s="32"/>
      <c r="C18" s="32" t="str">
        <f>Currency&amp;"/h"</f>
        <v>USD/h</v>
      </c>
      <c r="D18" s="32"/>
    </row>
    <row r="19" spans="2:4" ht="20" customHeight="1">
      <c r="B19" s="33" t="s">
        <v>64</v>
      </c>
      <c r="C19" s="33" t="s">
        <v>65</v>
      </c>
      <c r="D19" s="33" t="s">
        <v>66</v>
      </c>
    </row>
    <row r="20" spans="2:4">
      <c r="B20" s="28" t="s">
        <v>79</v>
      </c>
      <c r="C20" s="29">
        <v>18</v>
      </c>
      <c r="D20" s="28" t="s">
        <v>80</v>
      </c>
    </row>
    <row r="21" spans="2:4">
      <c r="B21" s="28" t="s">
        <v>81</v>
      </c>
      <c r="C21" s="29">
        <v>46</v>
      </c>
      <c r="D21" s="28" t="s">
        <v>82</v>
      </c>
    </row>
    <row r="22" spans="2:4">
      <c r="B22" s="28" t="s">
        <v>83</v>
      </c>
      <c r="C22" s="29">
        <v>52</v>
      </c>
      <c r="D22" s="28" t="s">
        <v>84</v>
      </c>
    </row>
    <row r="23" spans="2:4">
      <c r="B23" s="28" t="s">
        <v>85</v>
      </c>
      <c r="C23" s="29">
        <v>92</v>
      </c>
      <c r="D23" s="28" t="s">
        <v>86</v>
      </c>
    </row>
    <row r="24" spans="2:4">
      <c r="B24" s="28" t="s">
        <v>87</v>
      </c>
      <c r="C24" s="29">
        <v>58</v>
      </c>
      <c r="D24" s="28" t="s">
        <v>88</v>
      </c>
    </row>
    <row r="25" spans="2:4">
      <c r="B25" s="28" t="s">
        <v>89</v>
      </c>
      <c r="C25" s="29">
        <v>4</v>
      </c>
      <c r="D25" s="28" t="s">
        <v>90</v>
      </c>
    </row>
    <row r="26" spans="2:4">
      <c r="B26" s="28" t="s">
        <v>91</v>
      </c>
      <c r="C26" s="29">
        <v>10</v>
      </c>
      <c r="D26" s="28" t="s">
        <v>92</v>
      </c>
    </row>
    <row r="27" spans="2:4">
      <c r="B27" s="28" t="s">
        <v>93</v>
      </c>
      <c r="C27" s="29">
        <v>28</v>
      </c>
      <c r="D27" s="28" t="s">
        <v>94</v>
      </c>
    </row>
    <row r="28" spans="2:4">
      <c r="B28" s="28" t="s">
        <v>95</v>
      </c>
      <c r="C28" s="29">
        <v>6</v>
      </c>
      <c r="D28" s="28" t="s">
        <v>96</v>
      </c>
    </row>
  </sheetData>
  <mergeCells count="10">
    <mergeCell ref="A1:E1"/>
    <mergeCell ref="B2:C2"/>
    <mergeCell ref="D2:E2"/>
    <mergeCell ref="B4:D4"/>
    <mergeCell ref="C6:D6"/>
    <mergeCell ref="C7:D7"/>
    <mergeCell ref="B12:D12"/>
    <mergeCell ref="B14:D14"/>
    <mergeCell ref="B16:D16"/>
    <mergeCell ref="B17:D17"/>
  </mergeCells>
  <dataValidations count="8">
    <dataValidation type="textLength" allowBlank="1" showInputMessage="1" showErrorMessage="1" errorTitle="Check this entry" error="Text up to 80 characters." promptTitle="Company or plant" prompt="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EUR, GBP, INR, MXN. No exchange rate is applied. Text up to 12 characters." sqref="C7">
      <formula1>0</formula1>
      <formula2>12</formula2>
    </dataValidation>
    <dataValidation type="decimal" allowBlank="1" showInputMessage="1" showErrorMessage="1" errorTitle="Check this entry" error="Enter a number from 0 to 10,000." promptTitle="Direct labour rate, loaded" prompt="Wage plus payroll taxes and benefits per worked hour of an operator or setter. The Labor Cost template builds one. Enter a number from 0 to 10,000." sqref="C8">
      <formula1>0</formula1>
      <formula2>10000</formula2>
    </dataValidation>
    <dataValidation type="decimal" allowBlank="1" showInputMessage="1" showErrorMessage="1" errorTitle="Check this entry" error="Enter a percentage from 0% to 500% (type 85% or 0.85)." promptTitle="Factory overhead on conversio..." prompt="Added to labour + machine + setup cost per part. Set 0% if your machine and labour rates already carry overhead. Enter a percentage from 0% to 500% (type 85% or 0.85)." sqref="C9">
      <formula1>0</formula1>
      <formula2>5</formula2>
    </dataValidation>
    <dataValidation type="decimal" allowBlank="1" showInputMessage="1" showErrorMessage="1" errorTitle="Check this entry" error="Enter a percentage from 0% to 95% (type 85% or 0.85)." promptTitle="Target margin on price" prompt="Your own target: margin = (price - unit cost) / price. No industry benchmark is assumed. Enter a percentage from 0% to 95% (type 85% or 0.85)." sqref="C10">
      <formula1>0</formula1>
      <formula2>0.95</formula2>
    </dataValidation>
    <dataValidation type="textLength" allowBlank="1" showInputMessage="1" showErrorMessage="1" errorTitle="Check this entry" error="Text up to 40 characters." promptTitle="Work centre" prompt="Text up to 40 characters." sqref="B20:B128">
      <formula1>0</formula1>
      <formula2>40</formula2>
    </dataValidation>
    <dataValidation type="decimal" allowBlank="1" showInputMessage="1" showErrorMessage="1" errorTitle="Check this entry" error="Enter a number from 0 to 100,000." promptTitle="Machine rate" prompt="Hourly cost of the machine or station without its operator. Enter a number from 0 to 100,000." sqref="C20:C128">
      <formula1>0</formula1>
      <formula2>100000</formula2>
    </dataValidation>
    <dataValidation type="textLength" allowBlank="1" showInputMessage="1" showErrorMessage="1" errorTitle="Check this entry" error="Text up to 120 characters." promptTitle="Notes" prompt="Text up to 120 characters." sqref="D20:D128">
      <formula1>0</formula1>
      <formula2>120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Unit Cost Spreadsheet&amp;R&amp;8&amp;A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X16"/>
  <sheetViews>
    <sheetView workbookViewId="0">
      <pane xSplit="2" ySplit="6" topLeftCell="C7" activePane="bottomRight" state="frozen"/>
      <selection pane="topRight" activeCell="C1" sqref="C1"/>
      <selection pane="bottomLeft" activeCell="A7" sqref="A7"/>
      <selection pane="bottomRight"/>
    </sheetView>
  </sheetViews>
  <sheetFormatPr defaultRowHeight="15"/>
  <cols>
    <col min="1" max="1" width="2.7109375" customWidth="1"/>
    <col min="2" max="2" width="10.7109375" customWidth="1"/>
    <col min="3" max="3" width="26.7109375" customWidth="1"/>
    <col min="4" max="4" width="10.28515625" customWidth="1"/>
    <col min="5" max="5" width="11.28515625" customWidth="1"/>
    <col min="6" max="6" width="8.7109375" customWidth="1"/>
    <col min="7" max="7" width="8.28515625" customWidth="1"/>
    <col min="8" max="8" width="10.7109375" customWidth="1"/>
    <col min="9" max="11" width="9.28515625" customWidth="1"/>
    <col min="12" max="12" width="8.7109375" customWidth="1"/>
    <col min="13" max="13" width="9.7109375" customWidth="1"/>
    <col min="14" max="14" width="10.28515625" customWidth="1"/>
    <col min="15" max="15" width="9.7109375" customWidth="1"/>
    <col min="16" max="16" width="10.28515625" customWidth="1"/>
    <col min="17" max="17" width="9.28515625" customWidth="1"/>
    <col min="18" max="18" width="11.7109375" customWidth="1"/>
    <col min="19" max="22" width="10.7109375" customWidth="1"/>
    <col min="23" max="24" width="20.7109375" customWidth="1"/>
  </cols>
  <sheetData>
    <row r="1" spans="1:24" ht="30" customHeight="1">
      <c r="A1" s="1" t="s">
        <v>0</v>
      </c>
      <c r="B1" s="1"/>
      <c r="C1" s="1"/>
      <c r="D1" s="1"/>
      <c r="E1" s="1"/>
      <c r="F1" s="1"/>
      <c r="G1" s="1"/>
      <c r="H1" s="1"/>
      <c r="I1" s="1"/>
      <c r="J1" s="1"/>
      <c r="K1" s="1"/>
      <c r="L1" s="1"/>
      <c r="M1" s="1"/>
      <c r="N1" s="1"/>
      <c r="O1" s="1"/>
      <c r="P1" s="1"/>
      <c r="Q1" s="1"/>
      <c r="R1" s="1"/>
      <c r="S1" s="1"/>
      <c r="T1" s="1"/>
      <c r="U1" s="1"/>
      <c r="V1" s="1"/>
      <c r="W1" s="1"/>
      <c r="X1" s="1"/>
    </row>
    <row r="2" spans="1:24" ht="21" customHeight="1">
      <c r="B2" s="2" t="s">
        <v>22</v>
      </c>
      <c r="C2" s="2"/>
      <c r="D2" s="2"/>
      <c r="E2" s="2"/>
      <c r="F2" s="2"/>
      <c r="G2" s="2"/>
      <c r="H2" s="2"/>
      <c r="I2" s="2"/>
      <c r="J2" s="2"/>
      <c r="K2" s="2"/>
      <c r="L2" s="2"/>
      <c r="M2" s="2"/>
      <c r="N2" s="2"/>
      <c r="O2" s="2"/>
      <c r="P2" s="2"/>
      <c r="Q2" s="2"/>
      <c r="R2" s="2"/>
      <c r="S2" s="2"/>
      <c r="T2" s="2"/>
      <c r="U2" s="2"/>
      <c r="V2" s="2"/>
      <c r="W2" s="2"/>
      <c r="X2" s="3" t="s">
        <v>2</v>
      </c>
    </row>
    <row r="3" spans="1:24" ht="6" customHeight="1"/>
    <row r="4" spans="1:24" ht="18" customHeight="1">
      <c r="B4" s="34" t="s">
        <v>118</v>
      </c>
      <c r="C4" s="34"/>
      <c r="D4" s="34"/>
      <c r="E4" s="34"/>
      <c r="F4" s="34"/>
      <c r="G4" s="34"/>
      <c r="H4" s="34"/>
      <c r="I4" s="34"/>
      <c r="J4" s="34"/>
      <c r="K4" s="34"/>
      <c r="L4" s="34"/>
      <c r="M4" s="34"/>
      <c r="N4" s="34"/>
      <c r="O4" s="34"/>
      <c r="P4" s="34"/>
      <c r="Q4" s="34"/>
      <c r="R4" s="34"/>
      <c r="S4" s="34"/>
      <c r="T4" s="34"/>
      <c r="U4" s="34"/>
      <c r="V4" s="34"/>
      <c r="W4" s="34"/>
      <c r="X4" s="34"/>
    </row>
    <row r="5" spans="1:24" ht="14" customHeight="1">
      <c r="B5" s="32"/>
      <c r="C5" s="32"/>
      <c r="D5" s="32" t="str">
        <f>Currency&amp;"/part"</f>
        <v>USD/part</v>
      </c>
      <c r="E5" s="32" t="str">
        <f>Currency&amp;"/part"</f>
        <v>USD/part</v>
      </c>
      <c r="F5" s="32" t="s">
        <v>119</v>
      </c>
      <c r="G5" s="32" t="s">
        <v>120</v>
      </c>
      <c r="H5" s="32" t="s">
        <v>121</v>
      </c>
      <c r="I5" s="32" t="str">
        <f>Currency&amp;"/part"</f>
        <v>USD/part</v>
      </c>
      <c r="J5" s="32" t="str">
        <f>Currency&amp;"/part"</f>
        <v>USD/part</v>
      </c>
      <c r="K5" s="32" t="str">
        <f>Currency&amp;"/part"</f>
        <v>USD/part</v>
      </c>
      <c r="L5" s="32" t="str">
        <f>Currency&amp;"/part"</f>
        <v>USD/part</v>
      </c>
      <c r="M5" s="32" t="str">
        <f>Currency&amp;"/part"</f>
        <v>USD/part</v>
      </c>
      <c r="N5" s="32" t="str">
        <f>Currency&amp;"/part"</f>
        <v>USD/part</v>
      </c>
      <c r="O5" s="32" t="str">
        <f>Currency&amp;"/part"</f>
        <v>USD/part</v>
      </c>
      <c r="P5" s="32" t="str">
        <f>Currency&amp;"/good part"</f>
        <v>USD/good part</v>
      </c>
      <c r="Q5" s="32" t="s">
        <v>122</v>
      </c>
      <c r="R5" s="32"/>
      <c r="S5" s="32" t="str">
        <f>Currency&amp;"/yr"</f>
        <v>USD/yr</v>
      </c>
      <c r="T5" s="32" t="str">
        <f>Currency&amp;"/yr"</f>
        <v>USD/yr</v>
      </c>
      <c r="U5" s="32" t="str">
        <f>Currency&amp;"/yr"</f>
        <v>USD/yr</v>
      </c>
      <c r="V5" s="32" t="str">
        <f>Currency&amp;"/yr"</f>
        <v>USD/yr</v>
      </c>
      <c r="W5" s="32"/>
      <c r="X5" s="32"/>
    </row>
    <row r="6" spans="1:24" ht="32" customHeight="1">
      <c r="B6" s="33" t="s">
        <v>97</v>
      </c>
      <c r="C6" s="33" t="s">
        <v>98</v>
      </c>
      <c r="D6" s="33" t="s">
        <v>99</v>
      </c>
      <c r="E6" s="33" t="s">
        <v>100</v>
      </c>
      <c r="F6" s="33" t="s">
        <v>101</v>
      </c>
      <c r="G6" s="33" t="s">
        <v>102</v>
      </c>
      <c r="H6" s="33" t="s">
        <v>103</v>
      </c>
      <c r="I6" s="33" t="s">
        <v>104</v>
      </c>
      <c r="J6" s="33" t="s">
        <v>105</v>
      </c>
      <c r="K6" s="33" t="s">
        <v>106</v>
      </c>
      <c r="L6" s="33" t="s">
        <v>19</v>
      </c>
      <c r="M6" s="33" t="s">
        <v>107</v>
      </c>
      <c r="N6" s="33" t="s">
        <v>108</v>
      </c>
      <c r="O6" s="33" t="s">
        <v>109</v>
      </c>
      <c r="P6" s="33" t="s">
        <v>110</v>
      </c>
      <c r="Q6" s="33" t="s">
        <v>111</v>
      </c>
      <c r="R6" s="33" t="s">
        <v>112</v>
      </c>
      <c r="S6" s="33" t="s">
        <v>113</v>
      </c>
      <c r="T6" s="33" t="s">
        <v>114</v>
      </c>
      <c r="U6" s="33" t="s">
        <v>115</v>
      </c>
      <c r="V6" s="33" t="s">
        <v>116</v>
      </c>
      <c r="W6" s="33" t="s">
        <v>117</v>
      </c>
      <c r="X6" s="33" t="s">
        <v>66</v>
      </c>
    </row>
    <row r="7" spans="1:24">
      <c r="B7" s="28" t="s">
        <v>123</v>
      </c>
      <c r="C7" s="28" t="s">
        <v>124</v>
      </c>
      <c r="D7" s="29">
        <v>1.1</v>
      </c>
      <c r="E7" s="29">
        <v>0.12</v>
      </c>
      <c r="F7" s="35">
        <v>500</v>
      </c>
      <c r="G7" s="30">
        <v>0.02</v>
      </c>
      <c r="H7" s="35">
        <v>24000</v>
      </c>
      <c r="I7" s="29">
        <v>4.1</v>
      </c>
      <c r="J7" s="36">
        <f>IF(tblParts[[#This Row],[Part]]="","",SUMIFS(tblOps[Labour],tblOps[Part],tblParts[[#This Row],[Part]]))</f>
        <v>0.355111111111111</v>
      </c>
      <c r="K7" s="36">
        <f>IF(tblParts[[#This Row],[Part]]="","",SUMIFS(tblOps[Machine],tblOps[Part],tblParts[[#This Row],[Part]]))</f>
        <v>0.662777777777778</v>
      </c>
      <c r="L7" s="36">
        <f>IF(tblParts[[#This Row],[Part]]="","",IF(tblParts[[#This Row],[Batch size]]&gt;0,SUMIFS(tblOps[Setup cost],tblOps[Part],tblParts[[#This Row],[Part]])/tblParts[[#This Row],[Batch size]],0))</f>
        <v>0.186</v>
      </c>
      <c r="M7" s="36">
        <f>IF(tblParts[[#This Row],[Part]]="","",(tblParts[[#This Row],[Labour]]+tblParts[[#This Row],[Machine]]+tblParts[[#This Row],[Setup]])*OverheadPct)</f>
        <v>0.361166666666667</v>
      </c>
      <c r="N7" s="36">
        <f>IF(tblParts[[#This Row],[Part]]="","",tblParts[[#This Row],[Material]]+tblParts[[#This Row],[Bought-in and packaging]]+tblParts[[#This Row],[Labour]]+tblParts[[#This Row],[Machine]]+tblParts[[#This Row],[Setup]]+tblParts[[#This Row],[Overhead]])</f>
        <v>2.78505555555556</v>
      </c>
      <c r="O7" s="36">
        <f>IF(tblParts[[#This Row],[Part]]="","",IF(tblParts[[#This Row],[Scrap rate]]&lt;1,tblParts[[#This Row],[Cost per part started]]*tblParts[[#This Row],[Scrap rate]]/(1-tblParts[[#This Row],[Scrap rate]]),""))</f>
        <v>0.0568378684807256</v>
      </c>
      <c r="P7" s="37">
        <f>IF(tblParts[[#This Row],[Part]]="","",IF(tblParts[[#This Row],[Scrap rate]]&lt;1,tblParts[[#This Row],[Cost per part started]]/(1-tblParts[[#This Row],[Scrap rate]]),""))</f>
        <v>2.84189342403628</v>
      </c>
      <c r="Q7" s="38">
        <f>IF(tblParts[[#This Row],[Part]]="","",IF(tblParts[[#This Row],[Price]]&gt;0,(tblParts[[#This Row],[Price]]-tblParts[[#This Row],[Unit cost]])/tblParts[[#This Row],[Price]],""))</f>
        <v>0.306855262430175</v>
      </c>
      <c r="R7" s="39" t="str">
        <f>IF(NOT(ISNUMBER(tblParts[[#This Row],[Margin]])),"",IF(tblParts[[#This Row],[Margin]]&gt;=TargetMargin,"On target",IF(tblParts[[#This Row],[Margin]]&gt;=TargetMargin*(1-0.05),"Near target","Below target")))</f>
        <v>On target</v>
      </c>
      <c r="S7" s="40">
        <f>IF(tblParts[[#This Row],[Part]]="","",tblParts[[#This Row],[Unit cost]]*tblParts[[#This Row],[Annual volume]])</f>
        <v>68205.4421768708</v>
      </c>
      <c r="T7" s="40">
        <f>IF(tblParts[[#This Row],[Part]]="","",IF(tblParts[[#This Row],[Price]]&gt;0,tblParts[[#This Row],[Price]]*tblParts[[#This Row],[Annual volume]],""))</f>
        <v>98400</v>
      </c>
      <c r="U7" s="40">
        <f>IF(tblParts[[#This Row],[Part]]="","",IF(tblParts[[#This Row],[Price]]&gt;0,tblParts[[#This Row],[Annual revenue]]-tblParts[[#This Row],[Annual cost]],""))</f>
        <v>30194.5578231292</v>
      </c>
      <c r="V7" s="40">
        <f>IF(tblParts[[#This Row],[Part]]="","",tblParts[[#This Row],[Scrap allowance]]*tblParts[[#This Row],[Annual volume]])</f>
        <v>1364.10884353742</v>
      </c>
      <c r="W7" s="41" t="str">
        <f>IF(tblParts[[#This Row],[Part]]="","",IF(tblParts[[#This Row],[Material]]="","Missing material",IF(tblParts[[#This Row],[Batch size]]="","Missing batch size",IF(tblParts[[#This Row],[Scrap rate]]="","Missing scrap rate",IF(tblParts[[#This Row],[Annual volume]]="","Missing annual volume",IF(COUNTIF(tblOps[Part],tblParts[[#This Row],[Part]])=0,"No operations for this part",IF(COUNTIF(tblParts[Part],tblParts[[#This Row],[Part]])&gt;1,"Duplicate part","OK")))))))</f>
        <v>OK</v>
      </c>
      <c r="X7" s="28" t="s">
        <v>88</v>
      </c>
    </row>
    <row r="8" spans="1:24">
      <c r="B8" s="28" t="s">
        <v>125</v>
      </c>
      <c r="C8" s="28" t="s">
        <v>126</v>
      </c>
      <c r="D8" s="29">
        <v>1.45</v>
      </c>
      <c r="E8" s="29">
        <v>0.14</v>
      </c>
      <c r="F8" s="35">
        <v>400</v>
      </c>
      <c r="G8" s="30">
        <v>0.03</v>
      </c>
      <c r="H8" s="35">
        <v>18000</v>
      </c>
      <c r="I8" s="29">
        <v>6.95</v>
      </c>
      <c r="J8" s="36">
        <f>IF(tblParts[[#This Row],[Part]]="","",SUMIFS(tblOps[Labour],tblOps[Part],tblParts[[#This Row],[Part]]))</f>
        <v>0.657333333333333</v>
      </c>
      <c r="K8" s="36">
        <f>IF(tblParts[[#This Row],[Part]]="","",SUMIFS(tblOps[Machine],tblOps[Part],tblParts[[#This Row],[Part]]))</f>
        <v>1.34388888888889</v>
      </c>
      <c r="L8" s="36">
        <f>IF(tblParts[[#This Row],[Part]]="","",IF(tblParts[[#This Row],[Batch size]]&gt;0,SUMIFS(tblOps[Setup cost],tblOps[Part],tblParts[[#This Row],[Part]])/tblParts[[#This Row],[Batch size]],0))</f>
        <v>0.50125</v>
      </c>
      <c r="M8" s="36">
        <f>IF(tblParts[[#This Row],[Part]]="","",(tblParts[[#This Row],[Labour]]+tblParts[[#This Row],[Machine]]+tblParts[[#This Row],[Setup]])*OverheadPct)</f>
        <v>0.750741666666667</v>
      </c>
      <c r="N8" s="36">
        <f>IF(tblParts[[#This Row],[Part]]="","",tblParts[[#This Row],[Material]]+tblParts[[#This Row],[Bought-in and packaging]]+tblParts[[#This Row],[Labour]]+tblParts[[#This Row],[Machine]]+tblParts[[#This Row],[Setup]]+tblParts[[#This Row],[Overhead]])</f>
        <v>4.84321388888889</v>
      </c>
      <c r="O8" s="36">
        <f>IF(tblParts[[#This Row],[Part]]="","",IF(tblParts[[#This Row],[Scrap rate]]&lt;1,tblParts[[#This Row],[Cost per part started]]*tblParts[[#This Row],[Scrap rate]]/(1-tblParts[[#This Row],[Scrap rate]]),""))</f>
        <v>0.149790120274914</v>
      </c>
      <c r="P8" s="37">
        <f>IF(tblParts[[#This Row],[Part]]="","",IF(tblParts[[#This Row],[Scrap rate]]&lt;1,tblParts[[#This Row],[Cost per part started]]/(1-tblParts[[#This Row],[Scrap rate]]),""))</f>
        <v>4.9930040091638</v>
      </c>
      <c r="Q8" s="38">
        <f>IF(tblParts[[#This Row],[Part]]="","",IF(tblParts[[#This Row],[Price]]&gt;0,(tblParts[[#This Row],[Price]]-tblParts[[#This Row],[Unit cost]])/tblParts[[#This Row],[Price]],""))</f>
        <v>0.281582156954849</v>
      </c>
      <c r="R8" s="39" t="str">
        <f>IF(NOT(ISNUMBER(tblParts[[#This Row],[Margin]])),"",IF(tblParts[[#This Row],[Margin]]&gt;=TargetMargin,"On target",IF(tblParts[[#This Row],[Margin]]&gt;=TargetMargin*(1-0.05),"Near target","Below target")))</f>
        <v>On target</v>
      </c>
      <c r="S8" s="40">
        <f>IF(tblParts[[#This Row],[Part]]="","",tblParts[[#This Row],[Unit cost]]*tblParts[[#This Row],[Annual volume]])</f>
        <v>89874.0721649484</v>
      </c>
      <c r="T8" s="40">
        <f>IF(tblParts[[#This Row],[Part]]="","",IF(tblParts[[#This Row],[Price]]&gt;0,tblParts[[#This Row],[Price]]*tblParts[[#This Row],[Annual volume]],""))</f>
        <v>125100</v>
      </c>
      <c r="U8" s="40">
        <f>IF(tblParts[[#This Row],[Part]]="","",IF(tblParts[[#This Row],[Price]]&gt;0,tblParts[[#This Row],[Annual revenue]]-tblParts[[#This Row],[Annual cost]],""))</f>
        <v>35225.9278350516</v>
      </c>
      <c r="V8" s="40">
        <f>IF(tblParts[[#This Row],[Part]]="","",tblParts[[#This Row],[Scrap allowance]]*tblParts[[#This Row],[Annual volume]])</f>
        <v>2696.22216494845</v>
      </c>
      <c r="W8" s="41" t="str">
        <f>IF(tblParts[[#This Row],[Part]]="","",IF(tblParts[[#This Row],[Material]]="","Missing material",IF(tblParts[[#This Row],[Batch size]]="","Missing batch size",IF(tblParts[[#This Row],[Scrap rate]]="","Missing scrap rate",IF(tblParts[[#This Row],[Annual volume]]="","Missing annual volume",IF(COUNTIF(tblOps[Part],tblParts[[#This Row],[Part]])=0,"No operations for this part",IF(COUNTIF(tblParts[Part],tblParts[[#This Row],[Part]])&gt;1,"Duplicate part","OK")))))))</f>
        <v>OK</v>
      </c>
      <c r="X8" s="28" t="s">
        <v>88</v>
      </c>
    </row>
    <row r="9" spans="1:24">
      <c r="B9" s="28" t="s">
        <v>127</v>
      </c>
      <c r="C9" s="28" t="s">
        <v>128</v>
      </c>
      <c r="D9" s="29">
        <v>2.3</v>
      </c>
      <c r="E9" s="29">
        <v>0.18</v>
      </c>
      <c r="F9" s="35">
        <v>300</v>
      </c>
      <c r="G9" s="30">
        <v>0.035</v>
      </c>
      <c r="H9" s="35">
        <v>9000</v>
      </c>
      <c r="I9" s="29">
        <v>10.4</v>
      </c>
      <c r="J9" s="36">
        <f>IF(tblParts[[#This Row],[Part]]="","",SUMIFS(tblOps[Labour],tblOps[Part],tblParts[[#This Row],[Part]]))</f>
        <v>0.921777777777778</v>
      </c>
      <c r="K9" s="36">
        <f>IF(tblParts[[#This Row],[Part]]="","",SUMIFS(tblOps[Machine],tblOps[Part],tblParts[[#This Row],[Part]]))</f>
        <v>1.91444444444444</v>
      </c>
      <c r="L9" s="36">
        <f>IF(tblParts[[#This Row],[Part]]="","",IF(tblParts[[#This Row],[Batch size]]&gt;0,SUMIFS(tblOps[Setup cost],tblOps[Part],tblParts[[#This Row],[Part]])/tblParts[[#This Row],[Batch size]],0))</f>
        <v>0.806666666666667</v>
      </c>
      <c r="M9" s="36">
        <f>IF(tblParts[[#This Row],[Part]]="","",(tblParts[[#This Row],[Labour]]+tblParts[[#This Row],[Machine]]+tblParts[[#This Row],[Setup]])*OverheadPct)</f>
        <v>1.09286666666667</v>
      </c>
      <c r="N9" s="36">
        <f>IF(tblParts[[#This Row],[Part]]="","",tblParts[[#This Row],[Material]]+tblParts[[#This Row],[Bought-in and packaging]]+tblParts[[#This Row],[Labour]]+tblParts[[#This Row],[Machine]]+tblParts[[#This Row],[Setup]]+tblParts[[#This Row],[Overhead]])</f>
        <v>7.21575555555556</v>
      </c>
      <c r="O9" s="36">
        <f>IF(tblParts[[#This Row],[Part]]="","",IF(tblParts[[#This Row],[Scrap rate]]&lt;1,tblParts[[#This Row],[Cost per part started]]*tblParts[[#This Row],[Scrap rate]]/(1-tblParts[[#This Row],[Scrap rate]]),""))</f>
        <v>0.261711341393207</v>
      </c>
      <c r="P9" s="37">
        <f>IF(tblParts[[#This Row],[Part]]="","",IF(tblParts[[#This Row],[Scrap rate]]&lt;1,tblParts[[#This Row],[Cost per part started]]/(1-tblParts[[#This Row],[Scrap rate]]),""))</f>
        <v>7.47746689694876</v>
      </c>
      <c r="Q9" s="38">
        <f>IF(tblParts[[#This Row],[Part]]="","",IF(tblParts[[#This Row],[Price]]&gt;0,(tblParts[[#This Row],[Price]]-tblParts[[#This Row],[Unit cost]])/tblParts[[#This Row],[Price]],""))</f>
        <v>0.281012798370311</v>
      </c>
      <c r="R9" s="39" t="str">
        <f>IF(NOT(ISNUMBER(tblParts[[#This Row],[Margin]])),"",IF(tblParts[[#This Row],[Margin]]&gt;=TargetMargin,"On target",IF(tblParts[[#This Row],[Margin]]&gt;=TargetMargin*(1-0.05),"Near target","Below target")))</f>
        <v>On target</v>
      </c>
      <c r="S9" s="40">
        <f>IF(tblParts[[#This Row],[Part]]="","",tblParts[[#This Row],[Unit cost]]*tblParts[[#This Row],[Annual volume]])</f>
        <v>67297.2020725389</v>
      </c>
      <c r="T9" s="40">
        <f>IF(tblParts[[#This Row],[Part]]="","",IF(tblParts[[#This Row],[Price]]&gt;0,tblParts[[#This Row],[Price]]*tblParts[[#This Row],[Annual volume]],""))</f>
        <v>93600</v>
      </c>
      <c r="U9" s="40">
        <f>IF(tblParts[[#This Row],[Part]]="","",IF(tblParts[[#This Row],[Price]]&gt;0,tblParts[[#This Row],[Annual revenue]]-tblParts[[#This Row],[Annual cost]],""))</f>
        <v>26302.7979274611</v>
      </c>
      <c r="V9" s="40">
        <f>IF(tblParts[[#This Row],[Part]]="","",tblParts[[#This Row],[Scrap allowance]]*tblParts[[#This Row],[Annual volume]])</f>
        <v>2355.40207253886</v>
      </c>
      <c r="W9" s="41" t="str">
        <f>IF(tblParts[[#This Row],[Part]]="","",IF(tblParts[[#This Row],[Material]]="","Missing material",IF(tblParts[[#This Row],[Batch size]]="","Missing batch size",IF(tblParts[[#This Row],[Scrap rate]]="","Missing scrap rate",IF(tblParts[[#This Row],[Annual volume]]="","Missing annual volume",IF(COUNTIF(tblOps[Part],tblParts[[#This Row],[Part]])=0,"No operations for this part",IF(COUNTIF(tblParts[Part],tblParts[[#This Row],[Part]])&gt;1,"Duplicate part","OK")))))))</f>
        <v>OK</v>
      </c>
      <c r="X9" s="28" t="s">
        <v>88</v>
      </c>
    </row>
    <row r="10" spans="1:24">
      <c r="B10" s="28" t="s">
        <v>129</v>
      </c>
      <c r="C10" s="28" t="s">
        <v>130</v>
      </c>
      <c r="D10" s="29">
        <v>4.6</v>
      </c>
      <c r="E10" s="29">
        <v>0.15</v>
      </c>
      <c r="F10" s="35">
        <v>200</v>
      </c>
      <c r="G10" s="30">
        <v>0.03</v>
      </c>
      <c r="H10" s="35">
        <v>5000</v>
      </c>
      <c r="I10" s="29">
        <v>12</v>
      </c>
      <c r="J10" s="36">
        <f>IF(tblParts[[#This Row],[Part]]="","",SUMIFS(tblOps[Labour],tblOps[Part],tblParts[[#This Row],[Part]]))</f>
        <v>0.827333333333333</v>
      </c>
      <c r="K10" s="36">
        <f>IF(tblParts[[#This Row],[Part]]="","",SUMIFS(tblOps[Machine],tblOps[Part],tblParts[[#This Row],[Part]]))</f>
        <v>1.63388888888889</v>
      </c>
      <c r="L10" s="36">
        <f>IF(tblParts[[#This Row],[Part]]="","",IF(tblParts[[#This Row],[Batch size]]&gt;0,SUMIFS(tblOps[Setup cost],tblOps[Part],tblParts[[#This Row],[Part]])/tblParts[[#This Row],[Batch size]],0))</f>
        <v>0.665</v>
      </c>
      <c r="M10" s="36">
        <f>IF(tblParts[[#This Row],[Part]]="","",(tblParts[[#This Row],[Labour]]+tblParts[[#This Row],[Machine]]+tblParts[[#This Row],[Setup]])*OverheadPct)</f>
        <v>0.937866666666667</v>
      </c>
      <c r="N10" s="36">
        <f>IF(tblParts[[#This Row],[Part]]="","",tblParts[[#This Row],[Material]]+tblParts[[#This Row],[Bought-in and packaging]]+tblParts[[#This Row],[Labour]]+tblParts[[#This Row],[Machine]]+tblParts[[#This Row],[Setup]]+tblParts[[#This Row],[Overhead]])</f>
        <v>8.81408888888889</v>
      </c>
      <c r="O10" s="36">
        <f>IF(tblParts[[#This Row],[Part]]="","",IF(tblParts[[#This Row],[Scrap rate]]&lt;1,tblParts[[#This Row],[Cost per part started]]*tblParts[[#This Row],[Scrap rate]]/(1-tblParts[[#This Row],[Scrap rate]]),""))</f>
        <v>0.272600687285223</v>
      </c>
      <c r="P10" s="37">
        <f>IF(tblParts[[#This Row],[Part]]="","",IF(tblParts[[#This Row],[Scrap rate]]&lt;1,tblParts[[#This Row],[Cost per part started]]/(1-tblParts[[#This Row],[Scrap rate]]),""))</f>
        <v>9.08668957617411</v>
      </c>
      <c r="Q10" s="38">
        <f>IF(tblParts[[#This Row],[Part]]="","",IF(tblParts[[#This Row],[Price]]&gt;0,(tblParts[[#This Row],[Price]]-tblParts[[#This Row],[Unit cost]])/tblParts[[#This Row],[Price]],""))</f>
        <v>0.242775868652157</v>
      </c>
      <c r="R10" s="39" t="str">
        <f>IF(NOT(ISNUMBER(tblParts[[#This Row],[Margin]])),"",IF(tblParts[[#This Row],[Margin]]&gt;=TargetMargin,"On target",IF(tblParts[[#This Row],[Margin]]&gt;=TargetMargin*(1-0.05),"Near target","Below target")))</f>
        <v>Near target</v>
      </c>
      <c r="S10" s="40">
        <f>IF(tblParts[[#This Row],[Part]]="","",tblParts[[#This Row],[Unit cost]]*tblParts[[#This Row],[Annual volume]])</f>
        <v>45433.4478808706</v>
      </c>
      <c r="T10" s="40">
        <f>IF(tblParts[[#This Row],[Part]]="","",IF(tblParts[[#This Row],[Price]]&gt;0,tblParts[[#This Row],[Price]]*tblParts[[#This Row],[Annual volume]],""))</f>
        <v>60000</v>
      </c>
      <c r="U10" s="40">
        <f>IF(tblParts[[#This Row],[Part]]="","",IF(tblParts[[#This Row],[Price]]&gt;0,tblParts[[#This Row],[Annual revenue]]-tblParts[[#This Row],[Annual cost]],""))</f>
        <v>14566.5521191294</v>
      </c>
      <c r="V10" s="40">
        <f>IF(tblParts[[#This Row],[Part]]="","",tblParts[[#This Row],[Scrap allowance]]*tblParts[[#This Row],[Annual volume]])</f>
        <v>1363.00343642612</v>
      </c>
      <c r="W10" s="41" t="str">
        <f>IF(tblParts[[#This Row],[Part]]="","",IF(tblParts[[#This Row],[Material]]="","Missing material",IF(tblParts[[#This Row],[Batch size]]="","Missing batch size",IF(tblParts[[#This Row],[Scrap rate]]="","Missing scrap rate",IF(tblParts[[#This Row],[Annual volume]]="","Missing annual volume",IF(COUNTIF(tblOps[Part],tblParts[[#This Row],[Part]])=0,"No operations for this part",IF(COUNTIF(tblParts[Part],tblParts[[#This Row],[Part]])&gt;1,"Duplicate part","OK")))))))</f>
        <v>OK</v>
      </c>
      <c r="X10" s="28" t="s">
        <v>88</v>
      </c>
    </row>
    <row r="11" spans="1:24">
      <c r="B11" s="28" t="s">
        <v>131</v>
      </c>
      <c r="C11" s="28" t="s">
        <v>132</v>
      </c>
      <c r="D11" s="29">
        <v>6.8</v>
      </c>
      <c r="E11" s="29">
        <v>0.4</v>
      </c>
      <c r="F11" s="35">
        <v>100</v>
      </c>
      <c r="G11" s="30">
        <v>0.04</v>
      </c>
      <c r="H11" s="35">
        <v>2400</v>
      </c>
      <c r="I11" s="29">
        <v>36.5</v>
      </c>
      <c r="J11" s="36">
        <f>IF(tblParts[[#This Row],[Part]]="","",SUMIFS(tblOps[Labour],tblOps[Part],tblParts[[#This Row],[Part]]))</f>
        <v>4.26888888888889</v>
      </c>
      <c r="K11" s="36">
        <f>IF(tblParts[[#This Row],[Part]]="","",SUMIFS(tblOps[Machine],tblOps[Part],tblParts[[#This Row],[Part]]))</f>
        <v>7.07777777777778</v>
      </c>
      <c r="L11" s="36">
        <f>IF(tblParts[[#This Row],[Part]]="","",IF(tblParts[[#This Row],[Batch size]]&gt;0,SUMIFS(tblOps[Setup cost],tblOps[Part],tblParts[[#This Row],[Part]])/tblParts[[#This Row],[Batch size]],0))</f>
        <v>2.005</v>
      </c>
      <c r="M11" s="36">
        <f>IF(tblParts[[#This Row],[Part]]="","",(tblParts[[#This Row],[Labour]]+tblParts[[#This Row],[Machine]]+tblParts[[#This Row],[Setup]])*OverheadPct)</f>
        <v>4.0055</v>
      </c>
      <c r="N11" s="36">
        <f>IF(tblParts[[#This Row],[Part]]="","",tblParts[[#This Row],[Material]]+tblParts[[#This Row],[Bought-in and packaging]]+tblParts[[#This Row],[Labour]]+tblParts[[#This Row],[Machine]]+tblParts[[#This Row],[Setup]]+tblParts[[#This Row],[Overhead]])</f>
        <v>24.5571666666667</v>
      </c>
      <c r="O11" s="36">
        <f>IF(tblParts[[#This Row],[Part]]="","",IF(tblParts[[#This Row],[Scrap rate]]&lt;1,tblParts[[#This Row],[Cost per part started]]*tblParts[[#This Row],[Scrap rate]]/(1-tblParts[[#This Row],[Scrap rate]]),""))</f>
        <v>1.02321527777778</v>
      </c>
      <c r="P11" s="37">
        <f>IF(tblParts[[#This Row],[Part]]="","",IF(tblParts[[#This Row],[Scrap rate]]&lt;1,tblParts[[#This Row],[Cost per part started]]/(1-tblParts[[#This Row],[Scrap rate]]),""))</f>
        <v>25.5803819444444</v>
      </c>
      <c r="Q11" s="38">
        <f>IF(tblParts[[#This Row],[Part]]="","",IF(tblParts[[#This Row],[Price]]&gt;0,(tblParts[[#This Row],[Price]]-tblParts[[#This Row],[Unit cost]])/tblParts[[#This Row],[Price]],""))</f>
        <v>0.299167617960426</v>
      </c>
      <c r="R11" s="39" t="str">
        <f>IF(NOT(ISNUMBER(tblParts[[#This Row],[Margin]])),"",IF(tblParts[[#This Row],[Margin]]&gt;=TargetMargin,"On target",IF(tblParts[[#This Row],[Margin]]&gt;=TargetMargin*(1-0.05),"Near target","Below target")))</f>
        <v>On target</v>
      </c>
      <c r="S11" s="40">
        <f>IF(tblParts[[#This Row],[Part]]="","",tblParts[[#This Row],[Unit cost]]*tblParts[[#This Row],[Annual volume]])</f>
        <v>61392.9166666667</v>
      </c>
      <c r="T11" s="40">
        <f>IF(tblParts[[#This Row],[Part]]="","",IF(tblParts[[#This Row],[Price]]&gt;0,tblParts[[#This Row],[Price]]*tblParts[[#This Row],[Annual volume]],""))</f>
        <v>87600</v>
      </c>
      <c r="U11" s="40">
        <f>IF(tblParts[[#This Row],[Part]]="","",IF(tblParts[[#This Row],[Price]]&gt;0,tblParts[[#This Row],[Annual revenue]]-tblParts[[#This Row],[Annual cost]],""))</f>
        <v>26207.0833333333</v>
      </c>
      <c r="V11" s="40">
        <f>IF(tblParts[[#This Row],[Part]]="","",tblParts[[#This Row],[Scrap allowance]]*tblParts[[#This Row],[Annual volume]])</f>
        <v>2455.71666666667</v>
      </c>
      <c r="W11" s="41" t="str">
        <f>IF(tblParts[[#This Row],[Part]]="","",IF(tblParts[[#This Row],[Material]]="","Missing material",IF(tblParts[[#This Row],[Batch size]]="","Missing batch size",IF(tblParts[[#This Row],[Scrap rate]]="","Missing scrap rate",IF(tblParts[[#This Row],[Annual volume]]="","Missing annual volume",IF(COUNTIF(tblOps[Part],tblParts[[#This Row],[Part]])=0,"No operations for this part",IF(COUNTIF(tblParts[Part],tblParts[[#This Row],[Part]])&gt;1,"Duplicate part","OK")))))))</f>
        <v>OK</v>
      </c>
      <c r="X11" s="28" t="s">
        <v>88</v>
      </c>
    </row>
    <row r="12" spans="1:24">
      <c r="B12" s="28" t="s">
        <v>133</v>
      </c>
      <c r="C12" s="28" t="s">
        <v>134</v>
      </c>
      <c r="D12" s="29">
        <v>9.199999999999999</v>
      </c>
      <c r="E12" s="29">
        <v>0.6</v>
      </c>
      <c r="F12" s="35">
        <v>60</v>
      </c>
      <c r="G12" s="30">
        <v>0.06</v>
      </c>
      <c r="H12" s="35">
        <v>1200</v>
      </c>
      <c r="I12" s="29">
        <v>68</v>
      </c>
      <c r="J12" s="36">
        <f>IF(tblParts[[#This Row],[Part]]="","",SUMIFS(tblOps[Labour],tblOps[Part],tblParts[[#This Row],[Part]]))</f>
        <v>7.14944444444445</v>
      </c>
      <c r="K12" s="36">
        <f>IF(tblParts[[#This Row],[Part]]="","",SUMIFS(tblOps[Machine],tblOps[Part],tblParts[[#This Row],[Part]]))</f>
        <v>21.5027777777778</v>
      </c>
      <c r="L12" s="36">
        <f>IF(tblParts[[#This Row],[Part]]="","",IF(tblParts[[#This Row],[Batch size]]&gt;0,SUMIFS(tblOps[Setup cost],tblOps[Part],tblParts[[#This Row],[Part]])/tblParts[[#This Row],[Batch size]],0))</f>
        <v>7.03333333333333</v>
      </c>
      <c r="M12" s="36">
        <f>IF(tblParts[[#This Row],[Part]]="","",(tblParts[[#This Row],[Labour]]+tblParts[[#This Row],[Machine]]+tblParts[[#This Row],[Setup]])*OverheadPct)</f>
        <v>10.7056666666667</v>
      </c>
      <c r="N12" s="36">
        <f>IF(tblParts[[#This Row],[Part]]="","",tblParts[[#This Row],[Material]]+tblParts[[#This Row],[Bought-in and packaging]]+tblParts[[#This Row],[Labour]]+tblParts[[#This Row],[Machine]]+tblParts[[#This Row],[Setup]]+tblParts[[#This Row],[Overhead]])</f>
        <v>56.1912222222222</v>
      </c>
      <c r="O12" s="36">
        <f>IF(tblParts[[#This Row],[Part]]="","",IF(tblParts[[#This Row],[Scrap rate]]&lt;1,tblParts[[#This Row],[Cost per part started]]*tblParts[[#This Row],[Scrap rate]]/(1-tblParts[[#This Row],[Scrap rate]]),""))</f>
        <v>3.58667375886525</v>
      </c>
      <c r="P12" s="37">
        <f>IF(tblParts[[#This Row],[Part]]="","",IF(tblParts[[#This Row],[Scrap rate]]&lt;1,tblParts[[#This Row],[Cost per part started]]/(1-tblParts[[#This Row],[Scrap rate]]),""))</f>
        <v>59.7778959810875</v>
      </c>
      <c r="Q12" s="38">
        <f>IF(tblParts[[#This Row],[Part]]="","",IF(tblParts[[#This Row],[Price]]&gt;0,(tblParts[[#This Row],[Price]]-tblParts[[#This Row],[Unit cost]])/tblParts[[#This Row],[Price]],""))</f>
        <v>0.120913294395773</v>
      </c>
      <c r="R12" s="39" t="str">
        <f>IF(NOT(ISNUMBER(tblParts[[#This Row],[Margin]])),"",IF(tblParts[[#This Row],[Margin]]&gt;=TargetMargin,"On target",IF(tblParts[[#This Row],[Margin]]&gt;=TargetMargin*(1-0.05),"Near target","Below target")))</f>
        <v>Below target</v>
      </c>
      <c r="S12" s="40">
        <f>IF(tblParts[[#This Row],[Part]]="","",tblParts[[#This Row],[Unit cost]]*tblParts[[#This Row],[Annual volume]])</f>
        <v>71733.475177305</v>
      </c>
      <c r="T12" s="40">
        <f>IF(tblParts[[#This Row],[Part]]="","",IF(tblParts[[#This Row],[Price]]&gt;0,tblParts[[#This Row],[Price]]*tblParts[[#This Row],[Annual volume]],""))</f>
        <v>81600</v>
      </c>
      <c r="U12" s="40">
        <f>IF(tblParts[[#This Row],[Part]]="","",IF(tblParts[[#This Row],[Price]]&gt;0,tblParts[[#This Row],[Annual revenue]]-tblParts[[#This Row],[Annual cost]],""))</f>
        <v>9866.52482269504</v>
      </c>
      <c r="V12" s="40">
        <f>IF(tblParts[[#This Row],[Part]]="","",tblParts[[#This Row],[Scrap allowance]]*tblParts[[#This Row],[Annual volume]])</f>
        <v>4304.0085106383</v>
      </c>
      <c r="W12" s="41" t="str">
        <f>IF(tblParts[[#This Row],[Part]]="","",IF(tblParts[[#This Row],[Material]]="","Missing material",IF(tblParts[[#This Row],[Batch size]]="","Missing batch size",IF(tblParts[[#This Row],[Scrap rate]]="","Missing scrap rate",IF(tblParts[[#This Row],[Annual volume]]="","Missing annual volume",IF(COUNTIF(tblOps[Part],tblParts[[#This Row],[Part]])=0,"No operations for this part",IF(COUNTIF(tblParts[Part],tblParts[[#This Row],[Part]])&gt;1,"Duplicate part","OK")))))))</f>
        <v>OK</v>
      </c>
      <c r="X12" s="28" t="s">
        <v>88</v>
      </c>
    </row>
    <row r="13" spans="1:24">
      <c r="B13" s="28" t="s">
        <v>135</v>
      </c>
      <c r="C13" s="28" t="s">
        <v>136</v>
      </c>
      <c r="D13" s="29">
        <v>2.1</v>
      </c>
      <c r="E13" s="29">
        <v>0</v>
      </c>
      <c r="F13" s="35">
        <v>250</v>
      </c>
      <c r="G13" s="30">
        <v>0.08</v>
      </c>
      <c r="H13" s="35">
        <v>6000</v>
      </c>
      <c r="I13" s="29">
        <v>13.9</v>
      </c>
      <c r="J13" s="36">
        <f>IF(tblParts[[#This Row],[Part]]="","",SUMIFS(tblOps[Labour],tblOps[Part],tblParts[[#This Row],[Part]]))</f>
        <v>1.90305555555556</v>
      </c>
      <c r="K13" s="36">
        <f>IF(tblParts[[#This Row],[Part]]="","",SUMIFS(tblOps[Machine],tblOps[Part],tblParts[[#This Row],[Part]]))</f>
        <v>3.42055555555556</v>
      </c>
      <c r="L13" s="36">
        <f>IF(tblParts[[#This Row],[Part]]="","",IF(tblParts[[#This Row],[Batch size]]&gt;0,SUMIFS(tblOps[Setup cost],tblOps[Part],tblParts[[#This Row],[Part]])/tblParts[[#This Row],[Batch size]],0))</f>
        <v>1.066</v>
      </c>
      <c r="M13" s="36">
        <f>IF(tblParts[[#This Row],[Part]]="","",(tblParts[[#This Row],[Labour]]+tblParts[[#This Row],[Machine]]+tblParts[[#This Row],[Setup]])*OverheadPct)</f>
        <v>1.91688333333333</v>
      </c>
      <c r="N13" s="36">
        <f>IF(tblParts[[#This Row],[Part]]="","",tblParts[[#This Row],[Material]]+tblParts[[#This Row],[Bought-in and packaging]]+tblParts[[#This Row],[Labour]]+tblParts[[#This Row],[Machine]]+tblParts[[#This Row],[Setup]]+tblParts[[#This Row],[Overhead]])</f>
        <v>10.4064944444444</v>
      </c>
      <c r="O13" s="36">
        <f>IF(tblParts[[#This Row],[Part]]="","",IF(tblParts[[#This Row],[Scrap rate]]&lt;1,tblParts[[#This Row],[Cost per part started]]*tblParts[[#This Row],[Scrap rate]]/(1-tblParts[[#This Row],[Scrap rate]]),""))</f>
        <v>0.904912560386473</v>
      </c>
      <c r="P13" s="37">
        <f>IF(tblParts[[#This Row],[Part]]="","",IF(tblParts[[#This Row],[Scrap rate]]&lt;1,tblParts[[#This Row],[Cost per part started]]/(1-tblParts[[#This Row],[Scrap rate]]),""))</f>
        <v>11.3114070048309</v>
      </c>
      <c r="Q13" s="38">
        <f>IF(tblParts[[#This Row],[Part]]="","",IF(tblParts[[#This Row],[Price]]&gt;0,(tblParts[[#This Row],[Price]]-tblParts[[#This Row],[Unit cost]])/tblParts[[#This Row],[Price]],""))</f>
        <v>0.186229711882668</v>
      </c>
      <c r="R13" s="39" t="str">
        <f>IF(NOT(ISNUMBER(tblParts[[#This Row],[Margin]])),"",IF(tblParts[[#This Row],[Margin]]&gt;=TargetMargin,"On target",IF(tblParts[[#This Row],[Margin]]&gt;=TargetMargin*(1-0.05),"Near target","Below target")))</f>
        <v>Below target</v>
      </c>
      <c r="S13" s="40">
        <f>IF(tblParts[[#This Row],[Part]]="","",tblParts[[#This Row],[Unit cost]]*tblParts[[#This Row],[Annual volume]])</f>
        <v>67868.4420289855</v>
      </c>
      <c r="T13" s="40">
        <f>IF(tblParts[[#This Row],[Part]]="","",IF(tblParts[[#This Row],[Price]]&gt;0,tblParts[[#This Row],[Price]]*tblParts[[#This Row],[Annual volume]],""))</f>
        <v>83400</v>
      </c>
      <c r="U13" s="40">
        <f>IF(tblParts[[#This Row],[Part]]="","",IF(tblParts[[#This Row],[Price]]&gt;0,tblParts[[#This Row],[Annual revenue]]-tblParts[[#This Row],[Annual cost]],""))</f>
        <v>15531.5579710145</v>
      </c>
      <c r="V13" s="40">
        <f>IF(tblParts[[#This Row],[Part]]="","",tblParts[[#This Row],[Scrap allowance]]*tblParts[[#This Row],[Annual volume]])</f>
        <v>5429.47536231884</v>
      </c>
      <c r="W13" s="41" t="str">
        <f>IF(tblParts[[#This Row],[Part]]="","",IF(tblParts[[#This Row],[Material]]="","Missing material",IF(tblParts[[#This Row],[Batch size]]="","Missing batch size",IF(tblParts[[#This Row],[Scrap rate]]="","Missing scrap rate",IF(tblParts[[#This Row],[Annual volume]]="","Missing annual volume",IF(COUNTIF(tblOps[Part],tblParts[[#This Row],[Part]])=0,"No operations for this part",IF(COUNTIF(tblParts[Part],tblParts[[#This Row],[Part]])&gt;1,"Duplicate part","OK")))))))</f>
        <v>OK</v>
      </c>
      <c r="X13" s="28" t="s">
        <v>88</v>
      </c>
    </row>
    <row r="14" spans="1:24">
      <c r="B14" s="28" t="s">
        <v>137</v>
      </c>
      <c r="C14" s="28" t="s">
        <v>138</v>
      </c>
      <c r="D14" s="29">
        <v>3.4</v>
      </c>
      <c r="E14" s="29">
        <v>0.1</v>
      </c>
      <c r="F14" s="35">
        <v>150</v>
      </c>
      <c r="G14" s="30">
        <v>0.025</v>
      </c>
      <c r="H14" s="35">
        <v>4000</v>
      </c>
      <c r="I14" s="29">
        <v>14.5</v>
      </c>
      <c r="J14" s="36">
        <f>IF(tblParts[[#This Row],[Part]]="","",SUMIFS(tblOps[Labour],tblOps[Part],tblParts[[#This Row],[Part]]))</f>
        <v>1.15694444444444</v>
      </c>
      <c r="K14" s="36">
        <f>IF(tblParts[[#This Row],[Part]]="","",SUMIFS(tblOps[Machine],tblOps[Part],tblParts[[#This Row],[Part]]))</f>
        <v>2.38055555555556</v>
      </c>
      <c r="L14" s="36">
        <f>IF(tblParts[[#This Row],[Part]]="","",IF(tblParts[[#This Row],[Batch size]]&gt;0,SUMIFS(tblOps[Setup cost],tblOps[Part],tblParts[[#This Row],[Part]])/tblParts[[#This Row],[Batch size]],0))</f>
        <v>1.60333333333333</v>
      </c>
      <c r="M14" s="36">
        <f>IF(tblParts[[#This Row],[Part]]="","",(tblParts[[#This Row],[Labour]]+tblParts[[#This Row],[Machine]]+tblParts[[#This Row],[Setup]])*OverheadPct)</f>
        <v>1.54225</v>
      </c>
      <c r="N14" s="36">
        <f>IF(tblParts[[#This Row],[Part]]="","",tblParts[[#This Row],[Material]]+tblParts[[#This Row],[Bought-in and packaging]]+tblParts[[#This Row],[Labour]]+tblParts[[#This Row],[Machine]]+tblParts[[#This Row],[Setup]]+tblParts[[#This Row],[Overhead]])</f>
        <v>10.1830833333333</v>
      </c>
      <c r="O14" s="36">
        <f>IF(tblParts[[#This Row],[Part]]="","",IF(tblParts[[#This Row],[Scrap rate]]&lt;1,tblParts[[#This Row],[Cost per part started]]*tblParts[[#This Row],[Scrap rate]]/(1-tblParts[[#This Row],[Scrap rate]]),""))</f>
        <v>0.261104700854701</v>
      </c>
      <c r="P14" s="37">
        <f>IF(tblParts[[#This Row],[Part]]="","",IF(tblParts[[#This Row],[Scrap rate]]&lt;1,tblParts[[#This Row],[Cost per part started]]/(1-tblParts[[#This Row],[Scrap rate]]),""))</f>
        <v>10.444188034188</v>
      </c>
      <c r="Q14" s="38">
        <f>IF(tblParts[[#This Row],[Part]]="","",IF(tblParts[[#This Row],[Price]]&gt;0,(tblParts[[#This Row],[Price]]-tblParts[[#This Row],[Unit cost]])/tblParts[[#This Row],[Price]],""))</f>
        <v>0.279711170055998</v>
      </c>
      <c r="R14" s="39" t="str">
        <f>IF(NOT(ISNUMBER(tblParts[[#This Row],[Margin]])),"",IF(tblParts[[#This Row],[Margin]]&gt;=TargetMargin,"On target",IF(tblParts[[#This Row],[Margin]]&gt;=TargetMargin*(1-0.05),"Near target","Below target")))</f>
        <v>On target</v>
      </c>
      <c r="S14" s="40">
        <f>IF(tblParts[[#This Row],[Part]]="","",tblParts[[#This Row],[Unit cost]]*tblParts[[#This Row],[Annual volume]])</f>
        <v>41776.7521367521</v>
      </c>
      <c r="T14" s="40">
        <f>IF(tblParts[[#This Row],[Part]]="","",IF(tblParts[[#This Row],[Price]]&gt;0,tblParts[[#This Row],[Price]]*tblParts[[#This Row],[Annual volume]],""))</f>
        <v>58000</v>
      </c>
      <c r="U14" s="40">
        <f>IF(tblParts[[#This Row],[Part]]="","",IF(tblParts[[#This Row],[Price]]&gt;0,tblParts[[#This Row],[Annual revenue]]-tblParts[[#This Row],[Annual cost]],""))</f>
        <v>16223.2478632479</v>
      </c>
      <c r="V14" s="40">
        <f>IF(tblParts[[#This Row],[Part]]="","",tblParts[[#This Row],[Scrap allowance]]*tblParts[[#This Row],[Annual volume]])</f>
        <v>1044.4188034188</v>
      </c>
      <c r="W14" s="41" t="str">
        <f>IF(tblParts[[#This Row],[Part]]="","",IF(tblParts[[#This Row],[Material]]="","Missing material",IF(tblParts[[#This Row],[Batch size]]="","Missing batch size",IF(tblParts[[#This Row],[Scrap rate]]="","Missing scrap rate",IF(tblParts[[#This Row],[Annual volume]]="","Missing annual volume",IF(COUNTIF(tblOps[Part],tblParts[[#This Row],[Part]])=0,"No operations for this part",IF(COUNTIF(tblParts[Part],tblParts[[#This Row],[Part]])&gt;1,"Duplicate part","OK")))))))</f>
        <v>OK</v>
      </c>
      <c r="X14" s="28" t="s">
        <v>88</v>
      </c>
    </row>
    <row r="15" spans="1:24">
      <c r="B15" s="28" t="s">
        <v>139</v>
      </c>
      <c r="C15" s="28" t="s">
        <v>140</v>
      </c>
      <c r="D15" s="29">
        <v>0.35</v>
      </c>
      <c r="E15" s="29">
        <v>0.05</v>
      </c>
      <c r="F15" s="35">
        <v>2000</v>
      </c>
      <c r="G15" s="30">
        <v>0.015</v>
      </c>
      <c r="H15" s="35">
        <v>60000</v>
      </c>
      <c r="I15" s="29">
        <v>1.05</v>
      </c>
      <c r="J15" s="36">
        <f>IF(tblParts[[#This Row],[Part]]="","",SUMIFS(tblOps[Labour],tblOps[Part],tblParts[[#This Row],[Part]]))</f>
        <v>0.0330555555555556</v>
      </c>
      <c r="K15" s="36">
        <f>IF(tblParts[[#This Row],[Part]]="","",SUMIFS(tblOps[Machine],tblOps[Part],tblParts[[#This Row],[Part]]))</f>
        <v>0.178888888888889</v>
      </c>
      <c r="L15" s="36">
        <f>IF(tblParts[[#This Row],[Part]]="","",IF(tblParts[[#This Row],[Batch size]]&gt;0,SUMIFS(tblOps[Setup cost],tblOps[Part],tblParts[[#This Row],[Part]])/tblParts[[#This Row],[Batch size]],0))</f>
        <v>0.03</v>
      </c>
      <c r="M15" s="36">
        <f>IF(tblParts[[#This Row],[Part]]="","",(tblParts[[#This Row],[Labour]]+tblParts[[#This Row],[Machine]]+tblParts[[#This Row],[Setup]])*OverheadPct)</f>
        <v>0.0725833333333333</v>
      </c>
      <c r="N15" s="36">
        <f>IF(tblParts[[#This Row],[Part]]="","",tblParts[[#This Row],[Material]]+tblParts[[#This Row],[Bought-in and packaging]]+tblParts[[#This Row],[Labour]]+tblParts[[#This Row],[Machine]]+tblParts[[#This Row],[Setup]]+tblParts[[#This Row],[Overhead]])</f>
        <v>0.714527777777778</v>
      </c>
      <c r="O15" s="36">
        <f>IF(tblParts[[#This Row],[Part]]="","",IF(tblParts[[#This Row],[Scrap rate]]&lt;1,tblParts[[#This Row],[Cost per part started]]*tblParts[[#This Row],[Scrap rate]]/(1-tblParts[[#This Row],[Scrap rate]]),""))</f>
        <v>0.0108811336717428</v>
      </c>
      <c r="P15" s="37">
        <f>IF(tblParts[[#This Row],[Part]]="","",IF(tblParts[[#This Row],[Scrap rate]]&lt;1,tblParts[[#This Row],[Cost per part started]]/(1-tblParts[[#This Row],[Scrap rate]]),""))</f>
        <v>0.725408911449521</v>
      </c>
      <c r="Q15" s="38">
        <f>IF(tblParts[[#This Row],[Part]]="","",IF(tblParts[[#This Row],[Price]]&gt;0,(tblParts[[#This Row],[Price]]-tblParts[[#This Row],[Unit cost]])/tblParts[[#This Row],[Price]],""))</f>
        <v>0.309134370048076</v>
      </c>
      <c r="R15" s="39" t="str">
        <f>IF(NOT(ISNUMBER(tblParts[[#This Row],[Margin]])),"",IF(tblParts[[#This Row],[Margin]]&gt;=TargetMargin,"On target",IF(tblParts[[#This Row],[Margin]]&gt;=TargetMargin*(1-0.05),"Near target","Below target")))</f>
        <v>On target</v>
      </c>
      <c r="S15" s="40">
        <f>IF(tblParts[[#This Row],[Part]]="","",tblParts[[#This Row],[Unit cost]]*tblParts[[#This Row],[Annual volume]])</f>
        <v>43524.5346869712</v>
      </c>
      <c r="T15" s="40">
        <f>IF(tblParts[[#This Row],[Part]]="","",IF(tblParts[[#This Row],[Price]]&gt;0,tblParts[[#This Row],[Price]]*tblParts[[#This Row],[Annual volume]],""))</f>
        <v>63000</v>
      </c>
      <c r="U15" s="40">
        <f>IF(tblParts[[#This Row],[Part]]="","",IF(tblParts[[#This Row],[Price]]&gt;0,tblParts[[#This Row],[Annual revenue]]-tblParts[[#This Row],[Annual cost]],""))</f>
        <v>19475.4653130288</v>
      </c>
      <c r="V15" s="40">
        <f>IF(tblParts[[#This Row],[Part]]="","",tblParts[[#This Row],[Scrap allowance]]*tblParts[[#This Row],[Annual volume]])</f>
        <v>652.868020304569</v>
      </c>
      <c r="W15" s="41" t="str">
        <f>IF(tblParts[[#This Row],[Part]]="","",IF(tblParts[[#This Row],[Material]]="","Missing material",IF(tblParts[[#This Row],[Batch size]]="","Missing batch size",IF(tblParts[[#This Row],[Scrap rate]]="","Missing scrap rate",IF(tblParts[[#This Row],[Annual volume]]="","Missing annual volume",IF(COUNTIF(tblOps[Part],tblParts[[#This Row],[Part]])=0,"No operations for this part",IF(COUNTIF(tblParts[Part],tblParts[[#This Row],[Part]])&gt;1,"Duplicate part","OK")))))))</f>
        <v>OK</v>
      </c>
      <c r="X15" s="28" t="s">
        <v>88</v>
      </c>
    </row>
    <row r="16" spans="1:24">
      <c r="B16" s="28" t="s">
        <v>141</v>
      </c>
      <c r="C16" s="28" t="s">
        <v>142</v>
      </c>
      <c r="D16" s="29">
        <v>0</v>
      </c>
      <c r="E16" s="29">
        <v>11.2</v>
      </c>
      <c r="F16" s="35">
        <v>200</v>
      </c>
      <c r="G16" s="30">
        <v>0.005</v>
      </c>
      <c r="H16" s="35">
        <v>3000</v>
      </c>
      <c r="I16" s="29">
        <v>17.2</v>
      </c>
      <c r="J16" s="36">
        <f>IF(tblParts[[#This Row],[Part]]="","",SUMIFS(tblOps[Labour],tblOps[Part],tblParts[[#This Row],[Part]]))</f>
        <v>0.85</v>
      </c>
      <c r="K16" s="36">
        <f>IF(tblParts[[#This Row],[Part]]="","",SUMIFS(tblOps[Machine],tblOps[Part],tblParts[[#This Row],[Part]]))</f>
        <v>0.15</v>
      </c>
      <c r="L16" s="36">
        <f>IF(tblParts[[#This Row],[Part]]="","",IF(tblParts[[#This Row],[Batch size]]&gt;0,SUMIFS(tblOps[Setup cost],tblOps[Part],tblParts[[#This Row],[Part]])/tblParts[[#This Row],[Batch size]],0))</f>
        <v>0.04</v>
      </c>
      <c r="M16" s="36">
        <f>IF(tblParts[[#This Row],[Part]]="","",(tblParts[[#This Row],[Labour]]+tblParts[[#This Row],[Machine]]+tblParts[[#This Row],[Setup]])*OverheadPct)</f>
        <v>0.312</v>
      </c>
      <c r="N16" s="36">
        <f>IF(tblParts[[#This Row],[Part]]="","",tblParts[[#This Row],[Material]]+tblParts[[#This Row],[Bought-in and packaging]]+tblParts[[#This Row],[Labour]]+tblParts[[#This Row],[Machine]]+tblParts[[#This Row],[Setup]]+tblParts[[#This Row],[Overhead]])</f>
        <v>12.552</v>
      </c>
      <c r="O16" s="36">
        <f>IF(tblParts[[#This Row],[Part]]="","",IF(tblParts[[#This Row],[Scrap rate]]&lt;1,tblParts[[#This Row],[Cost per part started]]*tblParts[[#This Row],[Scrap rate]]/(1-tblParts[[#This Row],[Scrap rate]]),""))</f>
        <v>0.0630753768844221</v>
      </c>
      <c r="P16" s="37">
        <f>IF(tblParts[[#This Row],[Part]]="","",IF(tblParts[[#This Row],[Scrap rate]]&lt;1,tblParts[[#This Row],[Cost per part started]]/(1-tblParts[[#This Row],[Scrap rate]]),""))</f>
        <v>12.6150753768844</v>
      </c>
      <c r="Q16" s="38">
        <f>IF(tblParts[[#This Row],[Part]]="","",IF(tblParts[[#This Row],[Price]]&gt;0,(tblParts[[#This Row],[Price]]-tblParts[[#This Row],[Unit cost]])/tblParts[[#This Row],[Price]],""))</f>
        <v>0.266565385064859</v>
      </c>
      <c r="R16" s="39" t="str">
        <f>IF(NOT(ISNUMBER(tblParts[[#This Row],[Margin]])),"",IF(tblParts[[#This Row],[Margin]]&gt;=TargetMargin,"On target",IF(tblParts[[#This Row],[Margin]]&gt;=TargetMargin*(1-0.05),"Near target","Below target")))</f>
        <v>On target</v>
      </c>
      <c r="S16" s="40">
        <f>IF(tblParts[[#This Row],[Part]]="","",tblParts[[#This Row],[Unit cost]]*tblParts[[#This Row],[Annual volume]])</f>
        <v>37845.2261306533</v>
      </c>
      <c r="T16" s="40">
        <f>IF(tblParts[[#This Row],[Part]]="","",IF(tblParts[[#This Row],[Price]]&gt;0,tblParts[[#This Row],[Price]]*tblParts[[#This Row],[Annual volume]],""))</f>
        <v>51600</v>
      </c>
      <c r="U16" s="40">
        <f>IF(tblParts[[#This Row],[Part]]="","",IF(tblParts[[#This Row],[Price]]&gt;0,tblParts[[#This Row],[Annual revenue]]-tblParts[[#This Row],[Annual cost]],""))</f>
        <v>13754.7738693467</v>
      </c>
      <c r="V16" s="40">
        <f>IF(tblParts[[#This Row],[Part]]="","",tblParts[[#This Row],[Scrap allowance]]*tblParts[[#This Row],[Annual volume]])</f>
        <v>189.226130653266</v>
      </c>
      <c r="W16" s="41" t="str">
        <f>IF(tblParts[[#This Row],[Part]]="","",IF(tblParts[[#This Row],[Material]]="","Missing material",IF(tblParts[[#This Row],[Batch size]]="","Missing batch size",IF(tblParts[[#This Row],[Scrap rate]]="","Missing scrap rate",IF(tblParts[[#This Row],[Annual volume]]="","Missing annual volume",IF(COUNTIF(tblOps[Part],tblParts[[#This Row],[Part]])=0,"No operations for this part",IF(COUNTIF(tblParts[Part],tblParts[[#This Row],[Part]])&gt;1,"Duplicate part","OK")))))))</f>
        <v>OK</v>
      </c>
      <c r="X16" s="28" t="s">
        <v>88</v>
      </c>
    </row>
  </sheetData>
  <mergeCells count="3">
    <mergeCell ref="A1:X1"/>
    <mergeCell ref="B2:W2"/>
    <mergeCell ref="B4:X4"/>
  </mergeCells>
  <conditionalFormatting sqref="Q7:Q516">
    <cfRule type="expression" dxfId="3" priority="1" stopIfTrue="1">
      <formula>AND(ISNUMBER(Q7),Q7&gt;=(TargetMargin))</formula>
    </cfRule>
    <cfRule type="expression" dxfId="4" priority="2" stopIfTrue="1">
      <formula>AND(ISNUMBER(Q7),Q7&gt;=(TargetMargin)*(1-0.05))</formula>
    </cfRule>
    <cfRule type="expression" dxfId="5" priority="3">
      <formula>ISNUMBER(Q7)</formula>
    </cfRule>
  </conditionalFormatting>
  <conditionalFormatting sqref="R7:R516">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W7:W516">
    <cfRule type="expression" dxfId="3" priority="24">
      <formula>$W7="OK"</formula>
    </cfRule>
    <cfRule type="expression" dxfId="1" priority="25">
      <formula>AND($W7&lt;&gt;"",$W7&lt;&gt;"OK")</formula>
    </cfRule>
  </conditionalFormatting>
  <dataValidations count="9">
    <dataValidation type="textLength" allowBlank="1" showInputMessage="1" showErrorMessage="1" errorTitle="Check this entry" error="Text up to 40 characters." promptTitle="Part" prompt="Text up to 40 characters." sqref="B7:B516">
      <formula1>0</formula1>
      <formula2>40</formula2>
    </dataValidation>
    <dataValidation type="textLength" allowBlank="1" showInputMessage="1" showErrorMessage="1" errorTitle="Check this entry" error="Text up to 80 characters." promptTitle="Description" prompt="Text up to 80 characters." sqref="C7:C516">
      <formula1>0</formula1>
      <formula2>80</formula2>
    </dataValidation>
    <dataValidation type="decimal" allowBlank="1" showInputMessage="1" showErrorMessage="1" errorTitle="Check this entry" error="Enter a number from 0 to 10,000,000." promptTitle="Material" prompt="Raw material per part started, incl. bar ends and offcuts. Enter a number from 0 to 10,000,000." sqref="D7:D516">
      <formula1>0</formula1>
      <formula2>10000000.0</formula2>
    </dataValidation>
    <dataValidation type="decimal" allowBlank="1" showInputMessage="1" showErrorMessage="1" errorTitle="Check this entry" error="Enter a number from 0 to 10,000,000." promptTitle="Bought-in and packaging" prompt="Purchased components, outside processing, packaging and labels per part. Enter a number from 0 to 10,000,000." sqref="E7:E516">
      <formula1>0</formula1>
      <formula2>10000000.0</formula2>
    </dataValidation>
    <dataValidation type="whole" allowBlank="1" showInputMessage="1" showErrorMessage="1" errorTitle="Check this entry" error="Enter a whole number from 1 to 10,000,000." promptTitle="Batch size" prompt="Parts started per batch (per setup). Enter a whole number from 1 to 10,000,000." sqref="F7:F516">
      <formula1>1</formula1>
      <formula2>10000000</formula2>
    </dataValidation>
    <dataValidation type="decimal" allowBlank="1" showInputMessage="1" showErrorMessage="1" errorTitle="Check this entry" error="Enter a percentage from 0% to 90% (type 85% or 0.85)." promptTitle="Scrap rate" prompt="Share of parts started that are scrapped: 1 - first-pass yield. Enter a percentage from 0% to 90% (type 85% or 0.85)." sqref="G7:G516">
      <formula1>0</formula1>
      <formula2>0.9</formula2>
    </dataValidation>
    <dataValidation type="whole" allowBlank="1" showInputMessage="1" showErrorMessage="1" errorTitle="Check this entry" error="Enter a whole number of at least 0." promptTitle="Annual volume" prompt="Good parts you expect to sell per year. Enter a whole number of at least 0." sqref="H7:H516">
      <formula1>0</formula1>
      <formula2>10000000000.0</formula2>
    </dataValidation>
    <dataValidation type="decimal" allowBlank="1" showInputMessage="1" showErrorMessage="1" errorTitle="Check this entry" error="Enter a number from 0 to 10,000,000." promptTitle="Price" prompt="Current or quoted selling price per good part. Leave blank if not priced yet. Enter a number from 0 to 10,000,000." sqref="I7:I516">
      <formula1>0</formula1>
      <formula2>10000000.0</formula2>
    </dataValidation>
    <dataValidation type="textLength" allowBlank="1" showInputMessage="1" showErrorMessage="1" errorTitle="Check this entry" error="Text up to 255 characters." promptTitle="Notes" prompt="Text up to 255 characters." sqref="X7:X516">
      <formula1>0</formula1>
      <formula2>255</formula2>
    </dataValidation>
  </dataValidations>
  <hyperlinks>
    <hyperlink ref="X2" r:id="rId1" tooltip="Free manufacturing calculators and templates"/>
  </hyperlinks>
  <pageMargins left="0.4" right="0.4" top="0.7" bottom="0.65" header="0.3" footer="0.3"/>
  <pageSetup fitToHeight="0" orientation="landscape"/>
  <headerFooter>
    <oddHeader>&amp;L&amp;8MFG Calcs - Unit Cost Spreadsheet&amp;R&amp;8&amp;A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3B64D8"/>
    <pageSetUpPr fitToPage="1"/>
  </sheetPr>
  <dimension ref="A1:N44"/>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10.7109375" customWidth="1"/>
    <col min="3" max="3" width="6.7109375" customWidth="1"/>
    <col min="4" max="4" width="16.7109375" customWidth="1"/>
    <col min="5" max="5" width="17.7109375" customWidth="1"/>
    <col min="6" max="6" width="9.28515625" customWidth="1"/>
    <col min="7" max="7" width="8.7109375" customWidth="1"/>
    <col min="8" max="8" width="10.7109375" customWidth="1"/>
    <col min="9" max="12" width="9.7109375" customWidth="1"/>
    <col min="13" max="13" width="24.7109375" customWidth="1"/>
    <col min="14" max="14" width="30.7109375" customWidth="1"/>
  </cols>
  <sheetData>
    <row r="1" spans="1:14" ht="30" customHeight="1">
      <c r="A1" s="1" t="s">
        <v>0</v>
      </c>
      <c r="B1" s="1"/>
      <c r="C1" s="1"/>
      <c r="D1" s="1"/>
      <c r="E1" s="1"/>
      <c r="F1" s="1"/>
      <c r="G1" s="1"/>
      <c r="H1" s="1"/>
      <c r="I1" s="1"/>
      <c r="J1" s="1"/>
      <c r="K1" s="1"/>
      <c r="L1" s="1"/>
      <c r="M1" s="1"/>
      <c r="N1" s="1"/>
    </row>
    <row r="2" spans="1:14" ht="21" customHeight="1">
      <c r="B2" s="2" t="s">
        <v>24</v>
      </c>
      <c r="C2" s="2"/>
      <c r="D2" s="2"/>
      <c r="E2" s="2"/>
      <c r="F2" s="2"/>
      <c r="G2" s="2"/>
      <c r="H2" s="2"/>
      <c r="I2" s="2"/>
      <c r="J2" s="2"/>
      <c r="K2" s="2"/>
      <c r="L2" s="2"/>
      <c r="M2" s="2"/>
      <c r="N2" s="3" t="s">
        <v>2</v>
      </c>
    </row>
    <row r="3" spans="1:14" ht="6" customHeight="1"/>
    <row r="4" spans="1:14" ht="18" customHeight="1">
      <c r="B4" s="34" t="s">
        <v>149</v>
      </c>
      <c r="C4" s="34"/>
      <c r="D4" s="34"/>
      <c r="E4" s="34"/>
      <c r="F4" s="34"/>
      <c r="G4" s="34"/>
      <c r="H4" s="34"/>
      <c r="I4" s="34"/>
      <c r="J4" s="34"/>
      <c r="K4" s="34"/>
      <c r="L4" s="34"/>
      <c r="M4" s="34"/>
      <c r="N4" s="34"/>
    </row>
    <row r="5" spans="1:14" ht="14" customHeight="1">
      <c r="B5" s="32"/>
      <c r="C5" s="32"/>
      <c r="D5" s="32"/>
      <c r="E5" s="32"/>
      <c r="F5" s="32"/>
      <c r="G5" s="32"/>
      <c r="H5" s="32"/>
      <c r="I5" s="32" t="str">
        <f>Currency&amp;"/h"</f>
        <v>USD/h</v>
      </c>
      <c r="J5" s="32" t="str">
        <f>Currency&amp;"/part"</f>
        <v>USD/part</v>
      </c>
      <c r="K5" s="32" t="str">
        <f>Currency&amp;"/part"</f>
        <v>USD/part</v>
      </c>
      <c r="L5" s="32" t="str">
        <f>Currency&amp;"/batch"</f>
        <v>USD/batch</v>
      </c>
      <c r="M5" s="32"/>
      <c r="N5" s="32"/>
    </row>
    <row r="6" spans="1:14" ht="45.5" customHeight="1">
      <c r="B6" s="33" t="s">
        <v>97</v>
      </c>
      <c r="C6" s="33" t="s">
        <v>143</v>
      </c>
      <c r="D6" s="33" t="s">
        <v>144</v>
      </c>
      <c r="E6" s="33" t="s">
        <v>64</v>
      </c>
      <c r="F6" s="33" t="s">
        <v>145</v>
      </c>
      <c r="G6" s="33" t="s">
        <v>146</v>
      </c>
      <c r="H6" s="33" t="s">
        <v>147</v>
      </c>
      <c r="I6" s="33" t="s">
        <v>65</v>
      </c>
      <c r="J6" s="33" t="s">
        <v>105</v>
      </c>
      <c r="K6" s="33" t="s">
        <v>106</v>
      </c>
      <c r="L6" s="33" t="s">
        <v>148</v>
      </c>
      <c r="M6" s="33" t="s">
        <v>117</v>
      </c>
      <c r="N6" s="33" t="s">
        <v>66</v>
      </c>
    </row>
    <row r="7" spans="1:14">
      <c r="B7" s="28" t="s">
        <v>123</v>
      </c>
      <c r="C7" s="35">
        <v>10</v>
      </c>
      <c r="D7" s="28" t="s">
        <v>150</v>
      </c>
      <c r="E7" s="28" t="s">
        <v>79</v>
      </c>
      <c r="F7" s="29">
        <v>0.25</v>
      </c>
      <c r="G7" s="42">
        <v>6</v>
      </c>
      <c r="H7" s="29">
        <v>0.5</v>
      </c>
      <c r="I7" s="36">
        <f>IF(tblOps[[#This Row],[Part]]="","",IFERROR(INDEX(tblWorkCentres[Machine rate],MATCH(tblOps[[#This Row],[Work centre]],tblWorkCentres[Work centre],0)),""))</f>
        <v>18</v>
      </c>
      <c r="J7" s="43">
        <f>IF(tblOps[[#This Row],[Part]]="","",IF(tblOps[[#This Row],[Machine rate]]="","",tblOps[[#This Row],[Cycle (s/part)]]/3600*tblOps[[#This Row],[Operators (per machine)]]*LabourRate))</f>
        <v>0.0283333333333333</v>
      </c>
      <c r="K7" s="43">
        <f>IF(tblOps[[#This Row],[Part]]="","",IF(tblOps[[#This Row],[Machine rate]]="","",tblOps[[#This Row],[Cycle (s/part)]]/3600*tblOps[[#This Row],[Machine rate]]))</f>
        <v>0.03</v>
      </c>
      <c r="L7" s="36">
        <f>IF(tblOps[[#This Row],[Part]]="","",IF(tblOps[[#This Row],[Machine rate]]="","",tblOps[[#This Row],[Setup (h/batch)]]*(tblOps[[#This Row],[Machine rate]]+LabourRate)))</f>
        <v>13</v>
      </c>
      <c r="M7"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7" s="44" t="s">
        <v>88</v>
      </c>
    </row>
    <row r="8" spans="1:14">
      <c r="B8" s="28" t="s">
        <v>123</v>
      </c>
      <c r="C8" s="35">
        <v>20</v>
      </c>
      <c r="D8" s="28" t="s">
        <v>151</v>
      </c>
      <c r="E8" s="28" t="s">
        <v>81</v>
      </c>
      <c r="F8" s="29">
        <v>1</v>
      </c>
      <c r="G8" s="42">
        <v>48</v>
      </c>
      <c r="H8" s="29">
        <v>0.5</v>
      </c>
      <c r="I8" s="36">
        <f>IF(tblOps[[#This Row],[Part]]="","",IFERROR(INDEX(tblWorkCentres[Machine rate],MATCH(tblOps[[#This Row],[Work centre]],tblWorkCentres[Work centre],0)),""))</f>
        <v>46</v>
      </c>
      <c r="J8" s="43">
        <f>IF(tblOps[[#This Row],[Part]]="","",IF(tblOps[[#This Row],[Machine rate]]="","",tblOps[[#This Row],[Cycle (s/part)]]/3600*tblOps[[#This Row],[Operators (per machine)]]*LabourRate))</f>
        <v>0.226666666666667</v>
      </c>
      <c r="K8" s="43">
        <f>IF(tblOps[[#This Row],[Part]]="","",IF(tblOps[[#This Row],[Machine rate]]="","",tblOps[[#This Row],[Cycle (s/part)]]/3600*tblOps[[#This Row],[Machine rate]]))</f>
        <v>0.613333333333333</v>
      </c>
      <c r="L8" s="36">
        <f>IF(tblOps[[#This Row],[Part]]="","",IF(tblOps[[#This Row],[Machine rate]]="","",tblOps[[#This Row],[Setup (h/batch)]]*(tblOps[[#This Row],[Machine rate]]+LabourRate)))</f>
        <v>80</v>
      </c>
      <c r="M8"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8" s="44" t="s">
        <v>88</v>
      </c>
    </row>
    <row r="9" spans="1:14">
      <c r="B9" s="28" t="s">
        <v>123</v>
      </c>
      <c r="C9" s="35">
        <v>30</v>
      </c>
      <c r="D9" s="28" t="s">
        <v>152</v>
      </c>
      <c r="E9" s="28" t="s">
        <v>89</v>
      </c>
      <c r="F9" s="29">
        <v>0</v>
      </c>
      <c r="G9" s="42">
        <v>10</v>
      </c>
      <c r="H9" s="29">
        <v>1</v>
      </c>
      <c r="I9" s="36">
        <f>IF(tblOps[[#This Row],[Part]]="","",IFERROR(INDEX(tblWorkCentres[Machine rate],MATCH(tblOps[[#This Row],[Work centre]],tblWorkCentres[Work centre],0)),""))</f>
        <v>4</v>
      </c>
      <c r="J9" s="43">
        <f>IF(tblOps[[#This Row],[Part]]="","",IF(tblOps[[#This Row],[Machine rate]]="","",tblOps[[#This Row],[Cycle (s/part)]]/3600*tblOps[[#This Row],[Operators (per machine)]]*LabourRate))</f>
        <v>0.0944444444444444</v>
      </c>
      <c r="K9" s="43">
        <f>IF(tblOps[[#This Row],[Part]]="","",IF(tblOps[[#This Row],[Machine rate]]="","",tblOps[[#This Row],[Cycle (s/part)]]/3600*tblOps[[#This Row],[Machine rate]]))</f>
        <v>0.0111111111111111</v>
      </c>
      <c r="L9" s="36">
        <f>IF(tblOps[[#This Row],[Part]]="","",IF(tblOps[[#This Row],[Machine rate]]="","",tblOps[[#This Row],[Setup (h/batch)]]*(tblOps[[#This Row],[Machine rate]]+LabourRate)))</f>
        <v>0</v>
      </c>
      <c r="M9"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9" s="44" t="s">
        <v>88</v>
      </c>
    </row>
    <row r="10" spans="1:14">
      <c r="B10" s="28" t="s">
        <v>123</v>
      </c>
      <c r="C10" s="35">
        <v>40</v>
      </c>
      <c r="D10" s="28" t="s">
        <v>153</v>
      </c>
      <c r="E10" s="28" t="s">
        <v>91</v>
      </c>
      <c r="F10" s="29">
        <v>0</v>
      </c>
      <c r="G10" s="42">
        <v>3</v>
      </c>
      <c r="H10" s="29">
        <v>0.2</v>
      </c>
      <c r="I10" s="36">
        <f>IF(tblOps[[#This Row],[Part]]="","",IFERROR(INDEX(tblWorkCentres[Machine rate],MATCH(tblOps[[#This Row],[Work centre]],tblWorkCentres[Work centre],0)),""))</f>
        <v>10</v>
      </c>
      <c r="J10" s="43">
        <f>IF(tblOps[[#This Row],[Part]]="","",IF(tblOps[[#This Row],[Machine rate]]="","",tblOps[[#This Row],[Cycle (s/part)]]/3600*tblOps[[#This Row],[Operators (per machine)]]*LabourRate))</f>
        <v>0.00566666666666667</v>
      </c>
      <c r="K10" s="43">
        <f>IF(tblOps[[#This Row],[Part]]="","",IF(tblOps[[#This Row],[Machine rate]]="","",tblOps[[#This Row],[Cycle (s/part)]]/3600*tblOps[[#This Row],[Machine rate]]))</f>
        <v>0.00833333333333333</v>
      </c>
      <c r="L10" s="36">
        <f>IF(tblOps[[#This Row],[Part]]="","",IF(tblOps[[#This Row],[Machine rate]]="","",tblOps[[#This Row],[Setup (h/batch)]]*(tblOps[[#This Row],[Machine rate]]+LabourRate)))</f>
        <v>0</v>
      </c>
      <c r="M10"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10" s="44" t="s">
        <v>88</v>
      </c>
    </row>
    <row r="11" spans="1:14">
      <c r="B11" s="28" t="s">
        <v>125</v>
      </c>
      <c r="C11" s="35">
        <v>10</v>
      </c>
      <c r="D11" s="28" t="s">
        <v>150</v>
      </c>
      <c r="E11" s="28" t="s">
        <v>79</v>
      </c>
      <c r="F11" s="29">
        <v>0.25</v>
      </c>
      <c r="G11" s="42">
        <v>7</v>
      </c>
      <c r="H11" s="29">
        <v>0.5</v>
      </c>
      <c r="I11" s="36">
        <f>IF(tblOps[[#This Row],[Part]]="","",IFERROR(INDEX(tblWorkCentres[Machine rate],MATCH(tblOps[[#This Row],[Work centre]],tblWorkCentres[Work centre],0)),""))</f>
        <v>18</v>
      </c>
      <c r="J11" s="43">
        <f>IF(tblOps[[#This Row],[Part]]="","",IF(tblOps[[#This Row],[Machine rate]]="","",tblOps[[#This Row],[Cycle (s/part)]]/3600*tblOps[[#This Row],[Operators (per machine)]]*LabourRate))</f>
        <v>0.0330555555555556</v>
      </c>
      <c r="K11" s="43">
        <f>IF(tblOps[[#This Row],[Part]]="","",IF(tblOps[[#This Row],[Machine rate]]="","",tblOps[[#This Row],[Cycle (s/part)]]/3600*tblOps[[#This Row],[Machine rate]]))</f>
        <v>0.035</v>
      </c>
      <c r="L11" s="36">
        <f>IF(tblOps[[#This Row],[Part]]="","",IF(tblOps[[#This Row],[Machine rate]]="","",tblOps[[#This Row],[Setup (h/batch)]]*(tblOps[[#This Row],[Machine rate]]+LabourRate)))</f>
        <v>13</v>
      </c>
      <c r="M11"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11" s="44" t="s">
        <v>88</v>
      </c>
    </row>
    <row r="12" spans="1:14">
      <c r="B12" s="28" t="s">
        <v>125</v>
      </c>
      <c r="C12" s="35">
        <v>20</v>
      </c>
      <c r="D12" s="28" t="s">
        <v>151</v>
      </c>
      <c r="E12" s="28" t="s">
        <v>81</v>
      </c>
      <c r="F12" s="29">
        <v>1</v>
      </c>
      <c r="G12" s="42">
        <v>55</v>
      </c>
      <c r="H12" s="29">
        <v>0.5</v>
      </c>
      <c r="I12" s="36">
        <f>IF(tblOps[[#This Row],[Part]]="","",IFERROR(INDEX(tblWorkCentres[Machine rate],MATCH(tblOps[[#This Row],[Work centre]],tblWorkCentres[Work centre],0)),""))</f>
        <v>46</v>
      </c>
      <c r="J12" s="43">
        <f>IF(tblOps[[#This Row],[Part]]="","",IF(tblOps[[#This Row],[Machine rate]]="","",tblOps[[#This Row],[Cycle (s/part)]]/3600*tblOps[[#This Row],[Operators (per machine)]]*LabourRate))</f>
        <v>0.259722222222222</v>
      </c>
      <c r="K12" s="43">
        <f>IF(tblOps[[#This Row],[Part]]="","",IF(tblOps[[#This Row],[Machine rate]]="","",tblOps[[#This Row],[Cycle (s/part)]]/3600*tblOps[[#This Row],[Machine rate]]))</f>
        <v>0.702777777777778</v>
      </c>
      <c r="L12" s="36">
        <f>IF(tblOps[[#This Row],[Part]]="","",IF(tblOps[[#This Row],[Machine rate]]="","",tblOps[[#This Row],[Setup (h/batch)]]*(tblOps[[#This Row],[Machine rate]]+LabourRate)))</f>
        <v>80</v>
      </c>
      <c r="M12"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12" s="44" t="s">
        <v>88</v>
      </c>
    </row>
    <row r="13" spans="1:14">
      <c r="B13" s="28" t="s">
        <v>125</v>
      </c>
      <c r="C13" s="35">
        <v>30</v>
      </c>
      <c r="D13" s="28" t="s">
        <v>154</v>
      </c>
      <c r="E13" s="28" t="s">
        <v>83</v>
      </c>
      <c r="F13" s="29">
        <v>1.25</v>
      </c>
      <c r="G13" s="42">
        <v>40</v>
      </c>
      <c r="H13" s="29">
        <v>0.5</v>
      </c>
      <c r="I13" s="36">
        <f>IF(tblOps[[#This Row],[Part]]="","",IFERROR(INDEX(tblWorkCentres[Machine rate],MATCH(tblOps[[#This Row],[Work centre]],tblWorkCentres[Work centre],0)),""))</f>
        <v>52</v>
      </c>
      <c r="J13" s="43">
        <f>IF(tblOps[[#This Row],[Part]]="","",IF(tblOps[[#This Row],[Machine rate]]="","",tblOps[[#This Row],[Cycle (s/part)]]/3600*tblOps[[#This Row],[Operators (per machine)]]*LabourRate))</f>
        <v>0.188888888888889</v>
      </c>
      <c r="K13" s="43">
        <f>IF(tblOps[[#This Row],[Part]]="","",IF(tblOps[[#This Row],[Machine rate]]="","",tblOps[[#This Row],[Cycle (s/part)]]/3600*tblOps[[#This Row],[Machine rate]]))</f>
        <v>0.577777777777778</v>
      </c>
      <c r="L13" s="36">
        <f>IF(tblOps[[#This Row],[Part]]="","",IF(tblOps[[#This Row],[Machine rate]]="","",tblOps[[#This Row],[Setup (h/batch)]]*(tblOps[[#This Row],[Machine rate]]+LabourRate)))</f>
        <v>107.5</v>
      </c>
      <c r="M13"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13" s="44" t="s">
        <v>88</v>
      </c>
    </row>
    <row r="14" spans="1:14">
      <c r="B14" s="28" t="s">
        <v>125</v>
      </c>
      <c r="C14" s="35">
        <v>40</v>
      </c>
      <c r="D14" s="28" t="s">
        <v>152</v>
      </c>
      <c r="E14" s="28" t="s">
        <v>89</v>
      </c>
      <c r="F14" s="29">
        <v>0</v>
      </c>
      <c r="G14" s="42">
        <v>18</v>
      </c>
      <c r="H14" s="29">
        <v>1</v>
      </c>
      <c r="I14" s="36">
        <f>IF(tblOps[[#This Row],[Part]]="","",IFERROR(INDEX(tblWorkCentres[Machine rate],MATCH(tblOps[[#This Row],[Work centre]],tblWorkCentres[Work centre],0)),""))</f>
        <v>4</v>
      </c>
      <c r="J14" s="43">
        <f>IF(tblOps[[#This Row],[Part]]="","",IF(tblOps[[#This Row],[Machine rate]]="","",tblOps[[#This Row],[Cycle (s/part)]]/3600*tblOps[[#This Row],[Operators (per machine)]]*LabourRate))</f>
        <v>0.17</v>
      </c>
      <c r="K14" s="43">
        <f>IF(tblOps[[#This Row],[Part]]="","",IF(tblOps[[#This Row],[Machine rate]]="","",tblOps[[#This Row],[Cycle (s/part)]]/3600*tblOps[[#This Row],[Machine rate]]))</f>
        <v>0.02</v>
      </c>
      <c r="L14" s="36">
        <f>IF(tblOps[[#This Row],[Part]]="","",IF(tblOps[[#This Row],[Machine rate]]="","",tblOps[[#This Row],[Setup (h/batch)]]*(tblOps[[#This Row],[Machine rate]]+LabourRate)))</f>
        <v>0</v>
      </c>
      <c r="M14"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14" s="44" t="s">
        <v>88</v>
      </c>
    </row>
    <row r="15" spans="1:14">
      <c r="B15" s="28" t="s">
        <v>125</v>
      </c>
      <c r="C15" s="35">
        <v>50</v>
      </c>
      <c r="D15" s="28" t="s">
        <v>153</v>
      </c>
      <c r="E15" s="28" t="s">
        <v>91</v>
      </c>
      <c r="F15" s="29">
        <v>0</v>
      </c>
      <c r="G15" s="42">
        <v>3</v>
      </c>
      <c r="H15" s="29">
        <v>0.2</v>
      </c>
      <c r="I15" s="36">
        <f>IF(tblOps[[#This Row],[Part]]="","",IFERROR(INDEX(tblWorkCentres[Machine rate],MATCH(tblOps[[#This Row],[Work centre]],tblWorkCentres[Work centre],0)),""))</f>
        <v>10</v>
      </c>
      <c r="J15" s="43">
        <f>IF(tblOps[[#This Row],[Part]]="","",IF(tblOps[[#This Row],[Machine rate]]="","",tblOps[[#This Row],[Cycle (s/part)]]/3600*tblOps[[#This Row],[Operators (per machine)]]*LabourRate))</f>
        <v>0.00566666666666667</v>
      </c>
      <c r="K15" s="43">
        <f>IF(tblOps[[#This Row],[Part]]="","",IF(tblOps[[#This Row],[Machine rate]]="","",tblOps[[#This Row],[Cycle (s/part)]]/3600*tblOps[[#This Row],[Machine rate]]))</f>
        <v>0.00833333333333333</v>
      </c>
      <c r="L15" s="36">
        <f>IF(tblOps[[#This Row],[Part]]="","",IF(tblOps[[#This Row],[Machine rate]]="","",tblOps[[#This Row],[Setup (h/batch)]]*(tblOps[[#This Row],[Machine rate]]+LabourRate)))</f>
        <v>0</v>
      </c>
      <c r="M15"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15" s="44" t="s">
        <v>88</v>
      </c>
    </row>
    <row r="16" spans="1:14">
      <c r="B16" s="28" t="s">
        <v>127</v>
      </c>
      <c r="C16" s="35">
        <v>10</v>
      </c>
      <c r="D16" s="28" t="s">
        <v>150</v>
      </c>
      <c r="E16" s="28" t="s">
        <v>79</v>
      </c>
      <c r="F16" s="29">
        <v>0.25</v>
      </c>
      <c r="G16" s="42">
        <v>9</v>
      </c>
      <c r="H16" s="29">
        <v>0.5</v>
      </c>
      <c r="I16" s="36">
        <f>IF(tblOps[[#This Row],[Part]]="","",IFERROR(INDEX(tblWorkCentres[Machine rate],MATCH(tblOps[[#This Row],[Work centre]],tblWorkCentres[Work centre],0)),""))</f>
        <v>18</v>
      </c>
      <c r="J16" s="43">
        <f>IF(tblOps[[#This Row],[Part]]="","",IF(tblOps[[#This Row],[Machine rate]]="","",tblOps[[#This Row],[Cycle (s/part)]]/3600*tblOps[[#This Row],[Operators (per machine)]]*LabourRate))</f>
        <v>0.0425</v>
      </c>
      <c r="K16" s="43">
        <f>IF(tblOps[[#This Row],[Part]]="","",IF(tblOps[[#This Row],[Machine rate]]="","",tblOps[[#This Row],[Cycle (s/part)]]/3600*tblOps[[#This Row],[Machine rate]]))</f>
        <v>0.045</v>
      </c>
      <c r="L16" s="36">
        <f>IF(tblOps[[#This Row],[Part]]="","",IF(tblOps[[#This Row],[Machine rate]]="","",tblOps[[#This Row],[Setup (h/batch)]]*(tblOps[[#This Row],[Machine rate]]+LabourRate)))</f>
        <v>13</v>
      </c>
      <c r="M16"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16" s="44" t="s">
        <v>88</v>
      </c>
    </row>
    <row r="17" spans="2:14">
      <c r="B17" s="28" t="s">
        <v>127</v>
      </c>
      <c r="C17" s="35">
        <v>20</v>
      </c>
      <c r="D17" s="28" t="s">
        <v>151</v>
      </c>
      <c r="E17" s="28" t="s">
        <v>81</v>
      </c>
      <c r="F17" s="29">
        <v>1.25</v>
      </c>
      <c r="G17" s="42">
        <v>70</v>
      </c>
      <c r="H17" s="29">
        <v>0.5</v>
      </c>
      <c r="I17" s="36">
        <f>IF(tblOps[[#This Row],[Part]]="","",IFERROR(INDEX(tblWorkCentres[Machine rate],MATCH(tblOps[[#This Row],[Work centre]],tblWorkCentres[Work centre],0)),""))</f>
        <v>46</v>
      </c>
      <c r="J17" s="43">
        <f>IF(tblOps[[#This Row],[Part]]="","",IF(tblOps[[#This Row],[Machine rate]]="","",tblOps[[#This Row],[Cycle (s/part)]]/3600*tblOps[[#This Row],[Operators (per machine)]]*LabourRate))</f>
        <v>0.330555555555556</v>
      </c>
      <c r="K17" s="43">
        <f>IF(tblOps[[#This Row],[Part]]="","",IF(tblOps[[#This Row],[Machine rate]]="","",tblOps[[#This Row],[Cycle (s/part)]]/3600*tblOps[[#This Row],[Machine rate]]))</f>
        <v>0.894444444444445</v>
      </c>
      <c r="L17" s="36">
        <f>IF(tblOps[[#This Row],[Part]]="","",IF(tblOps[[#This Row],[Machine rate]]="","",tblOps[[#This Row],[Setup (h/batch)]]*(tblOps[[#This Row],[Machine rate]]+LabourRate)))</f>
        <v>100</v>
      </c>
      <c r="M17"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17" s="44" t="s">
        <v>88</v>
      </c>
    </row>
    <row r="18" spans="2:14">
      <c r="B18" s="28" t="s">
        <v>127</v>
      </c>
      <c r="C18" s="35">
        <v>30</v>
      </c>
      <c r="D18" s="28" t="s">
        <v>154</v>
      </c>
      <c r="E18" s="28" t="s">
        <v>83</v>
      </c>
      <c r="F18" s="29">
        <v>1.5</v>
      </c>
      <c r="G18" s="42">
        <v>65</v>
      </c>
      <c r="H18" s="29">
        <v>0.5</v>
      </c>
      <c r="I18" s="36">
        <f>IF(tblOps[[#This Row],[Part]]="","",IFERROR(INDEX(tblWorkCentres[Machine rate],MATCH(tblOps[[#This Row],[Work centre]],tblWorkCentres[Work centre],0)),""))</f>
        <v>52</v>
      </c>
      <c r="J18" s="43">
        <f>IF(tblOps[[#This Row],[Part]]="","",IF(tblOps[[#This Row],[Machine rate]]="","",tblOps[[#This Row],[Cycle (s/part)]]/3600*tblOps[[#This Row],[Operators (per machine)]]*LabourRate))</f>
        <v>0.306944444444444</v>
      </c>
      <c r="K18" s="43">
        <f>IF(tblOps[[#This Row],[Part]]="","",IF(tblOps[[#This Row],[Machine rate]]="","",tblOps[[#This Row],[Cycle (s/part)]]/3600*tblOps[[#This Row],[Machine rate]]))</f>
        <v>0.938888888888889</v>
      </c>
      <c r="L18" s="36">
        <f>IF(tblOps[[#This Row],[Part]]="","",IF(tblOps[[#This Row],[Machine rate]]="","",tblOps[[#This Row],[Setup (h/batch)]]*(tblOps[[#This Row],[Machine rate]]+LabourRate)))</f>
        <v>129</v>
      </c>
      <c r="M18"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18" s="44" t="s">
        <v>88</v>
      </c>
    </row>
    <row r="19" spans="2:14">
      <c r="B19" s="28" t="s">
        <v>127</v>
      </c>
      <c r="C19" s="35">
        <v>40</v>
      </c>
      <c r="D19" s="28" t="s">
        <v>152</v>
      </c>
      <c r="E19" s="28" t="s">
        <v>89</v>
      </c>
      <c r="F19" s="29">
        <v>0</v>
      </c>
      <c r="G19" s="42">
        <v>25</v>
      </c>
      <c r="H19" s="29">
        <v>1</v>
      </c>
      <c r="I19" s="36">
        <f>IF(tblOps[[#This Row],[Part]]="","",IFERROR(INDEX(tblWorkCentres[Machine rate],MATCH(tblOps[[#This Row],[Work centre]],tblWorkCentres[Work centre],0)),""))</f>
        <v>4</v>
      </c>
      <c r="J19" s="43">
        <f>IF(tblOps[[#This Row],[Part]]="","",IF(tblOps[[#This Row],[Machine rate]]="","",tblOps[[#This Row],[Cycle (s/part)]]/3600*tblOps[[#This Row],[Operators (per machine)]]*LabourRate))</f>
        <v>0.236111111111111</v>
      </c>
      <c r="K19" s="43">
        <f>IF(tblOps[[#This Row],[Part]]="","",IF(tblOps[[#This Row],[Machine rate]]="","",tblOps[[#This Row],[Cycle (s/part)]]/3600*tblOps[[#This Row],[Machine rate]]))</f>
        <v>0.0277777777777778</v>
      </c>
      <c r="L19" s="36">
        <f>IF(tblOps[[#This Row],[Part]]="","",IF(tblOps[[#This Row],[Machine rate]]="","",tblOps[[#This Row],[Setup (h/batch)]]*(tblOps[[#This Row],[Machine rate]]+LabourRate)))</f>
        <v>0</v>
      </c>
      <c r="M19"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19" s="44" t="s">
        <v>88</v>
      </c>
    </row>
    <row r="20" spans="2:14">
      <c r="B20" s="28" t="s">
        <v>127</v>
      </c>
      <c r="C20" s="35">
        <v>50</v>
      </c>
      <c r="D20" s="28" t="s">
        <v>153</v>
      </c>
      <c r="E20" s="28" t="s">
        <v>91</v>
      </c>
      <c r="F20" s="29">
        <v>0</v>
      </c>
      <c r="G20" s="42">
        <v>3</v>
      </c>
      <c r="H20" s="29">
        <v>0.2</v>
      </c>
      <c r="I20" s="36">
        <f>IF(tblOps[[#This Row],[Part]]="","",IFERROR(INDEX(tblWorkCentres[Machine rate],MATCH(tblOps[[#This Row],[Work centre]],tblWorkCentres[Work centre],0)),""))</f>
        <v>10</v>
      </c>
      <c r="J20" s="43">
        <f>IF(tblOps[[#This Row],[Part]]="","",IF(tblOps[[#This Row],[Machine rate]]="","",tblOps[[#This Row],[Cycle (s/part)]]/3600*tblOps[[#This Row],[Operators (per machine)]]*LabourRate))</f>
        <v>0.00566666666666667</v>
      </c>
      <c r="K20" s="43">
        <f>IF(tblOps[[#This Row],[Part]]="","",IF(tblOps[[#This Row],[Machine rate]]="","",tblOps[[#This Row],[Cycle (s/part)]]/3600*tblOps[[#This Row],[Machine rate]]))</f>
        <v>0.00833333333333333</v>
      </c>
      <c r="L20" s="36">
        <f>IF(tblOps[[#This Row],[Part]]="","",IF(tblOps[[#This Row],[Machine rate]]="","",tblOps[[#This Row],[Setup (h/batch)]]*(tblOps[[#This Row],[Machine rate]]+LabourRate)))</f>
        <v>0</v>
      </c>
      <c r="M20"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20" s="44" t="s">
        <v>88</v>
      </c>
    </row>
    <row r="21" spans="2:14">
      <c r="B21" s="28" t="s">
        <v>129</v>
      </c>
      <c r="C21" s="35">
        <v>10</v>
      </c>
      <c r="D21" s="28" t="s">
        <v>150</v>
      </c>
      <c r="E21" s="28" t="s">
        <v>79</v>
      </c>
      <c r="F21" s="29">
        <v>0.25</v>
      </c>
      <c r="G21" s="42">
        <v>14</v>
      </c>
      <c r="H21" s="29">
        <v>0.5</v>
      </c>
      <c r="I21" s="36">
        <f>IF(tblOps[[#This Row],[Part]]="","",IFERROR(INDEX(tblWorkCentres[Machine rate],MATCH(tblOps[[#This Row],[Work centre]],tblWorkCentres[Work centre],0)),""))</f>
        <v>18</v>
      </c>
      <c r="J21" s="43">
        <f>IF(tblOps[[#This Row],[Part]]="","",IF(tblOps[[#This Row],[Machine rate]]="","",tblOps[[#This Row],[Cycle (s/part)]]/3600*tblOps[[#This Row],[Operators (per machine)]]*LabourRate))</f>
        <v>0.0661111111111111</v>
      </c>
      <c r="K21" s="43">
        <f>IF(tblOps[[#This Row],[Part]]="","",IF(tblOps[[#This Row],[Machine rate]]="","",tblOps[[#This Row],[Cycle (s/part)]]/3600*tblOps[[#This Row],[Machine rate]]))</f>
        <v>0.07</v>
      </c>
      <c r="L21" s="36">
        <f>IF(tblOps[[#This Row],[Part]]="","",IF(tblOps[[#This Row],[Machine rate]]="","",tblOps[[#This Row],[Setup (h/batch)]]*(tblOps[[#This Row],[Machine rate]]+LabourRate)))</f>
        <v>13</v>
      </c>
      <c r="M21"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21" s="44" t="s">
        <v>88</v>
      </c>
    </row>
    <row r="22" spans="2:14">
      <c r="B22" s="28" t="s">
        <v>129</v>
      </c>
      <c r="C22" s="35">
        <v>20</v>
      </c>
      <c r="D22" s="28" t="s">
        <v>151</v>
      </c>
      <c r="E22" s="28" t="s">
        <v>81</v>
      </c>
      <c r="F22" s="29">
        <v>1.5</v>
      </c>
      <c r="G22" s="42">
        <v>120</v>
      </c>
      <c r="H22" s="29">
        <v>0.5</v>
      </c>
      <c r="I22" s="36">
        <f>IF(tblOps[[#This Row],[Part]]="","",IFERROR(INDEX(tblWorkCentres[Machine rate],MATCH(tblOps[[#This Row],[Work centre]],tblWorkCentres[Work centre],0)),""))</f>
        <v>46</v>
      </c>
      <c r="J22" s="43">
        <f>IF(tblOps[[#This Row],[Part]]="","",IF(tblOps[[#This Row],[Machine rate]]="","",tblOps[[#This Row],[Cycle (s/part)]]/3600*tblOps[[#This Row],[Operators (per machine)]]*LabourRate))</f>
        <v>0.566666666666667</v>
      </c>
      <c r="K22" s="43">
        <f>IF(tblOps[[#This Row],[Part]]="","",IF(tblOps[[#This Row],[Machine rate]]="","",tblOps[[#This Row],[Cycle (s/part)]]/3600*tblOps[[#This Row],[Machine rate]]))</f>
        <v>1.53333333333333</v>
      </c>
      <c r="L22" s="36">
        <f>IF(tblOps[[#This Row],[Part]]="","",IF(tblOps[[#This Row],[Machine rate]]="","",tblOps[[#This Row],[Setup (h/batch)]]*(tblOps[[#This Row],[Machine rate]]+LabourRate)))</f>
        <v>120</v>
      </c>
      <c r="M22"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22" s="44" t="s">
        <v>88</v>
      </c>
    </row>
    <row r="23" spans="2:14">
      <c r="B23" s="28" t="s">
        <v>129</v>
      </c>
      <c r="C23" s="35">
        <v>30</v>
      </c>
      <c r="D23" s="28" t="s">
        <v>152</v>
      </c>
      <c r="E23" s="28" t="s">
        <v>89</v>
      </c>
      <c r="F23" s="29">
        <v>0</v>
      </c>
      <c r="G23" s="42">
        <v>20</v>
      </c>
      <c r="H23" s="29">
        <v>1</v>
      </c>
      <c r="I23" s="36">
        <f>IF(tblOps[[#This Row],[Part]]="","",IFERROR(INDEX(tblWorkCentres[Machine rate],MATCH(tblOps[[#This Row],[Work centre]],tblWorkCentres[Work centre],0)),""))</f>
        <v>4</v>
      </c>
      <c r="J23" s="43">
        <f>IF(tblOps[[#This Row],[Part]]="","",IF(tblOps[[#This Row],[Machine rate]]="","",tblOps[[#This Row],[Cycle (s/part)]]/3600*tblOps[[#This Row],[Operators (per machine)]]*LabourRate))</f>
        <v>0.188888888888889</v>
      </c>
      <c r="K23" s="43">
        <f>IF(tblOps[[#This Row],[Part]]="","",IF(tblOps[[#This Row],[Machine rate]]="","",tblOps[[#This Row],[Cycle (s/part)]]/3600*tblOps[[#This Row],[Machine rate]]))</f>
        <v>0.0222222222222222</v>
      </c>
      <c r="L23" s="36">
        <f>IF(tblOps[[#This Row],[Part]]="","",IF(tblOps[[#This Row],[Machine rate]]="","",tblOps[[#This Row],[Setup (h/batch)]]*(tblOps[[#This Row],[Machine rate]]+LabourRate)))</f>
        <v>0</v>
      </c>
      <c r="M23"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23" s="44" t="s">
        <v>88</v>
      </c>
    </row>
    <row r="24" spans="2:14">
      <c r="B24" s="28" t="s">
        <v>129</v>
      </c>
      <c r="C24" s="35">
        <v>40</v>
      </c>
      <c r="D24" s="28" t="s">
        <v>153</v>
      </c>
      <c r="E24" s="28" t="s">
        <v>91</v>
      </c>
      <c r="F24" s="29">
        <v>0</v>
      </c>
      <c r="G24" s="42">
        <v>3</v>
      </c>
      <c r="H24" s="29">
        <v>0.2</v>
      </c>
      <c r="I24" s="36">
        <f>IF(tblOps[[#This Row],[Part]]="","",IFERROR(INDEX(tblWorkCentres[Machine rate],MATCH(tblOps[[#This Row],[Work centre]],tblWorkCentres[Work centre],0)),""))</f>
        <v>10</v>
      </c>
      <c r="J24" s="43">
        <f>IF(tblOps[[#This Row],[Part]]="","",IF(tblOps[[#This Row],[Machine rate]]="","",tblOps[[#This Row],[Cycle (s/part)]]/3600*tblOps[[#This Row],[Operators (per machine)]]*LabourRate))</f>
        <v>0.00566666666666667</v>
      </c>
      <c r="K24" s="43">
        <f>IF(tblOps[[#This Row],[Part]]="","",IF(tblOps[[#This Row],[Machine rate]]="","",tblOps[[#This Row],[Cycle (s/part)]]/3600*tblOps[[#This Row],[Machine rate]]))</f>
        <v>0.00833333333333333</v>
      </c>
      <c r="L24" s="36">
        <f>IF(tblOps[[#This Row],[Part]]="","",IF(tblOps[[#This Row],[Machine rate]]="","",tblOps[[#This Row],[Setup (h/batch)]]*(tblOps[[#This Row],[Machine rate]]+LabourRate)))</f>
        <v>0</v>
      </c>
      <c r="M24"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24" s="44" t="s">
        <v>88</v>
      </c>
    </row>
    <row r="25" spans="2:14">
      <c r="B25" s="28" t="s">
        <v>131</v>
      </c>
      <c r="C25" s="35">
        <v>10</v>
      </c>
      <c r="D25" s="28" t="s">
        <v>150</v>
      </c>
      <c r="E25" s="28" t="s">
        <v>79</v>
      </c>
      <c r="F25" s="29">
        <v>0.25</v>
      </c>
      <c r="G25" s="42">
        <v>30</v>
      </c>
      <c r="H25" s="29">
        <v>1</v>
      </c>
      <c r="I25" s="36">
        <f>IF(tblOps[[#This Row],[Part]]="","",IFERROR(INDEX(tblWorkCentres[Machine rate],MATCH(tblOps[[#This Row],[Work centre]],tblWorkCentres[Work centre],0)),""))</f>
        <v>18</v>
      </c>
      <c r="J25" s="43">
        <f>IF(tblOps[[#This Row],[Part]]="","",IF(tblOps[[#This Row],[Machine rate]]="","",tblOps[[#This Row],[Cycle (s/part)]]/3600*tblOps[[#This Row],[Operators (per machine)]]*LabourRate))</f>
        <v>0.283333333333333</v>
      </c>
      <c r="K25" s="43">
        <f>IF(tblOps[[#This Row],[Part]]="","",IF(tblOps[[#This Row],[Machine rate]]="","",tblOps[[#This Row],[Cycle (s/part)]]/3600*tblOps[[#This Row],[Machine rate]]))</f>
        <v>0.15</v>
      </c>
      <c r="L25" s="36">
        <f>IF(tblOps[[#This Row],[Part]]="","",IF(tblOps[[#This Row],[Machine rate]]="","",tblOps[[#This Row],[Setup (h/batch)]]*(tblOps[[#This Row],[Machine rate]]+LabourRate)))</f>
        <v>13</v>
      </c>
      <c r="M25"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25" s="44" t="s">
        <v>88</v>
      </c>
    </row>
    <row r="26" spans="2:14">
      <c r="B26" s="28" t="s">
        <v>131</v>
      </c>
      <c r="C26" s="35">
        <v>20</v>
      </c>
      <c r="D26" s="28" t="s">
        <v>154</v>
      </c>
      <c r="E26" s="28" t="s">
        <v>83</v>
      </c>
      <c r="F26" s="29">
        <v>2</v>
      </c>
      <c r="G26" s="42">
        <v>420</v>
      </c>
      <c r="H26" s="29">
        <v>0.5</v>
      </c>
      <c r="I26" s="36">
        <f>IF(tblOps[[#This Row],[Part]]="","",IFERROR(INDEX(tblWorkCentres[Machine rate],MATCH(tblOps[[#This Row],[Work centre]],tblWorkCentres[Work centre],0)),""))</f>
        <v>52</v>
      </c>
      <c r="J26" s="43">
        <f>IF(tblOps[[#This Row],[Part]]="","",IF(tblOps[[#This Row],[Machine rate]]="","",tblOps[[#This Row],[Cycle (s/part)]]/3600*tblOps[[#This Row],[Operators (per machine)]]*LabourRate))</f>
        <v>1.98333333333333</v>
      </c>
      <c r="K26" s="43">
        <f>IF(tblOps[[#This Row],[Part]]="","",IF(tblOps[[#This Row],[Machine rate]]="","",tblOps[[#This Row],[Cycle (s/part)]]/3600*tblOps[[#This Row],[Machine rate]]))</f>
        <v>6.06666666666667</v>
      </c>
      <c r="L26" s="36">
        <f>IF(tblOps[[#This Row],[Part]]="","",IF(tblOps[[#This Row],[Machine rate]]="","",tblOps[[#This Row],[Setup (h/batch)]]*(tblOps[[#This Row],[Machine rate]]+LabourRate)))</f>
        <v>172</v>
      </c>
      <c r="M26"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26" s="44" t="s">
        <v>88</v>
      </c>
    </row>
    <row r="27" spans="2:14">
      <c r="B27" s="28" t="s">
        <v>131</v>
      </c>
      <c r="C27" s="35">
        <v>30</v>
      </c>
      <c r="D27" s="28" t="s">
        <v>152</v>
      </c>
      <c r="E27" s="28" t="s">
        <v>89</v>
      </c>
      <c r="F27" s="29">
        <v>0</v>
      </c>
      <c r="G27" s="42">
        <v>120</v>
      </c>
      <c r="H27" s="29">
        <v>1</v>
      </c>
      <c r="I27" s="36">
        <f>IF(tblOps[[#This Row],[Part]]="","",IFERROR(INDEX(tblWorkCentres[Machine rate],MATCH(tblOps[[#This Row],[Work centre]],tblWorkCentres[Work centre],0)),""))</f>
        <v>4</v>
      </c>
      <c r="J27" s="43">
        <f>IF(tblOps[[#This Row],[Part]]="","",IF(tblOps[[#This Row],[Machine rate]]="","",tblOps[[#This Row],[Cycle (s/part)]]/3600*tblOps[[#This Row],[Operators (per machine)]]*LabourRate))</f>
        <v>1.13333333333333</v>
      </c>
      <c r="K27" s="43">
        <f>IF(tblOps[[#This Row],[Part]]="","",IF(tblOps[[#This Row],[Machine rate]]="","",tblOps[[#This Row],[Cycle (s/part)]]/3600*tblOps[[#This Row],[Machine rate]]))</f>
        <v>0.133333333333333</v>
      </c>
      <c r="L27" s="36">
        <f>IF(tblOps[[#This Row],[Part]]="","",IF(tblOps[[#This Row],[Machine rate]]="","",tblOps[[#This Row],[Setup (h/batch)]]*(tblOps[[#This Row],[Machine rate]]+LabourRate)))</f>
        <v>0</v>
      </c>
      <c r="M27"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27" s="44" t="s">
        <v>88</v>
      </c>
    </row>
    <row r="28" spans="2:14">
      <c r="B28" s="28" t="s">
        <v>131</v>
      </c>
      <c r="C28" s="35">
        <v>40</v>
      </c>
      <c r="D28" s="28" t="s">
        <v>153</v>
      </c>
      <c r="E28" s="28" t="s">
        <v>91</v>
      </c>
      <c r="F28" s="29">
        <v>0</v>
      </c>
      <c r="G28" s="42">
        <v>10</v>
      </c>
      <c r="H28" s="29">
        <v>0.2</v>
      </c>
      <c r="I28" s="36">
        <f>IF(tblOps[[#This Row],[Part]]="","",IFERROR(INDEX(tblWorkCentres[Machine rate],MATCH(tblOps[[#This Row],[Work centre]],tblWorkCentres[Work centre],0)),""))</f>
        <v>10</v>
      </c>
      <c r="J28" s="43">
        <f>IF(tblOps[[#This Row],[Part]]="","",IF(tblOps[[#This Row],[Machine rate]]="","",tblOps[[#This Row],[Cycle (s/part)]]/3600*tblOps[[#This Row],[Operators (per machine)]]*LabourRate))</f>
        <v>0.0188888888888889</v>
      </c>
      <c r="K28" s="43">
        <f>IF(tblOps[[#This Row],[Part]]="","",IF(tblOps[[#This Row],[Machine rate]]="","",tblOps[[#This Row],[Cycle (s/part)]]/3600*tblOps[[#This Row],[Machine rate]]))</f>
        <v>0.0277777777777778</v>
      </c>
      <c r="L28" s="36">
        <f>IF(tblOps[[#This Row],[Part]]="","",IF(tblOps[[#This Row],[Machine rate]]="","",tblOps[[#This Row],[Setup (h/batch)]]*(tblOps[[#This Row],[Machine rate]]+LabourRate)))</f>
        <v>0</v>
      </c>
      <c r="M28"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28" s="44" t="s">
        <v>88</v>
      </c>
    </row>
    <row r="29" spans="2:14">
      <c r="B29" s="28" t="s">
        <v>131</v>
      </c>
      <c r="C29" s="35">
        <v>50</v>
      </c>
      <c r="D29" s="28" t="s">
        <v>155</v>
      </c>
      <c r="E29" s="28" t="s">
        <v>93</v>
      </c>
      <c r="F29" s="29">
        <v>0.25</v>
      </c>
      <c r="G29" s="42">
        <v>90</v>
      </c>
      <c r="H29" s="29">
        <v>1</v>
      </c>
      <c r="I29" s="36">
        <f>IF(tblOps[[#This Row],[Part]]="","",IFERROR(INDEX(tblWorkCentres[Machine rate],MATCH(tblOps[[#This Row],[Work centre]],tblWorkCentres[Work centre],0)),""))</f>
        <v>28</v>
      </c>
      <c r="J29" s="43">
        <f>IF(tblOps[[#This Row],[Part]]="","",IF(tblOps[[#This Row],[Machine rate]]="","",tblOps[[#This Row],[Cycle (s/part)]]/3600*tblOps[[#This Row],[Operators (per machine)]]*LabourRate))</f>
        <v>0.85</v>
      </c>
      <c r="K29" s="43">
        <f>IF(tblOps[[#This Row],[Part]]="","",IF(tblOps[[#This Row],[Machine rate]]="","",tblOps[[#This Row],[Cycle (s/part)]]/3600*tblOps[[#This Row],[Machine rate]]))</f>
        <v>0.7</v>
      </c>
      <c r="L29" s="36">
        <f>IF(tblOps[[#This Row],[Part]]="","",IF(tblOps[[#This Row],[Machine rate]]="","",tblOps[[#This Row],[Setup (h/batch)]]*(tblOps[[#This Row],[Machine rate]]+LabourRate)))</f>
        <v>15.5</v>
      </c>
      <c r="M29"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29" s="44" t="s">
        <v>88</v>
      </c>
    </row>
    <row r="30" spans="2:14">
      <c r="B30" s="28" t="s">
        <v>133</v>
      </c>
      <c r="C30" s="35">
        <v>10</v>
      </c>
      <c r="D30" s="28" t="s">
        <v>150</v>
      </c>
      <c r="E30" s="28" t="s">
        <v>79</v>
      </c>
      <c r="F30" s="29">
        <v>0.25</v>
      </c>
      <c r="G30" s="42">
        <v>35</v>
      </c>
      <c r="H30" s="29">
        <v>1</v>
      </c>
      <c r="I30" s="36">
        <f>IF(tblOps[[#This Row],[Part]]="","",IFERROR(INDEX(tblWorkCentres[Machine rate],MATCH(tblOps[[#This Row],[Work centre]],tblWorkCentres[Work centre],0)),""))</f>
        <v>18</v>
      </c>
      <c r="J30" s="43">
        <f>IF(tblOps[[#This Row],[Part]]="","",IF(tblOps[[#This Row],[Machine rate]]="","",tblOps[[#This Row],[Cycle (s/part)]]/3600*tblOps[[#This Row],[Operators (per machine)]]*LabourRate))</f>
        <v>0.330555555555556</v>
      </c>
      <c r="K30" s="43">
        <f>IF(tblOps[[#This Row],[Part]]="","",IF(tblOps[[#This Row],[Machine rate]]="","",tblOps[[#This Row],[Cycle (s/part)]]/3600*tblOps[[#This Row],[Machine rate]]))</f>
        <v>0.175</v>
      </c>
      <c r="L30" s="36">
        <f>IF(tblOps[[#This Row],[Part]]="","",IF(tblOps[[#This Row],[Machine rate]]="","",tblOps[[#This Row],[Setup (h/batch)]]*(tblOps[[#This Row],[Machine rate]]+LabourRate)))</f>
        <v>13</v>
      </c>
      <c r="M30"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30" s="44" t="s">
        <v>88</v>
      </c>
    </row>
    <row r="31" spans="2:14">
      <c r="B31" s="28" t="s">
        <v>133</v>
      </c>
      <c r="C31" s="35">
        <v>20</v>
      </c>
      <c r="D31" s="28" t="s">
        <v>156</v>
      </c>
      <c r="E31" s="28" t="s">
        <v>85</v>
      </c>
      <c r="F31" s="29">
        <v>3</v>
      </c>
      <c r="G31" s="42">
        <v>780</v>
      </c>
      <c r="H31" s="29">
        <v>0.5</v>
      </c>
      <c r="I31" s="36">
        <f>IF(tblOps[[#This Row],[Part]]="","",IFERROR(INDEX(tblWorkCentres[Machine rate],MATCH(tblOps[[#This Row],[Work centre]],tblWorkCentres[Work centre],0)),""))</f>
        <v>92</v>
      </c>
      <c r="J31" s="43">
        <f>IF(tblOps[[#This Row],[Part]]="","",IF(tblOps[[#This Row],[Machine rate]]="","",tblOps[[#This Row],[Cycle (s/part)]]/3600*tblOps[[#This Row],[Operators (per machine)]]*LabourRate))</f>
        <v>3.68333333333333</v>
      </c>
      <c r="K31" s="43">
        <f>IF(tblOps[[#This Row],[Part]]="","",IF(tblOps[[#This Row],[Machine rate]]="","",tblOps[[#This Row],[Cycle (s/part)]]/3600*tblOps[[#This Row],[Machine rate]]))</f>
        <v>19.9333333333333</v>
      </c>
      <c r="L31" s="36">
        <f>IF(tblOps[[#This Row],[Part]]="","",IF(tblOps[[#This Row],[Machine rate]]="","",tblOps[[#This Row],[Setup (h/batch)]]*(tblOps[[#This Row],[Machine rate]]+LabourRate)))</f>
        <v>378</v>
      </c>
      <c r="M31"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31" s="44" t="s">
        <v>88</v>
      </c>
    </row>
    <row r="32" spans="2:14">
      <c r="B32" s="28" t="s">
        <v>133</v>
      </c>
      <c r="C32" s="35">
        <v>30</v>
      </c>
      <c r="D32" s="28" t="s">
        <v>152</v>
      </c>
      <c r="E32" s="28" t="s">
        <v>89</v>
      </c>
      <c r="F32" s="29">
        <v>0</v>
      </c>
      <c r="G32" s="42">
        <v>180</v>
      </c>
      <c r="H32" s="29">
        <v>1</v>
      </c>
      <c r="I32" s="36">
        <f>IF(tblOps[[#This Row],[Part]]="","",IFERROR(INDEX(tblWorkCentres[Machine rate],MATCH(tblOps[[#This Row],[Work centre]],tblWorkCentres[Work centre],0)),""))</f>
        <v>4</v>
      </c>
      <c r="J32" s="43">
        <f>IF(tblOps[[#This Row],[Part]]="","",IF(tblOps[[#This Row],[Machine rate]]="","",tblOps[[#This Row],[Cycle (s/part)]]/3600*tblOps[[#This Row],[Operators (per machine)]]*LabourRate))</f>
        <v>1.7</v>
      </c>
      <c r="K32" s="43">
        <f>IF(tblOps[[#This Row],[Part]]="","",IF(tblOps[[#This Row],[Machine rate]]="","",tblOps[[#This Row],[Cycle (s/part)]]/3600*tblOps[[#This Row],[Machine rate]]))</f>
        <v>0.2</v>
      </c>
      <c r="L32" s="36">
        <f>IF(tblOps[[#This Row],[Part]]="","",IF(tblOps[[#This Row],[Machine rate]]="","",tblOps[[#This Row],[Setup (h/batch)]]*(tblOps[[#This Row],[Machine rate]]+LabourRate)))</f>
        <v>0</v>
      </c>
      <c r="M32"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32" s="44" t="s">
        <v>88</v>
      </c>
    </row>
    <row r="33" spans="2:14">
      <c r="B33" s="28" t="s">
        <v>133</v>
      </c>
      <c r="C33" s="35">
        <v>40</v>
      </c>
      <c r="D33" s="28" t="s">
        <v>153</v>
      </c>
      <c r="E33" s="28" t="s">
        <v>91</v>
      </c>
      <c r="F33" s="29">
        <v>0</v>
      </c>
      <c r="G33" s="42">
        <v>10</v>
      </c>
      <c r="H33" s="29">
        <v>0.2</v>
      </c>
      <c r="I33" s="36">
        <f>IF(tblOps[[#This Row],[Part]]="","",IFERROR(INDEX(tblWorkCentres[Machine rate],MATCH(tblOps[[#This Row],[Work centre]],tblWorkCentres[Work centre],0)),""))</f>
        <v>10</v>
      </c>
      <c r="J33" s="43">
        <f>IF(tblOps[[#This Row],[Part]]="","",IF(tblOps[[#This Row],[Machine rate]]="","",tblOps[[#This Row],[Cycle (s/part)]]/3600*tblOps[[#This Row],[Operators (per machine)]]*LabourRate))</f>
        <v>0.0188888888888889</v>
      </c>
      <c r="K33" s="43">
        <f>IF(tblOps[[#This Row],[Part]]="","",IF(tblOps[[#This Row],[Machine rate]]="","",tblOps[[#This Row],[Cycle (s/part)]]/3600*tblOps[[#This Row],[Machine rate]]))</f>
        <v>0.0277777777777778</v>
      </c>
      <c r="L33" s="36">
        <f>IF(tblOps[[#This Row],[Part]]="","",IF(tblOps[[#This Row],[Machine rate]]="","",tblOps[[#This Row],[Setup (h/batch)]]*(tblOps[[#This Row],[Machine rate]]+LabourRate)))</f>
        <v>0</v>
      </c>
      <c r="M33"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33" s="44" t="s">
        <v>88</v>
      </c>
    </row>
    <row r="34" spans="2:14">
      <c r="B34" s="28" t="s">
        <v>133</v>
      </c>
      <c r="C34" s="35">
        <v>50</v>
      </c>
      <c r="D34" s="28" t="s">
        <v>155</v>
      </c>
      <c r="E34" s="28" t="s">
        <v>93</v>
      </c>
      <c r="F34" s="29">
        <v>0.5</v>
      </c>
      <c r="G34" s="42">
        <v>150</v>
      </c>
      <c r="H34" s="29">
        <v>1</v>
      </c>
      <c r="I34" s="36">
        <f>IF(tblOps[[#This Row],[Part]]="","",IFERROR(INDEX(tblWorkCentres[Machine rate],MATCH(tblOps[[#This Row],[Work centre]],tblWorkCentres[Work centre],0)),""))</f>
        <v>28</v>
      </c>
      <c r="J34" s="43">
        <f>IF(tblOps[[#This Row],[Part]]="","",IF(tblOps[[#This Row],[Machine rate]]="","",tblOps[[#This Row],[Cycle (s/part)]]/3600*tblOps[[#This Row],[Operators (per machine)]]*LabourRate))</f>
        <v>1.41666666666667</v>
      </c>
      <c r="K34" s="43">
        <f>IF(tblOps[[#This Row],[Part]]="","",IF(tblOps[[#This Row],[Machine rate]]="","",tblOps[[#This Row],[Cycle (s/part)]]/3600*tblOps[[#This Row],[Machine rate]]))</f>
        <v>1.16666666666667</v>
      </c>
      <c r="L34" s="36">
        <f>IF(tblOps[[#This Row],[Part]]="","",IF(tblOps[[#This Row],[Machine rate]]="","",tblOps[[#This Row],[Setup (h/batch)]]*(tblOps[[#This Row],[Machine rate]]+LabourRate)))</f>
        <v>31</v>
      </c>
      <c r="M34"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34" s="44" t="s">
        <v>88</v>
      </c>
    </row>
    <row r="35" spans="2:14">
      <c r="B35" s="28" t="s">
        <v>135</v>
      </c>
      <c r="C35" s="35">
        <v>10</v>
      </c>
      <c r="D35" s="28" t="s">
        <v>150</v>
      </c>
      <c r="E35" s="28" t="s">
        <v>79</v>
      </c>
      <c r="F35" s="29">
        <v>0.25</v>
      </c>
      <c r="G35" s="42">
        <v>8</v>
      </c>
      <c r="H35" s="29">
        <v>0.5</v>
      </c>
      <c r="I35" s="36">
        <f>IF(tblOps[[#This Row],[Part]]="","",IFERROR(INDEX(tblWorkCentres[Machine rate],MATCH(tblOps[[#This Row],[Work centre]],tblWorkCentres[Work centre],0)),""))</f>
        <v>18</v>
      </c>
      <c r="J35" s="43">
        <f>IF(tblOps[[#This Row],[Part]]="","",IF(tblOps[[#This Row],[Machine rate]]="","",tblOps[[#This Row],[Cycle (s/part)]]/3600*tblOps[[#This Row],[Operators (per machine)]]*LabourRate))</f>
        <v>0.0377777777777778</v>
      </c>
      <c r="K35" s="43">
        <f>IF(tblOps[[#This Row],[Part]]="","",IF(tblOps[[#This Row],[Machine rate]]="","",tblOps[[#This Row],[Cycle (s/part)]]/3600*tblOps[[#This Row],[Machine rate]]))</f>
        <v>0.04</v>
      </c>
      <c r="L35" s="36">
        <f>IF(tblOps[[#This Row],[Part]]="","",IF(tblOps[[#This Row],[Machine rate]]="","",tblOps[[#This Row],[Setup (h/batch)]]*(tblOps[[#This Row],[Machine rate]]+LabourRate)))</f>
        <v>13</v>
      </c>
      <c r="M35"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35" s="44" t="s">
        <v>88</v>
      </c>
    </row>
    <row r="36" spans="2:14">
      <c r="B36" s="28" t="s">
        <v>135</v>
      </c>
      <c r="C36" s="35">
        <v>20</v>
      </c>
      <c r="D36" s="28" t="s">
        <v>151</v>
      </c>
      <c r="E36" s="28" t="s">
        <v>81</v>
      </c>
      <c r="F36" s="29">
        <v>1.25</v>
      </c>
      <c r="G36" s="42">
        <v>95</v>
      </c>
      <c r="H36" s="29">
        <v>0.5</v>
      </c>
      <c r="I36" s="36">
        <f>IF(tblOps[[#This Row],[Part]]="","",IFERROR(INDEX(tblWorkCentres[Machine rate],MATCH(tblOps[[#This Row],[Work centre]],tblWorkCentres[Work centre],0)),""))</f>
        <v>46</v>
      </c>
      <c r="J36" s="43">
        <f>IF(tblOps[[#This Row],[Part]]="","",IF(tblOps[[#This Row],[Machine rate]]="","",tblOps[[#This Row],[Cycle (s/part)]]/3600*tblOps[[#This Row],[Operators (per machine)]]*LabourRate))</f>
        <v>0.448611111111111</v>
      </c>
      <c r="K36" s="43">
        <f>IF(tblOps[[#This Row],[Part]]="","",IF(tblOps[[#This Row],[Machine rate]]="","",tblOps[[#This Row],[Cycle (s/part)]]/3600*tblOps[[#This Row],[Machine rate]]))</f>
        <v>1.21388888888889</v>
      </c>
      <c r="L36" s="36">
        <f>IF(tblOps[[#This Row],[Part]]="","",IF(tblOps[[#This Row],[Machine rate]]="","",tblOps[[#This Row],[Setup (h/batch)]]*(tblOps[[#This Row],[Machine rate]]+LabourRate)))</f>
        <v>100</v>
      </c>
      <c r="M36"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36" s="44" t="s">
        <v>88</v>
      </c>
    </row>
    <row r="37" spans="2:14">
      <c r="B37" s="28" t="s">
        <v>135</v>
      </c>
      <c r="C37" s="35">
        <v>30</v>
      </c>
      <c r="D37" s="28" t="s">
        <v>157</v>
      </c>
      <c r="E37" s="28" t="s">
        <v>87</v>
      </c>
      <c r="F37" s="29">
        <v>1.5</v>
      </c>
      <c r="G37" s="42">
        <v>120</v>
      </c>
      <c r="H37" s="29">
        <v>1</v>
      </c>
      <c r="I37" s="36">
        <f>IF(tblOps[[#This Row],[Part]]="","",IFERROR(INDEX(tblWorkCentres[Machine rate],MATCH(tblOps[[#This Row],[Work centre]],tblWorkCentres[Work centre],0)),""))</f>
        <v>58</v>
      </c>
      <c r="J37" s="43">
        <f>IF(tblOps[[#This Row],[Part]]="","",IF(tblOps[[#This Row],[Machine rate]]="","",tblOps[[#This Row],[Cycle (s/part)]]/3600*tblOps[[#This Row],[Operators (per machine)]]*LabourRate))</f>
        <v>1.13333333333333</v>
      </c>
      <c r="K37" s="43">
        <f>IF(tblOps[[#This Row],[Part]]="","",IF(tblOps[[#This Row],[Machine rate]]="","",tblOps[[#This Row],[Cycle (s/part)]]/3600*tblOps[[#This Row],[Machine rate]]))</f>
        <v>1.93333333333333</v>
      </c>
      <c r="L37" s="36">
        <f>IF(tblOps[[#This Row],[Part]]="","",IF(tblOps[[#This Row],[Machine rate]]="","",tblOps[[#This Row],[Setup (h/batch)]]*(tblOps[[#This Row],[Machine rate]]+LabourRate)))</f>
        <v>138</v>
      </c>
      <c r="M37"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37" s="44" t="s">
        <v>88</v>
      </c>
    </row>
    <row r="38" spans="2:14">
      <c r="B38" s="28" t="s">
        <v>135</v>
      </c>
      <c r="C38" s="35">
        <v>40</v>
      </c>
      <c r="D38" s="28" t="s">
        <v>155</v>
      </c>
      <c r="E38" s="28" t="s">
        <v>93</v>
      </c>
      <c r="F38" s="29">
        <v>0.25</v>
      </c>
      <c r="G38" s="42">
        <v>30</v>
      </c>
      <c r="H38" s="29">
        <v>1</v>
      </c>
      <c r="I38" s="36">
        <f>IF(tblOps[[#This Row],[Part]]="","",IFERROR(INDEX(tblWorkCentres[Machine rate],MATCH(tblOps[[#This Row],[Work centre]],tblWorkCentres[Work centre],0)),""))</f>
        <v>28</v>
      </c>
      <c r="J38" s="43">
        <f>IF(tblOps[[#This Row],[Part]]="","",IF(tblOps[[#This Row],[Machine rate]]="","",tblOps[[#This Row],[Cycle (s/part)]]/3600*tblOps[[#This Row],[Operators (per machine)]]*LabourRate))</f>
        <v>0.283333333333333</v>
      </c>
      <c r="K38" s="43">
        <f>IF(tblOps[[#This Row],[Part]]="","",IF(tblOps[[#This Row],[Machine rate]]="","",tblOps[[#This Row],[Cycle (s/part)]]/3600*tblOps[[#This Row],[Machine rate]]))</f>
        <v>0.233333333333333</v>
      </c>
      <c r="L38" s="36">
        <f>IF(tblOps[[#This Row],[Part]]="","",IF(tblOps[[#This Row],[Machine rate]]="","",tblOps[[#This Row],[Setup (h/batch)]]*(tblOps[[#This Row],[Machine rate]]+LabourRate)))</f>
        <v>15.5</v>
      </c>
      <c r="M38"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38" s="44" t="s">
        <v>88</v>
      </c>
    </row>
    <row r="39" spans="2:14">
      <c r="B39" s="28" t="s">
        <v>137</v>
      </c>
      <c r="C39" s="35">
        <v>10</v>
      </c>
      <c r="D39" s="28" t="s">
        <v>150</v>
      </c>
      <c r="E39" s="28" t="s">
        <v>79</v>
      </c>
      <c r="F39" s="29">
        <v>0.25</v>
      </c>
      <c r="G39" s="42">
        <v>15</v>
      </c>
      <c r="H39" s="29">
        <v>0.5</v>
      </c>
      <c r="I39" s="36">
        <f>IF(tblOps[[#This Row],[Part]]="","",IFERROR(INDEX(tblWorkCentres[Machine rate],MATCH(tblOps[[#This Row],[Work centre]],tblWorkCentres[Work centre],0)),""))</f>
        <v>18</v>
      </c>
      <c r="J39" s="43">
        <f>IF(tblOps[[#This Row],[Part]]="","",IF(tblOps[[#This Row],[Machine rate]]="","",tblOps[[#This Row],[Cycle (s/part)]]/3600*tblOps[[#This Row],[Operators (per machine)]]*LabourRate))</f>
        <v>0.0708333333333333</v>
      </c>
      <c r="K39" s="43">
        <f>IF(tblOps[[#This Row],[Part]]="","",IF(tblOps[[#This Row],[Machine rate]]="","",tblOps[[#This Row],[Cycle (s/part)]]/3600*tblOps[[#This Row],[Machine rate]]))</f>
        <v>0.075</v>
      </c>
      <c r="L39" s="36">
        <f>IF(tblOps[[#This Row],[Part]]="","",IF(tblOps[[#This Row],[Machine rate]]="","",tblOps[[#This Row],[Setup (h/batch)]]*(tblOps[[#This Row],[Machine rate]]+LabourRate)))</f>
        <v>13</v>
      </c>
      <c r="M39"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39" s="44" t="s">
        <v>88</v>
      </c>
    </row>
    <row r="40" spans="2:14">
      <c r="B40" s="28" t="s">
        <v>137</v>
      </c>
      <c r="C40" s="35">
        <v>20</v>
      </c>
      <c r="D40" s="28" t="s">
        <v>151</v>
      </c>
      <c r="E40" s="28" t="s">
        <v>81</v>
      </c>
      <c r="F40" s="29">
        <v>1.5</v>
      </c>
      <c r="G40" s="42">
        <v>110</v>
      </c>
      <c r="H40" s="29">
        <v>0.5</v>
      </c>
      <c r="I40" s="36">
        <f>IF(tblOps[[#This Row],[Part]]="","",IFERROR(INDEX(tblWorkCentres[Machine rate],MATCH(tblOps[[#This Row],[Work centre]],tblWorkCentres[Work centre],0)),""))</f>
        <v>46</v>
      </c>
      <c r="J40" s="43">
        <f>IF(tblOps[[#This Row],[Part]]="","",IF(tblOps[[#This Row],[Machine rate]]="","",tblOps[[#This Row],[Cycle (s/part)]]/3600*tblOps[[#This Row],[Operators (per machine)]]*LabourRate))</f>
        <v>0.519444444444444</v>
      </c>
      <c r="K40" s="43">
        <f>IF(tblOps[[#This Row],[Part]]="","",IF(tblOps[[#This Row],[Machine rate]]="","",tblOps[[#This Row],[Cycle (s/part)]]/3600*tblOps[[#This Row],[Machine rate]]))</f>
        <v>1.40555555555556</v>
      </c>
      <c r="L40" s="36">
        <f>IF(tblOps[[#This Row],[Part]]="","",IF(tblOps[[#This Row],[Machine rate]]="","",tblOps[[#This Row],[Setup (h/batch)]]*(tblOps[[#This Row],[Machine rate]]+LabourRate)))</f>
        <v>120</v>
      </c>
      <c r="M40"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40" s="44" t="s">
        <v>88</v>
      </c>
    </row>
    <row r="41" spans="2:14">
      <c r="B41" s="28" t="s">
        <v>137</v>
      </c>
      <c r="C41" s="35">
        <v>30</v>
      </c>
      <c r="D41" s="28" t="s">
        <v>154</v>
      </c>
      <c r="E41" s="28" t="s">
        <v>83</v>
      </c>
      <c r="F41" s="29">
        <v>1.25</v>
      </c>
      <c r="G41" s="42">
        <v>60</v>
      </c>
      <c r="H41" s="29">
        <v>0.5</v>
      </c>
      <c r="I41" s="36">
        <f>IF(tblOps[[#This Row],[Part]]="","",IFERROR(INDEX(tblWorkCentres[Machine rate],MATCH(tblOps[[#This Row],[Work centre]],tblWorkCentres[Work centre],0)),""))</f>
        <v>52</v>
      </c>
      <c r="J41" s="43">
        <f>IF(tblOps[[#This Row],[Part]]="","",IF(tblOps[[#This Row],[Machine rate]]="","",tblOps[[#This Row],[Cycle (s/part)]]/3600*tblOps[[#This Row],[Operators (per machine)]]*LabourRate))</f>
        <v>0.283333333333333</v>
      </c>
      <c r="K41" s="43">
        <f>IF(tblOps[[#This Row],[Part]]="","",IF(tblOps[[#This Row],[Machine rate]]="","",tblOps[[#This Row],[Cycle (s/part)]]/3600*tblOps[[#This Row],[Machine rate]]))</f>
        <v>0.866666666666667</v>
      </c>
      <c r="L41" s="36">
        <f>IF(tblOps[[#This Row],[Part]]="","",IF(tblOps[[#This Row],[Machine rate]]="","",tblOps[[#This Row],[Setup (h/batch)]]*(tblOps[[#This Row],[Machine rate]]+LabourRate)))</f>
        <v>107.5</v>
      </c>
      <c r="M41"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41" s="44" t="s">
        <v>88</v>
      </c>
    </row>
    <row r="42" spans="2:14">
      <c r="B42" s="28" t="s">
        <v>137</v>
      </c>
      <c r="C42" s="35">
        <v>40</v>
      </c>
      <c r="D42" s="28" t="s">
        <v>152</v>
      </c>
      <c r="E42" s="28" t="s">
        <v>89</v>
      </c>
      <c r="F42" s="29">
        <v>0</v>
      </c>
      <c r="G42" s="42">
        <v>30</v>
      </c>
      <c r="H42" s="29">
        <v>1</v>
      </c>
      <c r="I42" s="36">
        <f>IF(tblOps[[#This Row],[Part]]="","",IFERROR(INDEX(tblWorkCentres[Machine rate],MATCH(tblOps[[#This Row],[Work centre]],tblWorkCentres[Work centre],0)),""))</f>
        <v>4</v>
      </c>
      <c r="J42" s="43">
        <f>IF(tblOps[[#This Row],[Part]]="","",IF(tblOps[[#This Row],[Machine rate]]="","",tblOps[[#This Row],[Cycle (s/part)]]/3600*tblOps[[#This Row],[Operators (per machine)]]*LabourRate))</f>
        <v>0.283333333333333</v>
      </c>
      <c r="K42" s="43">
        <f>IF(tblOps[[#This Row],[Part]]="","",IF(tblOps[[#This Row],[Machine rate]]="","",tblOps[[#This Row],[Cycle (s/part)]]/3600*tblOps[[#This Row],[Machine rate]]))</f>
        <v>0.0333333333333333</v>
      </c>
      <c r="L42" s="36">
        <f>IF(tblOps[[#This Row],[Part]]="","",IF(tblOps[[#This Row],[Machine rate]]="","",tblOps[[#This Row],[Setup (h/batch)]]*(tblOps[[#This Row],[Machine rate]]+LabourRate)))</f>
        <v>0</v>
      </c>
      <c r="M42"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42" s="44" t="s">
        <v>88</v>
      </c>
    </row>
    <row r="43" spans="2:14">
      <c r="B43" s="28" t="s">
        <v>139</v>
      </c>
      <c r="C43" s="35">
        <v>10</v>
      </c>
      <c r="D43" s="28" t="s">
        <v>151</v>
      </c>
      <c r="E43" s="28" t="s">
        <v>81</v>
      </c>
      <c r="F43" s="29">
        <v>0.75</v>
      </c>
      <c r="G43" s="42">
        <v>14</v>
      </c>
      <c r="H43" s="29">
        <v>0.25</v>
      </c>
      <c r="I43" s="36">
        <f>IF(tblOps[[#This Row],[Part]]="","",IFERROR(INDEX(tblWorkCentres[Machine rate],MATCH(tblOps[[#This Row],[Work centre]],tblWorkCentres[Work centre],0)),""))</f>
        <v>46</v>
      </c>
      <c r="J43" s="43">
        <f>IF(tblOps[[#This Row],[Part]]="","",IF(tblOps[[#This Row],[Machine rate]]="","",tblOps[[#This Row],[Cycle (s/part)]]/3600*tblOps[[#This Row],[Operators (per machine)]]*LabourRate))</f>
        <v>0.0330555555555556</v>
      </c>
      <c r="K43" s="43">
        <f>IF(tblOps[[#This Row],[Part]]="","",IF(tblOps[[#This Row],[Machine rate]]="","",tblOps[[#This Row],[Cycle (s/part)]]/3600*tblOps[[#This Row],[Machine rate]]))</f>
        <v>0.178888888888889</v>
      </c>
      <c r="L43" s="36">
        <f>IF(tblOps[[#This Row],[Part]]="","",IF(tblOps[[#This Row],[Machine rate]]="","",tblOps[[#This Row],[Setup (h/batch)]]*(tblOps[[#This Row],[Machine rate]]+LabourRate)))</f>
        <v>60</v>
      </c>
      <c r="M43"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43" s="44" t="s">
        <v>158</v>
      </c>
    </row>
    <row r="44" spans="2:14">
      <c r="B44" s="28" t="s">
        <v>141</v>
      </c>
      <c r="C44" s="35">
        <v>10</v>
      </c>
      <c r="D44" s="28" t="s">
        <v>159</v>
      </c>
      <c r="E44" s="28" t="s">
        <v>95</v>
      </c>
      <c r="F44" s="29">
        <v>0.2</v>
      </c>
      <c r="G44" s="42">
        <v>90</v>
      </c>
      <c r="H44" s="29">
        <v>1</v>
      </c>
      <c r="I44" s="36">
        <f>IF(tblOps[[#This Row],[Part]]="","",IFERROR(INDEX(tblWorkCentres[Machine rate],MATCH(tblOps[[#This Row],[Work centre]],tblWorkCentres[Work centre],0)),""))</f>
        <v>6</v>
      </c>
      <c r="J44" s="43">
        <f>IF(tblOps[[#This Row],[Part]]="","",IF(tblOps[[#This Row],[Machine rate]]="","",tblOps[[#This Row],[Cycle (s/part)]]/3600*tblOps[[#This Row],[Operators (per machine)]]*LabourRate))</f>
        <v>0.85</v>
      </c>
      <c r="K44" s="43">
        <f>IF(tblOps[[#This Row],[Part]]="","",IF(tblOps[[#This Row],[Machine rate]]="","",tblOps[[#This Row],[Cycle (s/part)]]/3600*tblOps[[#This Row],[Machine rate]]))</f>
        <v>0.15</v>
      </c>
      <c r="L44" s="36">
        <f>IF(tblOps[[#This Row],[Part]]="","",IF(tblOps[[#This Row],[Machine rate]]="","",tblOps[[#This Row],[Setup (h/batch)]]*(tblOps[[#This Row],[Machine rate]]+LabourRate)))</f>
        <v>8</v>
      </c>
      <c r="M44" s="41" t="str">
        <f>IF(tblOps[[#This Row],[Part]]="","",IF(tblOps[[#This Row],[Work centre]]="","Missing work centre",IF(tblOps[[#This Row],[Cycle (s/part)]]="","Missing cycle",IF(tblOps[[#This Row],[Operators (per machine)]]="","Missing operators",IF(tblOps[[#This Row],[Machine rate]]="","Work centre not on Setup list",IF(COUNTIF(tblParts[Part],tblOps[[#This Row],[Part]])=0,"Part not on Part Costs",IF(COUNTIFS(tblOps[Part],tblOps[[#This Row],[Part]],tblOps[Op],tblOps[[#This Row],[Op]])&gt;1,"Duplicate operation number","OK")))))))</f>
        <v>OK</v>
      </c>
      <c r="N44" s="44" t="s">
        <v>88</v>
      </c>
    </row>
  </sheetData>
  <mergeCells count="3">
    <mergeCell ref="A1:N1"/>
    <mergeCell ref="B2:M2"/>
    <mergeCell ref="B4:N4"/>
  </mergeCells>
  <conditionalFormatting sqref="M7:M544">
    <cfRule type="expression" dxfId="3" priority="1">
      <formula>$M7="OK"</formula>
    </cfRule>
    <cfRule type="expression" dxfId="1" priority="2">
      <formula>AND($M7&lt;&gt;"",$M7&lt;&gt;"OK")</formula>
    </cfRule>
  </conditionalFormatting>
  <dataValidations count="8">
    <dataValidation type="list" allowBlank="1" showInputMessage="1" showErrorMessage="1" errorTitle="Check this entry" error="Pick from the list (edit the list on Setup: PartList)." promptTitle="Part" prompt="Pick from the list (edit the list on Setup: PartList)." sqref="B7:B544">
      <formula1>PartList</formula1>
    </dataValidation>
    <dataValidation type="whole" allowBlank="1" showInputMessage="1" showErrorMessage="1" errorTitle="Check this entry" error="Enter a whole number from 0 to 9,999." promptTitle="Op" prompt="Operation number, e.g. 10, 20, 30. Enter a whole number from 0 to 9,999." sqref="C7:C544">
      <formula1>0</formula1>
      <formula2>9999</formula2>
    </dataValidation>
    <dataValidation type="textLength" allowBlank="1" showInputMessage="1" showErrorMessage="1" errorTitle="Check this entry" error="Text up to 60 characters." promptTitle="Operation" prompt="Text up to 60 characters." sqref="D7:D544">
      <formula1>0</formula1>
      <formula2>60</formula2>
    </dataValidation>
    <dataValidation type="list" allowBlank="1" showInputMessage="1" showErrorMessage="1" errorTitle="Check this entry" error="Pick from the list (edit the list on Setup: WorkCentres)." promptTitle="Work centre" prompt="Pick from the list (edit the list on Setup: WorkCentres)." sqref="E7:E544">
      <formula1>WorkCentres</formula1>
    </dataValidation>
    <dataValidation type="decimal" allowBlank="1" showInputMessage="1" showErrorMessage="1" errorTitle="Check this entry" error="Enter a number from 0 to 1,000." promptTitle="Setup (h/batch)" prompt="Setup and first-off approval for this step, per batch. Charged at the machine rate plus one setter at the labour rate. Enter a number from 0 to 1,000." sqref="F7:F544">
      <formula1>0</formula1>
      <formula2>1000</formula2>
    </dataValidation>
    <dataValidation type="decimal" allowBlank="1" showInputMessage="1" showErrorMessage="1" errorTitle="Check this entry" error="Enter a number from 0 to 1,000,000." promptTitle="Cycle (s/part)" prompt="Machine or station time per part, loading included. Enter a number from 0 to 1,000,000." sqref="G7:G544">
      <formula1>0</formula1>
      <formula2>1000000.0</formula2>
    </dataValidation>
    <dataValidation type="decimal" allowBlank="1" showInputMessage="1" showErrorMessage="1" errorTitle="Check this entry" error="Enter a number from 0 to 20." promptTitle="Operators (per machine)" prompt="People per machine while it runs: 1 = one operator; 0.5 = one operator tends two machines; 0 = unattended. Enter a number from 0 to 20." sqref="H7:H544">
      <formula1>0</formula1>
      <formula2>20</formula2>
    </dataValidation>
    <dataValidation type="textLength" allowBlank="1" showInputMessage="1" showErrorMessage="1" errorTitle="Check this entry" error="Text up to 255 characters." promptTitle="Notes" prompt="Text up to 255 characters." sqref="N7:N544">
      <formula1>0</formula1>
      <formula2>255</formula2>
    </dataValidation>
  </dataValidations>
  <hyperlinks>
    <hyperlink ref="N2" r:id="rId1" tooltip="Free manufacturing calculators and templates"/>
  </hyperlinks>
  <pageMargins left="0.4" right="0.4" top="0.7" bottom="0.65" header="0.3" footer="0.3"/>
  <pageSetup fitToHeight="0" orientation="landscape"/>
  <headerFooter>
    <oddHeader>&amp;L&amp;8MFG Calcs - Unit Cost Spreadsheet&amp;R&amp;8&amp;A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68"/>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26</v>
      </c>
      <c r="C2" s="2"/>
      <c r="D2" s="2"/>
      <c r="E2" s="2"/>
      <c r="F2" s="2"/>
      <c r="G2" s="2"/>
      <c r="H2" s="2"/>
      <c r="I2" s="2"/>
      <c r="J2" s="2"/>
      <c r="K2" s="3" t="s">
        <v>2</v>
      </c>
      <c r="L2" s="3"/>
    </row>
    <row r="3" spans="1:12" ht="6" customHeight="1" x14ac:dyDescent="0.25"/>
    <row r="4" spans="1:12" ht="18" customHeight="1" x14ac:dyDescent="0.25">
      <c r="B4" s="45" t="s">
        <v>160</v>
      </c>
      <c r="C4" s="45"/>
      <c r="D4" s="45" t="s">
        <v>161</v>
      </c>
      <c r="E4" s="45"/>
      <c r="F4" s="45"/>
      <c r="G4" s="45" t="str">
        <f>"ANNUAL SCRAP COST ("&amp;Currency&amp;", EST.)"</f>
        <v>ANNUAL SCRAP COST (USD, EST.)</v>
      </c>
      <c r="H4" s="45"/>
      <c r="I4" s="45"/>
      <c r="J4" s="45" t="s">
        <v>162</v>
      </c>
      <c r="K4" s="45"/>
      <c r="L4" s="45"/>
    </row>
    <row r="5" spans="1:12" ht="21" customHeight="1" x14ac:dyDescent="0.25">
      <c r="B5" s="46">
        <f>IF((SUM(tblParts[Annual revenue]))=0,"",(SUM(tblParts[Annual margin]))/(SUM(tblParts[Annual revenue])))</f>
        <v>0.258442588654416</v>
      </c>
      <c r="C5" s="46"/>
      <c r="D5" s="47">
        <f>COUNTIF(tblParts[Margin status],"Below target")</f>
        <v>2</v>
      </c>
      <c r="E5" s="47"/>
      <c r="F5" s="47"/>
      <c r="G5" s="47">
        <f>SUM(tblParts[Annual scrap cost])</f>
        <v>21854.4500114513</v>
      </c>
      <c r="H5" s="47"/>
      <c r="I5" s="47"/>
      <c r="J5" s="48" t="str">
        <f>IF(SUM($C$45:$C$50)=0,"",INDEX($B$45:$B$50,MATCH(MAX($C$45:$C$50),$C$45:$C$50,0))&amp;"  "&amp;FIXED(MAX($D$45:$D$50)*100,0)&amp;"%")</f>
        <v>Materials  37%</v>
      </c>
      <c r="K5" s="48"/>
      <c r="L5" s="48"/>
    </row>
    <row r="6" spans="1:12" ht="21" customHeight="1" x14ac:dyDescent="0.25">
      <c r="B6" s="46"/>
      <c r="C6" s="46"/>
      <c r="D6" s="47"/>
      <c r="E6" s="47"/>
      <c r="F6" s="47"/>
      <c r="G6" s="47"/>
      <c r="H6" s="47"/>
      <c r="I6" s="47"/>
      <c r="J6" s="48"/>
      <c r="K6" s="48"/>
      <c r="L6" s="48"/>
    </row>
    <row r="7" spans="1:12" x14ac:dyDescent="0.25">
      <c r="B7" s="49">
        <f>TargetMargin</f>
        <v>0.25</v>
      </c>
      <c r="C7" s="49"/>
      <c r="D7" s="50" t="s">
        <v>163</v>
      </c>
      <c r="E7" s="50"/>
      <c r="F7" s="50"/>
      <c r="G7" s="50" t="s">
        <v>164</v>
      </c>
      <c r="H7" s="50"/>
      <c r="I7" s="50"/>
      <c r="J7" s="50" t="s">
        <v>165</v>
      </c>
      <c r="K7" s="50"/>
      <c r="L7" s="50"/>
    </row>
    <row r="8" spans="1:12" ht="18" customHeight="1" x14ac:dyDescent="0.25">
      <c r="B8" s="51" t="str">
        <f>IF(NOT(ISNUMBER(KpiMargin)),"No data",IF(KpiMargin&gt;=(TargetMargin),"On target",IF(KpiMargin&gt;=(TargetMargin)*(1-0.05),"Near target","Below target")))</f>
        <v>On target</v>
      </c>
      <c r="C8" s="51"/>
      <c r="D8" s="51"/>
      <c r="E8" s="51"/>
      <c r="F8" s="51"/>
      <c r="G8" s="51"/>
      <c r="H8" s="51"/>
      <c r="I8" s="51"/>
      <c r="J8" s="51"/>
      <c r="K8" s="51"/>
      <c r="L8" s="51"/>
    </row>
    <row r="28" spans="2:11" x14ac:dyDescent="0.25">
      <c r="B28" s="31" t="s">
        <v>166</v>
      </c>
      <c r="C28" s="31"/>
      <c r="D28" s="31"/>
      <c r="E28" s="31"/>
      <c r="F28" s="31"/>
      <c r="G28" s="31"/>
      <c r="H28" s="31"/>
      <c r="I28" s="31"/>
      <c r="J28" s="31"/>
      <c r="K28" s="31"/>
    </row>
    <row r="29" spans="2:11" ht="32" customHeight="1" x14ac:dyDescent="0.25">
      <c r="B29" s="52" t="s">
        <v>97</v>
      </c>
      <c r="C29" s="33" t="s">
        <v>110</v>
      </c>
      <c r="D29" s="33" t="s">
        <v>104</v>
      </c>
      <c r="E29" s="33" t="s">
        <v>111</v>
      </c>
      <c r="F29" s="33" t="s">
        <v>167</v>
      </c>
      <c r="G29" s="33" t="s">
        <v>112</v>
      </c>
      <c r="H29" s="33" t="s">
        <v>103</v>
      </c>
      <c r="I29" s="33" t="s">
        <v>113</v>
      </c>
      <c r="J29" s="33" t="s">
        <v>115</v>
      </c>
      <c r="K29" s="33" t="s">
        <v>116</v>
      </c>
    </row>
    <row r="30" spans="2:11" ht="14" customHeight="1" x14ac:dyDescent="0.25">
      <c r="B30" s="32"/>
      <c r="C30" s="32" t="str">
        <f>Currency&amp;"/part"</f>
        <v>USD/part</v>
      </c>
      <c r="D30" s="32" t="str">
        <f>Currency&amp;"/part"</f>
        <v>USD/part</v>
      </c>
      <c r="E30" s="32" t="s">
        <v>122</v>
      </c>
      <c r="F30" s="32" t="s">
        <v>120</v>
      </c>
      <c r="G30" s="32"/>
      <c r="H30" s="32" t="s">
        <v>121</v>
      </c>
      <c r="I30" s="32" t="str">
        <f>Currency&amp;"/yr"</f>
        <v>USD/yr</v>
      </c>
      <c r="J30" s="32" t="str">
        <f>Currency&amp;"/yr"</f>
        <v>USD/yr</v>
      </c>
      <c r="K30" s="32" t="str">
        <f>Currency&amp;"/yr"</f>
        <v>USD/yr</v>
      </c>
    </row>
    <row r="31" spans="2:11" x14ac:dyDescent="0.25">
      <c r="B31" s="53" t="str">
        <f>IFERROR(INDEX(tblParts[Part],1)&amp;"","")</f>
        <v>HF-101</v>
      </c>
      <c r="C31" s="36">
        <f>IF($B$31="","",IFERROR(INDEX(tblParts[Unit cost],MATCH($B$31,tblParts[Part],0)),""))</f>
        <v>2.84189342403628</v>
      </c>
      <c r="D31" s="36">
        <f>IF($B$31="","",IFERROR(INDEX(tblParts[Price],MATCH($B$31,tblParts[Part],0)),""))</f>
        <v>4.1</v>
      </c>
      <c r="E31" s="38">
        <f>IF($B$31="","",IFERROR(INDEX(tblParts[Margin],MATCH($B$31,tblParts[Part],0)),""))</f>
        <v>0.306855262430175</v>
      </c>
      <c r="F31" s="54">
        <f>TargetMargin</f>
        <v>0.25</v>
      </c>
      <c r="G31" s="39" t="str">
        <f>IF($B$31="","",IFERROR(INDEX(tblParts[Margin status],MATCH($B$31,tblParts[Part],0)),""))</f>
        <v>On target</v>
      </c>
      <c r="H31" s="40">
        <f>IF($B$31="","",IFERROR(INDEX(tblParts[Annual volume],MATCH($B$31,tblParts[Part],0)),""))</f>
        <v>24000</v>
      </c>
      <c r="I31" s="40">
        <f>IF($B$31="","",IFERROR(INDEX(tblParts[Annual cost],MATCH($B$31,tblParts[Part],0)),""))</f>
        <v>68205.4421768708</v>
      </c>
      <c r="J31" s="40">
        <f>IF($B$31="","",IFERROR(INDEX(tblParts[Annual margin],MATCH($B$31,tblParts[Part],0)),""))</f>
        <v>30194.5578231292</v>
      </c>
      <c r="K31" s="40">
        <f>IF($B$31="","",IFERROR(INDEX(tblParts[Annual scrap cost],MATCH($B$31,tblParts[Part],0)),""))</f>
        <v>1364.10884353742</v>
      </c>
    </row>
    <row r="32" spans="2:11" x14ac:dyDescent="0.25">
      <c r="B32" s="53" t="str">
        <f>IFERROR(INDEX(tblParts[Part],2)&amp;"","")</f>
        <v>HF-102</v>
      </c>
      <c r="C32" s="36">
        <f>IF($B$32="","",IFERROR(INDEX(tblParts[Unit cost],MATCH($B$32,tblParts[Part],0)),""))</f>
        <v>4.9930040091638</v>
      </c>
      <c r="D32" s="36">
        <f>IF($B$32="","",IFERROR(INDEX(tblParts[Price],MATCH($B$32,tblParts[Part],0)),""))</f>
        <v>6.95</v>
      </c>
      <c r="E32" s="38">
        <f>IF($B$32="","",IFERROR(INDEX(tblParts[Margin],MATCH($B$32,tblParts[Part],0)),""))</f>
        <v>0.281582156954849</v>
      </c>
      <c r="F32" s="54">
        <f>TargetMargin</f>
        <v>0.25</v>
      </c>
      <c r="G32" s="39" t="str">
        <f>IF($B$32="","",IFERROR(INDEX(tblParts[Margin status],MATCH($B$32,tblParts[Part],0)),""))</f>
        <v>On target</v>
      </c>
      <c r="H32" s="40">
        <f>IF($B$32="","",IFERROR(INDEX(tblParts[Annual volume],MATCH($B$32,tblParts[Part],0)),""))</f>
        <v>18000</v>
      </c>
      <c r="I32" s="40">
        <f>IF($B$32="","",IFERROR(INDEX(tblParts[Annual cost],MATCH($B$32,tblParts[Part],0)),""))</f>
        <v>89874.0721649484</v>
      </c>
      <c r="J32" s="40">
        <f>IF($B$32="","",IFERROR(INDEX(tblParts[Annual margin],MATCH($B$32,tblParts[Part],0)),""))</f>
        <v>35225.9278350516</v>
      </c>
      <c r="K32" s="40">
        <f>IF($B$32="","",IFERROR(INDEX(tblParts[Annual scrap cost],MATCH($B$32,tblParts[Part],0)),""))</f>
        <v>2696.22216494845</v>
      </c>
    </row>
    <row r="33" spans="2:11" x14ac:dyDescent="0.25">
      <c r="B33" s="53" t="str">
        <f>IFERROR(INDEX(tblParts[Part],3)&amp;"","")</f>
        <v>HF-205</v>
      </c>
      <c r="C33" s="36">
        <f>IF($B$33="","",IFERROR(INDEX(tblParts[Unit cost],MATCH($B$33,tblParts[Part],0)),""))</f>
        <v>7.47746689694876</v>
      </c>
      <c r="D33" s="36">
        <f>IF($B$33="","",IFERROR(INDEX(tblParts[Price],MATCH($B$33,tblParts[Part],0)),""))</f>
        <v>10.4</v>
      </c>
      <c r="E33" s="38">
        <f>IF($B$33="","",IFERROR(INDEX(tblParts[Margin],MATCH($B$33,tblParts[Part],0)),""))</f>
        <v>0.281012798370311</v>
      </c>
      <c r="F33" s="54">
        <f>TargetMargin</f>
        <v>0.25</v>
      </c>
      <c r="G33" s="39" t="str">
        <f>IF($B$33="","",IFERROR(INDEX(tblParts[Margin status],MATCH($B$33,tblParts[Part],0)),""))</f>
        <v>On target</v>
      </c>
      <c r="H33" s="40">
        <f>IF($B$33="","",IFERROR(INDEX(tblParts[Annual volume],MATCH($B$33,tblParts[Part],0)),""))</f>
        <v>9000</v>
      </c>
      <c r="I33" s="40">
        <f>IF($B$33="","",IFERROR(INDEX(tblParts[Annual cost],MATCH($B$33,tblParts[Part],0)),""))</f>
        <v>67297.2020725389</v>
      </c>
      <c r="J33" s="40">
        <f>IF($B$33="","",IFERROR(INDEX(tblParts[Annual margin],MATCH($B$33,tblParts[Part],0)),""))</f>
        <v>26302.7979274611</v>
      </c>
      <c r="K33" s="40">
        <f>IF($B$33="","",IFERROR(INDEX(tblParts[Annual scrap cost],MATCH($B$33,tblParts[Part],0)),""))</f>
        <v>2355.40207253886</v>
      </c>
    </row>
    <row r="34" spans="2:11" x14ac:dyDescent="0.25">
      <c r="B34" s="53" t="str">
        <f>IFERROR(INDEX(tblParts[Part],4)&amp;"","")</f>
        <v>HF-130</v>
      </c>
      <c r="C34" s="36">
        <f>IF($B$34="","",IFERROR(INDEX(tblParts[Unit cost],MATCH($B$34,tblParts[Part],0)),""))</f>
        <v>9.08668957617411</v>
      </c>
      <c r="D34" s="36">
        <f>IF($B$34="","",IFERROR(INDEX(tblParts[Price],MATCH($B$34,tblParts[Part],0)),""))</f>
        <v>12</v>
      </c>
      <c r="E34" s="38">
        <f>IF($B$34="","",IFERROR(INDEX(tblParts[Margin],MATCH($B$34,tblParts[Part],0)),""))</f>
        <v>0.242775868652157</v>
      </c>
      <c r="F34" s="54">
        <f>TargetMargin</f>
        <v>0.25</v>
      </c>
      <c r="G34" s="39" t="str">
        <f>IF($B$34="","",IFERROR(INDEX(tblParts[Margin status],MATCH($B$34,tblParts[Part],0)),""))</f>
        <v>Near target</v>
      </c>
      <c r="H34" s="40">
        <f>IF($B$34="","",IFERROR(INDEX(tblParts[Annual volume],MATCH($B$34,tblParts[Part],0)),""))</f>
        <v>5000</v>
      </c>
      <c r="I34" s="40">
        <f>IF($B$34="","",IFERROR(INDEX(tblParts[Annual cost],MATCH($B$34,tblParts[Part],0)),""))</f>
        <v>45433.4478808706</v>
      </c>
      <c r="J34" s="40">
        <f>IF($B$34="","",IFERROR(INDEX(tblParts[Annual margin],MATCH($B$34,tblParts[Part],0)),""))</f>
        <v>14566.5521191294</v>
      </c>
      <c r="K34" s="40">
        <f>IF($B$34="","",IFERROR(INDEX(tblParts[Annual scrap cost],MATCH($B$34,tblParts[Part],0)),""))</f>
        <v>1363.00343642612</v>
      </c>
    </row>
    <row r="35" spans="2:11" x14ac:dyDescent="0.25">
      <c r="B35" s="53" t="str">
        <f>IFERROR(INDEX(tblParts[Part],5)&amp;"","")</f>
        <v>MB-310</v>
      </c>
      <c r="C35" s="36">
        <f>IF($B$35="","",IFERROR(INDEX(tblParts[Unit cost],MATCH($B$35,tblParts[Part],0)),""))</f>
        <v>25.5803819444444</v>
      </c>
      <c r="D35" s="36">
        <f>IF($B$35="","",IFERROR(INDEX(tblParts[Price],MATCH($B$35,tblParts[Part],0)),""))</f>
        <v>36.5</v>
      </c>
      <c r="E35" s="38">
        <f>IF($B$35="","",IFERROR(INDEX(tblParts[Margin],MATCH($B$35,tblParts[Part],0)),""))</f>
        <v>0.299167617960426</v>
      </c>
      <c r="F35" s="54">
        <f>TargetMargin</f>
        <v>0.25</v>
      </c>
      <c r="G35" s="39" t="str">
        <f>IF($B$35="","",IFERROR(INDEX(tblParts[Margin status],MATCH($B$35,tblParts[Part],0)),""))</f>
        <v>On target</v>
      </c>
      <c r="H35" s="40">
        <f>IF($B$35="","",IFERROR(INDEX(tblParts[Annual volume],MATCH($B$35,tblParts[Part],0)),""))</f>
        <v>2400</v>
      </c>
      <c r="I35" s="40">
        <f>IF($B$35="","",IFERROR(INDEX(tblParts[Annual cost],MATCH($B$35,tblParts[Part],0)),""))</f>
        <v>61392.9166666667</v>
      </c>
      <c r="J35" s="40">
        <f>IF($B$35="","",IFERROR(INDEX(tblParts[Annual margin],MATCH($B$35,tblParts[Part],0)),""))</f>
        <v>26207.0833333333</v>
      </c>
      <c r="K35" s="40">
        <f>IF($B$35="","",IFERROR(INDEX(tblParts[Annual scrap cost],MATCH($B$35,tblParts[Part],0)),""))</f>
        <v>2455.71666666667</v>
      </c>
    </row>
    <row r="36" spans="2:11" x14ac:dyDescent="0.25">
      <c r="B36" s="53" t="str">
        <f>IFERROR(INDEX(tblParts[Part],6)&amp;"","")</f>
        <v>MB-320</v>
      </c>
      <c r="C36" s="36">
        <f>IF($B$36="","",IFERROR(INDEX(tblParts[Unit cost],MATCH($B$36,tblParts[Part],0)),""))</f>
        <v>59.7778959810875</v>
      </c>
      <c r="D36" s="36">
        <f>IF($B$36="","",IFERROR(INDEX(tblParts[Price],MATCH($B$36,tblParts[Part],0)),""))</f>
        <v>68</v>
      </c>
      <c r="E36" s="38">
        <f>IF($B$36="","",IFERROR(INDEX(tblParts[Margin],MATCH($B$36,tblParts[Part],0)),""))</f>
        <v>0.120913294395773</v>
      </c>
      <c r="F36" s="54">
        <f>TargetMargin</f>
        <v>0.25</v>
      </c>
      <c r="G36" s="39" t="str">
        <f>IF($B$36="","",IFERROR(INDEX(tblParts[Margin status],MATCH($B$36,tblParts[Part],0)),""))</f>
        <v>Below target</v>
      </c>
      <c r="H36" s="40">
        <f>IF($B$36="","",IFERROR(INDEX(tblParts[Annual volume],MATCH($B$36,tblParts[Part],0)),""))</f>
        <v>1200</v>
      </c>
      <c r="I36" s="40">
        <f>IF($B$36="","",IFERROR(INDEX(tblParts[Annual cost],MATCH($B$36,tblParts[Part],0)),""))</f>
        <v>71733.475177305</v>
      </c>
      <c r="J36" s="40">
        <f>IF($B$36="","",IFERROR(INDEX(tblParts[Annual margin],MATCH($B$36,tblParts[Part],0)),""))</f>
        <v>9866.52482269504</v>
      </c>
      <c r="K36" s="40">
        <f>IF($B$36="","",IFERROR(INDEX(tblParts[Annual scrap cost],MATCH($B$36,tblParts[Part],0)),""))</f>
        <v>4304.0085106383</v>
      </c>
    </row>
    <row r="37" spans="2:11" x14ac:dyDescent="0.25">
      <c r="B37" s="53" t="str">
        <f>IFERROR(INDEX(tblParts[Part],7)&amp;"","")</f>
        <v>VS-410</v>
      </c>
      <c r="C37" s="36">
        <f>IF($B$37="","",IFERROR(INDEX(tblParts[Unit cost],MATCH($B$37,tblParts[Part],0)),""))</f>
        <v>11.3114070048309</v>
      </c>
      <c r="D37" s="36">
        <f>IF($B$37="","",IFERROR(INDEX(tblParts[Price],MATCH($B$37,tblParts[Part],0)),""))</f>
        <v>13.9</v>
      </c>
      <c r="E37" s="38">
        <f>IF($B$37="","",IFERROR(INDEX(tblParts[Margin],MATCH($B$37,tblParts[Part],0)),""))</f>
        <v>0.186229711882668</v>
      </c>
      <c r="F37" s="54">
        <f>TargetMargin</f>
        <v>0.25</v>
      </c>
      <c r="G37" s="39" t="str">
        <f>IF($B$37="","",IFERROR(INDEX(tblParts[Margin status],MATCH($B$37,tblParts[Part],0)),""))</f>
        <v>Below target</v>
      </c>
      <c r="H37" s="40">
        <f>IF($B$37="","",IFERROR(INDEX(tblParts[Annual volume],MATCH($B$37,tblParts[Part],0)),""))</f>
        <v>6000</v>
      </c>
      <c r="I37" s="40">
        <f>IF($B$37="","",IFERROR(INDEX(tblParts[Annual cost],MATCH($B$37,tblParts[Part],0)),""))</f>
        <v>67868.4420289855</v>
      </c>
      <c r="J37" s="40">
        <f>IF($B$37="","",IFERROR(INDEX(tblParts[Annual margin],MATCH($B$37,tblParts[Part],0)),""))</f>
        <v>15531.5579710145</v>
      </c>
      <c r="K37" s="40">
        <f>IF($B$37="","",IFERROR(INDEX(tblParts[Annual scrap cost],MATCH($B$37,tblParts[Part],0)),""))</f>
        <v>5429.47536231884</v>
      </c>
    </row>
    <row r="38" spans="2:11" x14ac:dyDescent="0.25">
      <c r="B38" s="53" t="str">
        <f>IFERROR(INDEX(tblParts[Part],8)&amp;"","")</f>
        <v>FL-720</v>
      </c>
      <c r="C38" s="36">
        <f>IF($B$38="","",IFERROR(INDEX(tblParts[Unit cost],MATCH($B$38,tblParts[Part],0)),""))</f>
        <v>10.444188034188</v>
      </c>
      <c r="D38" s="36">
        <f>IF($B$38="","",IFERROR(INDEX(tblParts[Price],MATCH($B$38,tblParts[Part],0)),""))</f>
        <v>14.5</v>
      </c>
      <c r="E38" s="38">
        <f>IF($B$38="","",IFERROR(INDEX(tblParts[Margin],MATCH($B$38,tblParts[Part],0)),""))</f>
        <v>0.279711170055998</v>
      </c>
      <c r="F38" s="54">
        <f>TargetMargin</f>
        <v>0.25</v>
      </c>
      <c r="G38" s="39" t="str">
        <f>IF($B$38="","",IFERROR(INDEX(tblParts[Margin status],MATCH($B$38,tblParts[Part],0)),""))</f>
        <v>On target</v>
      </c>
      <c r="H38" s="40">
        <f>IF($B$38="","",IFERROR(INDEX(tblParts[Annual volume],MATCH($B$38,tblParts[Part],0)),""))</f>
        <v>4000</v>
      </c>
      <c r="I38" s="40">
        <f>IF($B$38="","",IFERROR(INDEX(tblParts[Annual cost],MATCH($B$38,tblParts[Part],0)),""))</f>
        <v>41776.7521367521</v>
      </c>
      <c r="J38" s="40">
        <f>IF($B$38="","",IFERROR(INDEX(tblParts[Annual margin],MATCH($B$38,tblParts[Part],0)),""))</f>
        <v>16223.2478632479</v>
      </c>
      <c r="K38" s="40">
        <f>IF($B$38="","",IFERROR(INDEX(tblParts[Annual scrap cost],MATCH($B$38,tblParts[Part],0)),""))</f>
        <v>1044.4188034188</v>
      </c>
    </row>
    <row r="39" spans="2:11" x14ac:dyDescent="0.25">
      <c r="B39" s="53" t="str">
        <f>IFERROR(INDEX(tblParts[Part],9)&amp;"","")</f>
        <v>PL-610</v>
      </c>
      <c r="C39" s="36">
        <f>IF($B$39="","",IFERROR(INDEX(tblParts[Unit cost],MATCH($B$39,tblParts[Part],0)),""))</f>
        <v>0.725408911449521</v>
      </c>
      <c r="D39" s="36">
        <f>IF($B$39="","",IFERROR(INDEX(tblParts[Price],MATCH($B$39,tblParts[Part],0)),""))</f>
        <v>1.05</v>
      </c>
      <c r="E39" s="38">
        <f>IF($B$39="","",IFERROR(INDEX(tblParts[Margin],MATCH($B$39,tblParts[Part],0)),""))</f>
        <v>0.309134370048076</v>
      </c>
      <c r="F39" s="54">
        <f>TargetMargin</f>
        <v>0.25</v>
      </c>
      <c r="G39" s="39" t="str">
        <f>IF($B$39="","",IFERROR(INDEX(tblParts[Margin status],MATCH($B$39,tblParts[Part],0)),""))</f>
        <v>On target</v>
      </c>
      <c r="H39" s="40">
        <f>IF($B$39="","",IFERROR(INDEX(tblParts[Annual volume],MATCH($B$39,tblParts[Part],0)),""))</f>
        <v>60000</v>
      </c>
      <c r="I39" s="40">
        <f>IF($B$39="","",IFERROR(INDEX(tblParts[Annual cost],MATCH($B$39,tblParts[Part],0)),""))</f>
        <v>43524.5346869712</v>
      </c>
      <c r="J39" s="40">
        <f>IF($B$39="","",IFERROR(INDEX(tblParts[Annual margin],MATCH($B$39,tblParts[Part],0)),""))</f>
        <v>19475.4653130288</v>
      </c>
      <c r="K39" s="40">
        <f>IF($B$39="","",IFERROR(INDEX(tblParts[Annual scrap cost],MATCH($B$39,tblParts[Part],0)),""))</f>
        <v>652.868020304569</v>
      </c>
    </row>
    <row r="40" spans="2:11" x14ac:dyDescent="0.25">
      <c r="B40" s="53" t="str">
        <f>IFERROR(INDEX(tblParts[Part],10)&amp;"","")</f>
        <v>KT-500</v>
      </c>
      <c r="C40" s="36">
        <f>IF($B$40="","",IFERROR(INDEX(tblParts[Unit cost],MATCH($B$40,tblParts[Part],0)),""))</f>
        <v>12.6150753768844</v>
      </c>
      <c r="D40" s="36">
        <f>IF($B$40="","",IFERROR(INDEX(tblParts[Price],MATCH($B$40,tblParts[Part],0)),""))</f>
        <v>17.2</v>
      </c>
      <c r="E40" s="38">
        <f>IF($B$40="","",IFERROR(INDEX(tblParts[Margin],MATCH($B$40,tblParts[Part],0)),""))</f>
        <v>0.266565385064859</v>
      </c>
      <c r="F40" s="54">
        <f>TargetMargin</f>
        <v>0.25</v>
      </c>
      <c r="G40" s="39" t="str">
        <f>IF($B$40="","",IFERROR(INDEX(tblParts[Margin status],MATCH($B$40,tblParts[Part],0)),""))</f>
        <v>On target</v>
      </c>
      <c r="H40" s="40">
        <f>IF($B$40="","",IFERROR(INDEX(tblParts[Annual volume],MATCH($B$40,tblParts[Part],0)),""))</f>
        <v>3000</v>
      </c>
      <c r="I40" s="40">
        <f>IF($B$40="","",IFERROR(INDEX(tblParts[Annual cost],MATCH($B$40,tblParts[Part],0)),""))</f>
        <v>37845.2261306533</v>
      </c>
      <c r="J40" s="40">
        <f>IF($B$40="","",IFERROR(INDEX(tblParts[Annual margin],MATCH($B$40,tblParts[Part],0)),""))</f>
        <v>13754.7738693467</v>
      </c>
      <c r="K40" s="40">
        <f>IF($B$40="","",IFERROR(INDEX(tblParts[Annual scrap cost],MATCH($B$40,tblParts[Part],0)),""))</f>
        <v>189.226130653266</v>
      </c>
    </row>
    <row r="42" spans="2:11" x14ac:dyDescent="0.25">
      <c r="B42" s="31" t="s">
        <v>168</v>
      </c>
      <c r="C42" s="31"/>
      <c r="D42" s="31"/>
    </row>
    <row r="43" spans="2:11" ht="20" customHeight="1" x14ac:dyDescent="0.25">
      <c r="B43" s="52" t="s">
        <v>169</v>
      </c>
      <c r="C43" s="33" t="s">
        <v>113</v>
      </c>
      <c r="D43" s="33" t="s">
        <v>170</v>
      </c>
    </row>
    <row r="44" spans="2:11" ht="14" customHeight="1" x14ac:dyDescent="0.25">
      <c r="B44" s="32"/>
      <c r="C44" s="32" t="str">
        <f>Currency&amp;"/yr"</f>
        <v>USD/yr</v>
      </c>
      <c r="D44" s="32" t="s">
        <v>120</v>
      </c>
    </row>
    <row r="45" spans="2:11" x14ac:dyDescent="0.25">
      <c r="B45" s="53" t="s">
        <v>171</v>
      </c>
      <c r="C45" s="40">
        <f>CHOOSE(1,SUMPRODUCT(tblParts[Material],tblParts[Annual volume])+SUMPRODUCT(tblParts[Bought-in and packaging],tblParts[Annual volume]),SUMPRODUCT(tblParts[Labour],tblParts[Annual volume]),SUMPRODUCT(tblParts[Machine],tblParts[Annual volume]),SUMPRODUCT(tblParts[Setup],tblParts[Annual volume]),SUMPRODUCT(tblParts[Overhead],tblParts[Annual volume]),SUMPRODUCT(tblParts[Scrap allowance],tblParts[Annual volume]))</f>
        <v>217210</v>
      </c>
      <c r="D45" s="38">
        <f>IF((SUM($C$45:$C$50))=0,"",($C$45)/(SUM($C$45:$C$50)))</f>
        <v>0.365088576025574</v>
      </c>
    </row>
    <row r="46" spans="2:11" x14ac:dyDescent="0.25">
      <c r="B46" s="53" t="s">
        <v>105</v>
      </c>
      <c r="C46" s="40">
        <f>CHOOSE(2,SUMPRODUCT(tblParts[Material],tblParts[Annual volume])+SUMPRODUCT(tblParts[Bought-in and packaging],tblParts[Annual volume]),SUMPRODUCT(tblParts[Labour],tblParts[Annual volume]),SUMPRODUCT(tblParts[Machine],tblParts[Annual volume]),SUMPRODUCT(tblParts[Setup],tblParts[Annual volume]),SUMPRODUCT(tblParts[Overhead],tblParts[Annual volume]),SUMPRODUCT(tblParts[Scrap allowance],tblParts[Annual volume]))</f>
        <v>72191.4444444444</v>
      </c>
      <c r="D46" s="38">
        <f>IF((SUM($C$45:$C$50))=0,"",($C$46)/(SUM($C$45:$C$50)))</f>
        <v>0.121340047205246</v>
      </c>
    </row>
    <row r="47" spans="2:11" x14ac:dyDescent="0.25">
      <c r="B47" s="53" t="s">
        <v>106</v>
      </c>
      <c r="C47" s="40">
        <f>CHOOSE(3,SUMPRODUCT(tblParts[Material],tblParts[Annual volume])+SUMPRODUCT(tblParts[Bought-in and packaging],tblParts[Annual volume]),SUMPRODUCT(tblParts[Labour],tblParts[Annual volume]),SUMPRODUCT(tblParts[Machine],tblParts[Annual volume]),SUMPRODUCT(tblParts[Setup],tblParts[Annual volume]),SUMPRODUCT(tblParts[Overhead],tblParts[Annual volume]),SUMPRODUCT(tblParts[Scrap allowance],tblParts[Annual volume]))</f>
        <v>149515</v>
      </c>
      <c r="D47" s="38">
        <f>IF((SUM($C$45:$C$50))=0,"",($C$47)/(SUM($C$45:$C$50)))</f>
        <v>0.251306194210505</v>
      </c>
    </row>
    <row r="48" spans="2:11" x14ac:dyDescent="0.25">
      <c r="B48" s="53" t="s">
        <v>19</v>
      </c>
      <c r="C48" s="40">
        <f>CHOOSE(4,SUMPRODUCT(tblParts[Material],tblParts[Annual volume])+SUMPRODUCT(tblParts[Bought-in and packaging],tblParts[Annual volume]),SUMPRODUCT(tblParts[Labour],tblParts[Annual volume]),SUMPRODUCT(tblParts[Machine],tblParts[Annual volume]),SUMPRODUCT(tblParts[Setup],tblParts[Annual volume]),SUMPRODUCT(tblParts[Overhead],tblParts[Annual volume]),SUMPRODUCT(tblParts[Scrap allowance],tblParts[Annual volume]))</f>
        <v>52052.8333333333</v>
      </c>
      <c r="D48" s="38">
        <f>IF((SUM($C$45:$C$50))=0,"",($C$48)/(SUM($C$45:$C$50)))</f>
        <v>0.0874908834757296</v>
      </c>
    </row>
    <row r="49" spans="2:10" x14ac:dyDescent="0.25">
      <c r="B49" s="53" t="s">
        <v>107</v>
      </c>
      <c r="C49" s="40">
        <f>CHOOSE(5,SUMPRODUCT(tblParts[Material],tblParts[Annual volume])+SUMPRODUCT(tblParts[Bought-in and packaging],tblParts[Annual volume]),SUMPRODUCT(tblParts[Labour],tblParts[Annual volume]),SUMPRODUCT(tblParts[Machine],tblParts[Annual volume]),SUMPRODUCT(tblParts[Setup],tblParts[Annual volume]),SUMPRODUCT(tblParts[Overhead],tblParts[Annual volume]),SUMPRODUCT(tblParts[Scrap allowance],tblParts[Annual volume]))</f>
        <v>82127.7833333333</v>
      </c>
      <c r="D49" s="38">
        <f>IF((SUM($C$45:$C$50))=0,"",($C$49)/(SUM($C$45:$C$50)))</f>
        <v>0.138041137467444</v>
      </c>
    </row>
    <row r="50" spans="2:10" x14ac:dyDescent="0.25">
      <c r="B50" s="53" t="s">
        <v>109</v>
      </c>
      <c r="C50" s="40">
        <f>CHOOSE(6,SUMPRODUCT(tblParts[Material],tblParts[Annual volume])+SUMPRODUCT(tblParts[Bought-in and packaging],tblParts[Annual volume]),SUMPRODUCT(tblParts[Labour],tblParts[Annual volume]),SUMPRODUCT(tblParts[Machine],tblParts[Annual volume]),SUMPRODUCT(tblParts[Setup],tblParts[Annual volume]),SUMPRODUCT(tblParts[Overhead],tblParts[Annual volume]),SUMPRODUCT(tblParts[Scrap allowance],tblParts[Annual volume]))</f>
        <v>21854.4500114513</v>
      </c>
      <c r="D50" s="38">
        <f>IF((SUM($C$45:$C$50))=0,"",($C$50)/(SUM($C$45:$C$50)))</f>
        <v>0.0367331616155004</v>
      </c>
    </row>
    <row r="53" spans="2:10" x14ac:dyDescent="0.25">
      <c r="B53" s="31" t="s">
        <v>172</v>
      </c>
      <c r="C53" s="31"/>
      <c r="D53" s="31"/>
      <c r="E53" s="31"/>
      <c r="F53" s="31"/>
      <c r="G53" s="31"/>
      <c r="H53" s="31"/>
      <c r="I53" s="31"/>
      <c r="J53" s="31"/>
    </row>
    <row r="54" spans="2:10" ht="32" customHeight="1" x14ac:dyDescent="0.25">
      <c r="B54" s="52" t="s">
        <v>97</v>
      </c>
      <c r="C54" s="33" t="s">
        <v>171</v>
      </c>
      <c r="D54" s="33" t="s">
        <v>105</v>
      </c>
      <c r="E54" s="33" t="s">
        <v>106</v>
      </c>
      <c r="F54" s="33" t="s">
        <v>19</v>
      </c>
      <c r="G54" s="33" t="s">
        <v>107</v>
      </c>
      <c r="H54" s="33" t="s">
        <v>109</v>
      </c>
      <c r="I54" s="33" t="s">
        <v>110</v>
      </c>
      <c r="J54" s="33" t="s">
        <v>104</v>
      </c>
    </row>
    <row r="55" spans="2:10" ht="14" customHeight="1" x14ac:dyDescent="0.25">
      <c r="B55" s="32"/>
      <c r="C55" s="32" t="str">
        <f>Currency&amp;"/part"</f>
        <v>USD/part</v>
      </c>
      <c r="D55" s="32" t="str">
        <f>Currency&amp;"/part"</f>
        <v>USD/part</v>
      </c>
      <c r="E55" s="32" t="str">
        <f>Currency&amp;"/part"</f>
        <v>USD/part</v>
      </c>
      <c r="F55" s="32" t="str">
        <f>Currency&amp;"/part"</f>
        <v>USD/part</v>
      </c>
      <c r="G55" s="32" t="str">
        <f>Currency&amp;"/part"</f>
        <v>USD/part</v>
      </c>
      <c r="H55" s="32" t="str">
        <f>Currency&amp;"/part"</f>
        <v>USD/part</v>
      </c>
      <c r="I55" s="32" t="str">
        <f>Currency&amp;"/part"</f>
        <v>USD/part</v>
      </c>
      <c r="J55" s="32" t="str">
        <f>Currency&amp;"/part"</f>
        <v>USD/part</v>
      </c>
    </row>
    <row r="56" spans="2:10" x14ac:dyDescent="0.25">
      <c r="B56" s="53" t="str">
        <f>IFERROR(INDEX(tblParts[Part],1)&amp;"","")</f>
        <v>HF-101</v>
      </c>
      <c r="C56" s="36">
        <f>IF($B$56="","",IFERROR(INDEX(tblParts[Material],MATCH($B$56,tblParts[Part],0))+INDEX(tblParts[Bought-in and packaging],MATCH($B$56,tblParts[Part],0)),""))</f>
        <v>1.22</v>
      </c>
      <c r="D56" s="36">
        <f>IF($B$56="","",IFERROR(INDEX(tblParts[Labour],MATCH($B$56,tblParts[Part],0)),""))</f>
        <v>0.355111111111111</v>
      </c>
      <c r="E56" s="36">
        <f>IF($B$56="","",IFERROR(INDEX(tblParts[Machine],MATCH($B$56,tblParts[Part],0)),""))</f>
        <v>0.662777777777778</v>
      </c>
      <c r="F56" s="36">
        <f>IF($B$56="","",IFERROR(INDEX(tblParts[Setup],MATCH($B$56,tblParts[Part],0)),""))</f>
        <v>0.186</v>
      </c>
      <c r="G56" s="36">
        <f>IF($B$56="","",IFERROR(INDEX(tblParts[Overhead],MATCH($B$56,tblParts[Part],0)),""))</f>
        <v>0.361166666666667</v>
      </c>
      <c r="H56" s="36">
        <f>IF($B$56="","",IFERROR(INDEX(tblParts[Scrap allowance],MATCH($B$56,tblParts[Part],0)),""))</f>
        <v>0.0568378684807256</v>
      </c>
      <c r="I56" s="37">
        <f>IF($B$56="","",IFERROR(INDEX(tblParts[Unit cost],MATCH($B$56,tblParts[Part],0)),""))</f>
        <v>2.84189342403628</v>
      </c>
      <c r="J56" s="36">
        <f>IF($B$56="","",IFERROR(INDEX(tblParts[Price],MATCH($B$56,tblParts[Part],0)),""))</f>
        <v>4.1</v>
      </c>
    </row>
    <row r="57" spans="2:10" x14ac:dyDescent="0.25">
      <c r="B57" s="53" t="str">
        <f>IFERROR(INDEX(tblParts[Part],2)&amp;"","")</f>
        <v>HF-102</v>
      </c>
      <c r="C57" s="36">
        <f>IF($B$57="","",IFERROR(INDEX(tblParts[Material],MATCH($B$57,tblParts[Part],0))+INDEX(tblParts[Bought-in and packaging],MATCH($B$57,tblParts[Part],0)),""))</f>
        <v>1.59</v>
      </c>
      <c r="D57" s="36">
        <f>IF($B$57="","",IFERROR(INDEX(tblParts[Labour],MATCH($B$57,tblParts[Part],0)),""))</f>
        <v>0.657333333333333</v>
      </c>
      <c r="E57" s="36">
        <f>IF($B$57="","",IFERROR(INDEX(tblParts[Machine],MATCH($B$57,tblParts[Part],0)),""))</f>
        <v>1.34388888888889</v>
      </c>
      <c r="F57" s="36">
        <f>IF($B$57="","",IFERROR(INDEX(tblParts[Setup],MATCH($B$57,tblParts[Part],0)),""))</f>
        <v>0.50125</v>
      </c>
      <c r="G57" s="36">
        <f>IF($B$57="","",IFERROR(INDEX(tblParts[Overhead],MATCH($B$57,tblParts[Part],0)),""))</f>
        <v>0.750741666666667</v>
      </c>
      <c r="H57" s="36">
        <f>IF($B$57="","",IFERROR(INDEX(tblParts[Scrap allowance],MATCH($B$57,tblParts[Part],0)),""))</f>
        <v>0.149790120274914</v>
      </c>
      <c r="I57" s="37">
        <f>IF($B$57="","",IFERROR(INDEX(tblParts[Unit cost],MATCH($B$57,tblParts[Part],0)),""))</f>
        <v>4.9930040091638</v>
      </c>
      <c r="J57" s="36">
        <f>IF($B$57="","",IFERROR(INDEX(tblParts[Price],MATCH($B$57,tblParts[Part],0)),""))</f>
        <v>6.95</v>
      </c>
    </row>
    <row r="58" spans="2:10" x14ac:dyDescent="0.25">
      <c r="B58" s="53" t="str">
        <f>IFERROR(INDEX(tblParts[Part],3)&amp;"","")</f>
        <v>HF-205</v>
      </c>
      <c r="C58" s="36">
        <f>IF($B$58="","",IFERROR(INDEX(tblParts[Material],MATCH($B$58,tblParts[Part],0))+INDEX(tblParts[Bought-in and packaging],MATCH($B$58,tblParts[Part],0)),""))</f>
        <v>2.48</v>
      </c>
      <c r="D58" s="36">
        <f>IF($B$58="","",IFERROR(INDEX(tblParts[Labour],MATCH($B$58,tblParts[Part],0)),""))</f>
        <v>0.921777777777778</v>
      </c>
      <c r="E58" s="36">
        <f>IF($B$58="","",IFERROR(INDEX(tblParts[Machine],MATCH($B$58,tblParts[Part],0)),""))</f>
        <v>1.91444444444444</v>
      </c>
      <c r="F58" s="36">
        <f>IF($B$58="","",IFERROR(INDEX(tblParts[Setup],MATCH($B$58,tblParts[Part],0)),""))</f>
        <v>0.806666666666667</v>
      </c>
      <c r="G58" s="36">
        <f>IF($B$58="","",IFERROR(INDEX(tblParts[Overhead],MATCH($B$58,tblParts[Part],0)),""))</f>
        <v>1.09286666666667</v>
      </c>
      <c r="H58" s="36">
        <f>IF($B$58="","",IFERROR(INDEX(tblParts[Scrap allowance],MATCH($B$58,tblParts[Part],0)),""))</f>
        <v>0.261711341393207</v>
      </c>
      <c r="I58" s="37">
        <f>IF($B$58="","",IFERROR(INDEX(tblParts[Unit cost],MATCH($B$58,tblParts[Part],0)),""))</f>
        <v>7.47746689694876</v>
      </c>
      <c r="J58" s="36">
        <f>IF($B$58="","",IFERROR(INDEX(tblParts[Price],MATCH($B$58,tblParts[Part],0)),""))</f>
        <v>10.4</v>
      </c>
    </row>
    <row r="59" spans="2:10" x14ac:dyDescent="0.25">
      <c r="B59" s="53" t="str">
        <f>IFERROR(INDEX(tblParts[Part],4)&amp;"","")</f>
        <v>HF-130</v>
      </c>
      <c r="C59" s="36">
        <f>IF($B$59="","",IFERROR(INDEX(tblParts[Material],MATCH($B$59,tblParts[Part],0))+INDEX(tblParts[Bought-in and packaging],MATCH($B$59,tblParts[Part],0)),""))</f>
        <v>4.75</v>
      </c>
      <c r="D59" s="36">
        <f>IF($B$59="","",IFERROR(INDEX(tblParts[Labour],MATCH($B$59,tblParts[Part],0)),""))</f>
        <v>0.827333333333333</v>
      </c>
      <c r="E59" s="36">
        <f>IF($B$59="","",IFERROR(INDEX(tblParts[Machine],MATCH($B$59,tblParts[Part],0)),""))</f>
        <v>1.63388888888889</v>
      </c>
      <c r="F59" s="36">
        <f>IF($B$59="","",IFERROR(INDEX(tblParts[Setup],MATCH($B$59,tblParts[Part],0)),""))</f>
        <v>0.665</v>
      </c>
      <c r="G59" s="36">
        <f>IF($B$59="","",IFERROR(INDEX(tblParts[Overhead],MATCH($B$59,tblParts[Part],0)),""))</f>
        <v>0.937866666666667</v>
      </c>
      <c r="H59" s="36">
        <f>IF($B$59="","",IFERROR(INDEX(tblParts[Scrap allowance],MATCH($B$59,tblParts[Part],0)),""))</f>
        <v>0.272600687285223</v>
      </c>
      <c r="I59" s="37">
        <f>IF($B$59="","",IFERROR(INDEX(tblParts[Unit cost],MATCH($B$59,tblParts[Part],0)),""))</f>
        <v>9.08668957617411</v>
      </c>
      <c r="J59" s="36">
        <f>IF($B$59="","",IFERROR(INDEX(tblParts[Price],MATCH($B$59,tblParts[Part],0)),""))</f>
        <v>12</v>
      </c>
    </row>
    <row r="60" spans="2:10" x14ac:dyDescent="0.25">
      <c r="B60" s="53" t="str">
        <f>IFERROR(INDEX(tblParts[Part],5)&amp;"","")</f>
        <v>MB-310</v>
      </c>
      <c r="C60" s="36">
        <f>IF($B$60="","",IFERROR(INDEX(tblParts[Material],MATCH($B$60,tblParts[Part],0))+INDEX(tblParts[Bought-in and packaging],MATCH($B$60,tblParts[Part],0)),""))</f>
        <v>7.2</v>
      </c>
      <c r="D60" s="36">
        <f>IF($B$60="","",IFERROR(INDEX(tblParts[Labour],MATCH($B$60,tblParts[Part],0)),""))</f>
        <v>4.26888888888889</v>
      </c>
      <c r="E60" s="36">
        <f>IF($B$60="","",IFERROR(INDEX(tblParts[Machine],MATCH($B$60,tblParts[Part],0)),""))</f>
        <v>7.07777777777778</v>
      </c>
      <c r="F60" s="36">
        <f>IF($B$60="","",IFERROR(INDEX(tblParts[Setup],MATCH($B$60,tblParts[Part],0)),""))</f>
        <v>2.005</v>
      </c>
      <c r="G60" s="36">
        <f>IF($B$60="","",IFERROR(INDEX(tblParts[Overhead],MATCH($B$60,tblParts[Part],0)),""))</f>
        <v>4.0055</v>
      </c>
      <c r="H60" s="36">
        <f>IF($B$60="","",IFERROR(INDEX(tblParts[Scrap allowance],MATCH($B$60,tblParts[Part],0)),""))</f>
        <v>1.02321527777778</v>
      </c>
      <c r="I60" s="37">
        <f>IF($B$60="","",IFERROR(INDEX(tblParts[Unit cost],MATCH($B$60,tblParts[Part],0)),""))</f>
        <v>25.5803819444444</v>
      </c>
      <c r="J60" s="36">
        <f>IF($B$60="","",IFERROR(INDEX(tblParts[Price],MATCH($B$60,tblParts[Part],0)),""))</f>
        <v>36.5</v>
      </c>
    </row>
    <row r="61" spans="2:10" x14ac:dyDescent="0.25">
      <c r="B61" s="53" t="str">
        <f>IFERROR(INDEX(tblParts[Part],6)&amp;"","")</f>
        <v>MB-320</v>
      </c>
      <c r="C61" s="36">
        <f>IF($B$61="","",IFERROR(INDEX(tblParts[Material],MATCH($B$61,tblParts[Part],0))+INDEX(tblParts[Bought-in and packaging],MATCH($B$61,tblParts[Part],0)),""))</f>
        <v>9.8</v>
      </c>
      <c r="D61" s="36">
        <f>IF($B$61="","",IFERROR(INDEX(tblParts[Labour],MATCH($B$61,tblParts[Part],0)),""))</f>
        <v>7.14944444444445</v>
      </c>
      <c r="E61" s="36">
        <f>IF($B$61="","",IFERROR(INDEX(tblParts[Machine],MATCH($B$61,tblParts[Part],0)),""))</f>
        <v>21.5027777777778</v>
      </c>
      <c r="F61" s="36">
        <f>IF($B$61="","",IFERROR(INDEX(tblParts[Setup],MATCH($B$61,tblParts[Part],0)),""))</f>
        <v>7.03333333333333</v>
      </c>
      <c r="G61" s="36">
        <f>IF($B$61="","",IFERROR(INDEX(tblParts[Overhead],MATCH($B$61,tblParts[Part],0)),""))</f>
        <v>10.7056666666667</v>
      </c>
      <c r="H61" s="36">
        <f>IF($B$61="","",IFERROR(INDEX(tblParts[Scrap allowance],MATCH($B$61,tblParts[Part],0)),""))</f>
        <v>3.58667375886525</v>
      </c>
      <c r="I61" s="37">
        <f>IF($B$61="","",IFERROR(INDEX(tblParts[Unit cost],MATCH($B$61,tblParts[Part],0)),""))</f>
        <v>59.7778959810875</v>
      </c>
      <c r="J61" s="36">
        <f>IF($B$61="","",IFERROR(INDEX(tblParts[Price],MATCH($B$61,tblParts[Part],0)),""))</f>
        <v>68</v>
      </c>
    </row>
    <row r="62" spans="2:10" x14ac:dyDescent="0.25">
      <c r="B62" s="53" t="str">
        <f>IFERROR(INDEX(tblParts[Part],7)&amp;"","")</f>
        <v>VS-410</v>
      </c>
      <c r="C62" s="36">
        <f>IF($B$62="","",IFERROR(INDEX(tblParts[Material],MATCH($B$62,tblParts[Part],0))+INDEX(tblParts[Bought-in and packaging],MATCH($B$62,tblParts[Part],0)),""))</f>
        <v>2.1</v>
      </c>
      <c r="D62" s="36">
        <f>IF($B$62="","",IFERROR(INDEX(tblParts[Labour],MATCH($B$62,tblParts[Part],0)),""))</f>
        <v>1.90305555555556</v>
      </c>
      <c r="E62" s="36">
        <f>IF($B$62="","",IFERROR(INDEX(tblParts[Machine],MATCH($B$62,tblParts[Part],0)),""))</f>
        <v>3.42055555555556</v>
      </c>
      <c r="F62" s="36">
        <f>IF($B$62="","",IFERROR(INDEX(tblParts[Setup],MATCH($B$62,tblParts[Part],0)),""))</f>
        <v>1.066</v>
      </c>
      <c r="G62" s="36">
        <f>IF($B$62="","",IFERROR(INDEX(tblParts[Overhead],MATCH($B$62,tblParts[Part],0)),""))</f>
        <v>1.91688333333333</v>
      </c>
      <c r="H62" s="36">
        <f>IF($B$62="","",IFERROR(INDEX(tblParts[Scrap allowance],MATCH($B$62,tblParts[Part],0)),""))</f>
        <v>0.904912560386473</v>
      </c>
      <c r="I62" s="37">
        <f>IF($B$62="","",IFERROR(INDEX(tblParts[Unit cost],MATCH($B$62,tblParts[Part],0)),""))</f>
        <v>11.3114070048309</v>
      </c>
      <c r="J62" s="36">
        <f>IF($B$62="","",IFERROR(INDEX(tblParts[Price],MATCH($B$62,tblParts[Part],0)),""))</f>
        <v>13.9</v>
      </c>
    </row>
    <row r="63" spans="2:10" x14ac:dyDescent="0.25">
      <c r="B63" s="53" t="str">
        <f>IFERROR(INDEX(tblParts[Part],8)&amp;"","")</f>
        <v>FL-720</v>
      </c>
      <c r="C63" s="36">
        <f>IF($B$63="","",IFERROR(INDEX(tblParts[Material],MATCH($B$63,tblParts[Part],0))+INDEX(tblParts[Bought-in and packaging],MATCH($B$63,tblParts[Part],0)),""))</f>
        <v>3.5</v>
      </c>
      <c r="D63" s="36">
        <f>IF($B$63="","",IFERROR(INDEX(tblParts[Labour],MATCH($B$63,tblParts[Part],0)),""))</f>
        <v>1.15694444444444</v>
      </c>
      <c r="E63" s="36">
        <f>IF($B$63="","",IFERROR(INDEX(tblParts[Machine],MATCH($B$63,tblParts[Part],0)),""))</f>
        <v>2.38055555555556</v>
      </c>
      <c r="F63" s="36">
        <f>IF($B$63="","",IFERROR(INDEX(tblParts[Setup],MATCH($B$63,tblParts[Part],0)),""))</f>
        <v>1.60333333333333</v>
      </c>
      <c r="G63" s="36">
        <f>IF($B$63="","",IFERROR(INDEX(tblParts[Overhead],MATCH($B$63,tblParts[Part],0)),""))</f>
        <v>1.54225</v>
      </c>
      <c r="H63" s="36">
        <f>IF($B$63="","",IFERROR(INDEX(tblParts[Scrap allowance],MATCH($B$63,tblParts[Part],0)),""))</f>
        <v>0.261104700854701</v>
      </c>
      <c r="I63" s="37">
        <f>IF($B$63="","",IFERROR(INDEX(tblParts[Unit cost],MATCH($B$63,tblParts[Part],0)),""))</f>
        <v>10.444188034188</v>
      </c>
      <c r="J63" s="36">
        <f>IF($B$63="","",IFERROR(INDEX(tblParts[Price],MATCH($B$63,tblParts[Part],0)),""))</f>
        <v>14.5</v>
      </c>
    </row>
    <row r="64" spans="2:10" x14ac:dyDescent="0.25">
      <c r="B64" s="53" t="str">
        <f>IFERROR(INDEX(tblParts[Part],9)&amp;"","")</f>
        <v>PL-610</v>
      </c>
      <c r="C64" s="36">
        <f>IF($B$64="","",IFERROR(INDEX(tblParts[Material],MATCH($B$64,tblParts[Part],0))+INDEX(tblParts[Bought-in and packaging],MATCH($B$64,tblParts[Part],0)),""))</f>
        <v>0.4</v>
      </c>
      <c r="D64" s="36">
        <f>IF($B$64="","",IFERROR(INDEX(tblParts[Labour],MATCH($B$64,tblParts[Part],0)),""))</f>
        <v>0.0330555555555556</v>
      </c>
      <c r="E64" s="36">
        <f>IF($B$64="","",IFERROR(INDEX(tblParts[Machine],MATCH($B$64,tblParts[Part],0)),""))</f>
        <v>0.178888888888889</v>
      </c>
      <c r="F64" s="36">
        <f>IF($B$64="","",IFERROR(INDEX(tblParts[Setup],MATCH($B$64,tblParts[Part],0)),""))</f>
        <v>0.03</v>
      </c>
      <c r="G64" s="36">
        <f>IF($B$64="","",IFERROR(INDEX(tblParts[Overhead],MATCH($B$64,tblParts[Part],0)),""))</f>
        <v>0.0725833333333333</v>
      </c>
      <c r="H64" s="36">
        <f>IF($B$64="","",IFERROR(INDEX(tblParts[Scrap allowance],MATCH($B$64,tblParts[Part],0)),""))</f>
        <v>0.0108811336717428</v>
      </c>
      <c r="I64" s="37">
        <f>IF($B$64="","",IFERROR(INDEX(tblParts[Unit cost],MATCH($B$64,tblParts[Part],0)),""))</f>
        <v>0.725408911449521</v>
      </c>
      <c r="J64" s="36">
        <f>IF($B$64="","",IFERROR(INDEX(tblParts[Price],MATCH($B$64,tblParts[Part],0)),""))</f>
        <v>1.05</v>
      </c>
    </row>
    <row r="65" spans="2:12" x14ac:dyDescent="0.25">
      <c r="B65" s="53" t="str">
        <f>IFERROR(INDEX(tblParts[Part],10)&amp;"","")</f>
        <v>KT-500</v>
      </c>
      <c r="C65" s="36">
        <f>IF($B$65="","",IFERROR(INDEX(tblParts[Material],MATCH($B$65,tblParts[Part],0))+INDEX(tblParts[Bought-in and packaging],MATCH($B$65,tblParts[Part],0)),""))</f>
        <v>11.2</v>
      </c>
      <c r="D65" s="36">
        <f>IF($B$65="","",IFERROR(INDEX(tblParts[Labour],MATCH($B$65,tblParts[Part],0)),""))</f>
        <v>0.85</v>
      </c>
      <c r="E65" s="36">
        <f>IF($B$65="","",IFERROR(INDEX(tblParts[Machine],MATCH($B$65,tblParts[Part],0)),""))</f>
        <v>0.15</v>
      </c>
      <c r="F65" s="36">
        <f>IF($B$65="","",IFERROR(INDEX(tblParts[Setup],MATCH($B$65,tblParts[Part],0)),""))</f>
        <v>0.04</v>
      </c>
      <c r="G65" s="36">
        <f>IF($B$65="","",IFERROR(INDEX(tblParts[Overhead],MATCH($B$65,tblParts[Part],0)),""))</f>
        <v>0.312</v>
      </c>
      <c r="H65" s="36">
        <f>IF($B$65="","",IFERROR(INDEX(tblParts[Scrap allowance],MATCH($B$65,tblParts[Part],0)),""))</f>
        <v>0.0630753768844221</v>
      </c>
      <c r="I65" s="37">
        <f>IF($B$65="","",IFERROR(INDEX(tblParts[Unit cost],MATCH($B$65,tblParts[Part],0)),""))</f>
        <v>12.6150753768844</v>
      </c>
      <c r="J65" s="36">
        <f>IF($B$65="","",IFERROR(INDEX(tblParts[Price],MATCH($B$65,tblParts[Part],0)),""))</f>
        <v>17.2</v>
      </c>
    </row>
    <row r="66" spans="2:12" ht="8" customHeight="1" x14ac:dyDescent="0.25"/>
    <row r="67" spans="2:12" ht="26.76" customHeight="1" x14ac:dyDescent="0.25">
      <c r="B67" s="21" t="s">
        <v>173</v>
      </c>
      <c r="C67" s="21"/>
      <c r="D67" s="21"/>
      <c r="E67" s="21"/>
      <c r="F67" s="21"/>
      <c r="G67" s="21"/>
      <c r="H67" s="21"/>
      <c r="I67" s="21"/>
      <c r="J67" s="21"/>
      <c r="K67" s="21"/>
      <c r="L67" s="21"/>
    </row>
    <row r="68" spans="2:12" x14ac:dyDescent="0.25">
      <c r="B68" s="55">
        <f>IF(COUNTA(tblParts[Part])&gt;10,"Part Costs lists more than 10 parts: the charts and the By part table show the first 10.","")</f>
        <v/>
      </c>
      <c r="C68" s="55"/>
      <c r="D68" s="55"/>
      <c r="E68" s="55"/>
      <c r="F68" s="55"/>
      <c r="G68" s="55"/>
      <c r="H68" s="55"/>
      <c r="I68" s="55"/>
      <c r="J68" s="55"/>
      <c r="K68" s="55"/>
      <c r="L68" s="55"/>
    </row>
  </sheetData>
  <sheetProtection sheet="1" formatColumns="0" formatRows="0"/>
  <mergeCells count="24">
    <mergeCell ref="A1:L1"/>
    <mergeCell ref="B2:J2"/>
    <mergeCell ref="K2:L2"/>
    <mergeCell ref="B4:C4"/>
    <mergeCell ref="B5:C6"/>
    <mergeCell ref="B7:C7"/>
    <mergeCell ref="B8:C8"/>
    <mergeCell ref="D4:F4"/>
    <mergeCell ref="D5:F6"/>
    <mergeCell ref="D7:F7"/>
    <mergeCell ref="D8:F8"/>
    <mergeCell ref="G4:I4"/>
    <mergeCell ref="G5:I6"/>
    <mergeCell ref="G7:I7"/>
    <mergeCell ref="G8:I8"/>
    <mergeCell ref="J4:L4"/>
    <mergeCell ref="J5:L6"/>
    <mergeCell ref="J7:L7"/>
    <mergeCell ref="J8:L8"/>
    <mergeCell ref="B28:K28"/>
    <mergeCell ref="B42:D42"/>
    <mergeCell ref="B53:J53"/>
    <mergeCell ref="B67:L67"/>
    <mergeCell ref="B68:L68"/>
  </mergeCells>
  <conditionalFormatting sqref="B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45:D50">
    <cfRule type="dataBar" priority="45">
      <dataBar>
        <cfvo type="num" val="0"/>
        <cfvo type="max"/>
        <color rgb="FFA8BDF0"/>
      </dataBar>
      <extLst>
        <ext xmlns:x14="http://schemas.microsoft.com/office/spreadsheetml/2009/9/main" uri="{B025F937-C7B1-47D3-B67F-A62EFF666E3E}">
          <x14:id>{DA7ABA51-AAAA-BBBB-0005-000000000001}</x14:id>
        </ext>
      </extLst>
    </cfRule>
  </conditionalFormatting>
  <conditionalFormatting sqref="E31:E40">
    <cfRule type="expression" dxfId="3" priority="21" stopIfTrue="1">
      <formula>AND(ISNUMBER(E31),E31&gt;=(TargetMargin))</formula>
    </cfRule>
    <cfRule type="expression" dxfId="4" priority="22" stopIfTrue="1">
      <formula>AND(ISNUMBER(E31),E31&gt;=(TargetMargin)*(1-0.05))</formula>
    </cfRule>
    <cfRule type="expression" dxfId="5" priority="23">
      <formula>ISNUMBER(E31)</formula>
    </cfRule>
  </conditionalFormatting>
  <conditionalFormatting sqref="G31:G40">
    <cfRule type="cellIs" dxfId="0" priority="24" operator="equal">
      <formula>"On target"</formula>
    </cfRule>
    <cfRule type="cellIs" dxfId="0" priority="25" operator="equal">
      <formula>"PASS"</formula>
    </cfRule>
    <cfRule type="cellIs" dxfId="0" priority="26" operator="equal">
      <formula>"OK"</formula>
    </cfRule>
    <cfRule type="cellIs" dxfId="0" priority="27" operator="equal">
      <formula>"Within limits"</formula>
    </cfRule>
    <cfRule type="cellIs" dxfId="0" priority="28" operator="equal">
      <formula>"Under capacity"</formula>
    </cfRule>
    <cfRule type="cellIs" dxfId="0" priority="29" operator="equal">
      <formula>"Complete"</formula>
    </cfRule>
    <cfRule type="cellIs" dxfId="0" priority="30" operator="equal">
      <formula>"Yes"</formula>
    </cfRule>
    <cfRule type="cellIs" dxfId="1" priority="31" operator="equal">
      <formula>"Near target"</formula>
    </cfRule>
    <cfRule type="cellIs" dxfId="1" priority="32" operator="equal">
      <formula>"Check"</formula>
    </cfRule>
    <cfRule type="cellIs" dxfId="1" priority="33" operator="equal">
      <formula>"Due soon"</formula>
    </cfRule>
    <cfRule type="cellIs" dxfId="1" priority="34" operator="equal">
      <formula>"Near capacity"</formula>
    </cfRule>
    <cfRule type="cellIs" dxfId="1" priority="35" operator="equal">
      <formula>"In progress"</formula>
    </cfRule>
    <cfRule type="cellIs" dxfId="1" priority="36" operator="equal">
      <formula>"Partial"</formula>
    </cfRule>
    <cfRule type="cellIs" dxfId="2" priority="37" operator="equal">
      <formula>"Below target"</formula>
    </cfRule>
    <cfRule type="cellIs" dxfId="2" priority="38" operator="equal">
      <formula>"Above target"</formula>
    </cfRule>
    <cfRule type="cellIs" dxfId="2" priority="39" operator="equal">
      <formula>"FAIL"</formula>
    </cfRule>
    <cfRule type="cellIs" dxfId="2" priority="40" operator="equal">
      <formula>"Over capacity"</formula>
    </cfRule>
    <cfRule type="cellIs" dxfId="2" priority="41" operator="equal">
      <formula>"Overdue"</formula>
    </cfRule>
    <cfRule type="cellIs" dxfId="2" priority="42" operator="equal">
      <formula>"Out of limits"</formula>
    </cfRule>
    <cfRule type="cellIs" dxfId="2" priority="43" operator="equal">
      <formula>"No"</formula>
    </cfRule>
  </conditionalFormatting>
  <conditionalFormatting sqref="K31:K40">
    <cfRule type="dataBar" priority="44">
      <dataBar>
        <cfvo type="num" val="0"/>
        <cfvo type="max"/>
        <color rgb="FFA8BDF0"/>
      </dataBar>
      <extLst>
        <ext xmlns:x14="http://schemas.microsoft.com/office/spreadsheetml/2009/9/main" uri="{B025F937-C7B1-47D3-B67F-A62EFF666E3E}">
          <x14:id>{DA7ABA51-AAAA-BBBB-0005-000000000002}</x14:id>
        </ext>
      </extLst>
    </cfRule>
  </conditionalFormatting>
  <hyperlinks>
    <hyperlink ref="K2" r:id="rId1" tooltip="Free manufacturing calculators and templates"/>
  </hyperlinks>
  <pageMargins left="0.4" right="0.4" top="0.7" bottom="0.65" header="0.3" footer="0.3"/>
  <pageSetup fitToHeight="0" orientation="landscape"/>
  <headerFooter>
    <oddHeader>&amp;L&amp;8MFG Calcs - Unit Cost Spreadsheet&amp;R&amp;8&amp;A</oddHeader>
    <oddFooter>&amp;L&amp;8mfgcalcs.com - free manufacturing templates&amp;R&amp;8Page &amp;P of &amp;N</oddFooter>
  </headerFooter>
  <rowBreaks count="2" manualBreakCount="2">
    <brk id="27" max="16383" man="1"/>
    <brk id="52"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D45:D50</xm:sqref>
        </x14:conditionalFormatting>
        <x14:conditionalFormatting xmlns:xm="http://schemas.microsoft.com/office/excel/2006/main">
          <x14:cfRule type="dataBar" id="{DA7ABA51-AAAA-BBBB-0005-000000000002}">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K31:K40</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60"/>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174</v>
      </c>
      <c r="C4" s="8"/>
      <c r="D4" s="8"/>
    </row>
    <row r="5" spans="1:4" ht="5" customHeight="1"/>
    <row r="6" spans="1:4" ht="55.8" customHeight="1">
      <c r="B6" s="10" t="s">
        <v>175</v>
      </c>
      <c r="C6" s="10"/>
      <c r="D6" s="10"/>
    </row>
    <row r="8" spans="1:4" ht="21" customHeight="1">
      <c r="B8" s="8" t="s">
        <v>176</v>
      </c>
      <c r="C8" s="8"/>
      <c r="D8" s="8"/>
    </row>
    <row r="9" spans="1:4" ht="5" customHeight="1"/>
    <row r="10" spans="1:4" ht="20" customHeight="1">
      <c r="B10" s="52" t="s">
        <v>177</v>
      </c>
      <c r="C10" s="52" t="s">
        <v>178</v>
      </c>
      <c r="D10" s="33" t="s">
        <v>179</v>
      </c>
    </row>
    <row r="11" spans="1:4" ht="17.2" customHeight="1">
      <c r="B11" s="56" t="s">
        <v>180</v>
      </c>
      <c r="C11" s="57" t="s">
        <v>181</v>
      </c>
      <c r="D11" s="58" t="s">
        <v>182</v>
      </c>
    </row>
    <row r="12" spans="1:4" ht="30.4" customHeight="1">
      <c r="B12" s="56" t="s">
        <v>183</v>
      </c>
      <c r="C12" s="57" t="s">
        <v>184</v>
      </c>
      <c r="D12" s="58" t="s">
        <v>182</v>
      </c>
    </row>
    <row r="13" spans="1:4" ht="30.4" customHeight="1">
      <c r="B13" s="56" t="s">
        <v>185</v>
      </c>
      <c r="C13" s="57" t="s">
        <v>186</v>
      </c>
      <c r="D13" s="58" t="s">
        <v>187</v>
      </c>
    </row>
    <row r="14" spans="1:4" ht="30.4" customHeight="1">
      <c r="B14" s="56" t="s">
        <v>188</v>
      </c>
      <c r="C14" s="57" t="s">
        <v>189</v>
      </c>
      <c r="D14" s="58" t="s">
        <v>182</v>
      </c>
    </row>
    <row r="15" spans="1:4" ht="17.2" customHeight="1">
      <c r="B15" s="56" t="s">
        <v>190</v>
      </c>
      <c r="C15" s="57" t="s">
        <v>191</v>
      </c>
      <c r="D15" s="58" t="s">
        <v>182</v>
      </c>
    </row>
    <row r="16" spans="1:4" ht="17.2" customHeight="1">
      <c r="B16" s="56" t="s">
        <v>107</v>
      </c>
      <c r="C16" s="57" t="s">
        <v>192</v>
      </c>
      <c r="D16" s="58" t="s">
        <v>182</v>
      </c>
    </row>
    <row r="17" spans="2:4" ht="17.2" customHeight="1">
      <c r="B17" s="56" t="s">
        <v>108</v>
      </c>
      <c r="C17" s="57" t="s">
        <v>193</v>
      </c>
      <c r="D17" s="58" t="s">
        <v>182</v>
      </c>
    </row>
    <row r="18" spans="2:4" ht="30.4" customHeight="1">
      <c r="B18" s="56" t="s">
        <v>110</v>
      </c>
      <c r="C18" s="57" t="s">
        <v>194</v>
      </c>
      <c r="D18" s="58" t="s">
        <v>182</v>
      </c>
    </row>
    <row r="19" spans="2:4" ht="17.2" customHeight="1">
      <c r="B19" s="56" t="s">
        <v>109</v>
      </c>
      <c r="C19" s="57" t="s">
        <v>195</v>
      </c>
      <c r="D19" s="58" t="s">
        <v>182</v>
      </c>
    </row>
    <row r="20" spans="2:4" ht="30.4" customHeight="1">
      <c r="B20" s="56" t="s">
        <v>196</v>
      </c>
      <c r="C20" s="57" t="s">
        <v>197</v>
      </c>
      <c r="D20" s="58" t="s">
        <v>120</v>
      </c>
    </row>
    <row r="21" spans="2:4" ht="30.4" customHeight="1">
      <c r="B21" s="56" t="s">
        <v>198</v>
      </c>
      <c r="C21" s="57" t="s">
        <v>199</v>
      </c>
      <c r="D21" s="58" t="s">
        <v>200</v>
      </c>
    </row>
    <row r="22" spans="2:4" ht="30.4" customHeight="1">
      <c r="B22" s="56" t="s">
        <v>201</v>
      </c>
      <c r="C22" s="57" t="s">
        <v>202</v>
      </c>
      <c r="D22" s="58" t="s">
        <v>120</v>
      </c>
    </row>
    <row r="23" spans="2:4" ht="43.6" customHeight="1">
      <c r="B23" s="56" t="s">
        <v>203</v>
      </c>
      <c r="C23" s="57" t="s">
        <v>204</v>
      </c>
      <c r="D23" s="58" t="s">
        <v>200</v>
      </c>
    </row>
    <row r="25" spans="2:4" ht="21" customHeight="1">
      <c r="B25" s="8" t="s">
        <v>205</v>
      </c>
      <c r="C25" s="8"/>
      <c r="D25" s="8"/>
    </row>
    <row r="26" spans="2:4" ht="5" customHeight="1"/>
    <row r="27" spans="2:4" ht="29.4" customHeight="1">
      <c r="B27" s="26" t="s">
        <v>57</v>
      </c>
      <c r="C27" s="10" t="s">
        <v>206</v>
      </c>
      <c r="D27" s="10"/>
    </row>
    <row r="28" spans="2:4" ht="29.4" customHeight="1">
      <c r="B28" s="26" t="s">
        <v>57</v>
      </c>
      <c r="C28" s="10" t="s">
        <v>207</v>
      </c>
      <c r="D28" s="10"/>
    </row>
    <row r="29" spans="2:4" ht="29.4" customHeight="1">
      <c r="B29" s="26" t="s">
        <v>57</v>
      </c>
      <c r="C29" s="10" t="s">
        <v>208</v>
      </c>
      <c r="D29" s="10"/>
    </row>
    <row r="30" spans="2:4" ht="29.4" customHeight="1">
      <c r="B30" s="26" t="s">
        <v>57</v>
      </c>
      <c r="C30" s="10" t="s">
        <v>209</v>
      </c>
      <c r="D30" s="10"/>
    </row>
    <row r="32" spans="2:4" ht="21" customHeight="1">
      <c r="B32" s="8" t="s">
        <v>210</v>
      </c>
      <c r="C32" s="8"/>
      <c r="D32" s="8"/>
    </row>
    <row r="33" spans="2:4" ht="5" customHeight="1"/>
    <row r="34" spans="2:4" ht="29.4" customHeight="1">
      <c r="B34" s="26" t="s">
        <v>57</v>
      </c>
      <c r="C34" s="10" t="s">
        <v>211</v>
      </c>
      <c r="D34" s="10"/>
    </row>
    <row r="35" spans="2:4" ht="29.4" customHeight="1">
      <c r="B35" s="26" t="s">
        <v>57</v>
      </c>
      <c r="C35" s="10" t="s">
        <v>212</v>
      </c>
      <c r="D35" s="10"/>
    </row>
    <row r="36" spans="2:4" ht="29.4" customHeight="1">
      <c r="B36" s="26" t="s">
        <v>57</v>
      </c>
      <c r="C36" s="10" t="s">
        <v>213</v>
      </c>
      <c r="D36" s="10"/>
    </row>
    <row r="37" spans="2:4" ht="16.2" customHeight="1">
      <c r="B37" s="26" t="s">
        <v>57</v>
      </c>
      <c r="C37" s="10" t="s">
        <v>214</v>
      </c>
      <c r="D37" s="10"/>
    </row>
    <row r="39" spans="2:4" ht="21" customHeight="1">
      <c r="B39" s="8" t="s">
        <v>215</v>
      </c>
      <c r="C39" s="8"/>
      <c r="D39" s="8"/>
    </row>
    <row r="40" spans="2:4" ht="5" customHeight="1"/>
    <row r="41" spans="2:4" ht="82.2" customHeight="1">
      <c r="B41" s="10" t="s">
        <v>216</v>
      </c>
      <c r="C41" s="10"/>
      <c r="D41" s="10"/>
    </row>
    <row r="42" spans="2:4">
      <c r="B42" s="24" t="s">
        <v>217</v>
      </c>
      <c r="C42" s="24"/>
      <c r="D42" s="24"/>
    </row>
    <row r="44" spans="2:4" ht="21" customHeight="1">
      <c r="B44" s="8" t="s">
        <v>44</v>
      </c>
      <c r="C44" s="8"/>
      <c r="D44" s="8"/>
    </row>
    <row r="45" spans="2:4" ht="5" customHeight="1"/>
    <row r="46" spans="2:4" ht="42.6" customHeight="1">
      <c r="B46" s="10" t="s">
        <v>218</v>
      </c>
      <c r="C46" s="10"/>
      <c r="D46" s="10"/>
    </row>
    <row r="48" spans="2:4" ht="21" customHeight="1">
      <c r="B48" s="8" t="s">
        <v>219</v>
      </c>
      <c r="C48" s="8"/>
      <c r="D48" s="8"/>
    </row>
    <row r="49" spans="2:4" ht="5" customHeight="1"/>
    <row r="50" spans="2:4" ht="42.6" customHeight="1">
      <c r="B50" s="26" t="s">
        <v>57</v>
      </c>
      <c r="C50" s="10" t="s">
        <v>220</v>
      </c>
      <c r="D50" s="10"/>
    </row>
    <row r="51" spans="2:4" ht="29.4" customHeight="1">
      <c r="B51" s="26" t="s">
        <v>57</v>
      </c>
      <c r="C51" s="10" t="s">
        <v>221</v>
      </c>
      <c r="D51" s="10"/>
    </row>
    <row r="52" spans="2:4" ht="29.4" customHeight="1">
      <c r="B52" s="26" t="s">
        <v>57</v>
      </c>
      <c r="C52" s="10" t="s">
        <v>222</v>
      </c>
      <c r="D52" s="10"/>
    </row>
    <row r="53" spans="2:4">
      <c r="B53" s="21" t="s">
        <v>223</v>
      </c>
      <c r="C53" s="21"/>
      <c r="D53" s="21"/>
    </row>
    <row r="55" spans="2:4" ht="21" customHeight="1">
      <c r="B55" s="8" t="s">
        <v>224</v>
      </c>
      <c r="C55" s="8"/>
      <c r="D55" s="8"/>
    </row>
    <row r="56" spans="2:4" ht="5" customHeight="1"/>
    <row r="57" spans="2:4">
      <c r="B57" s="52" t="s">
        <v>52</v>
      </c>
      <c r="C57" s="52" t="s">
        <v>225</v>
      </c>
      <c r="D57" s="33" t="s">
        <v>226</v>
      </c>
    </row>
    <row r="58" spans="2:4" ht="16.2" customHeight="1">
      <c r="B58" s="59" t="s">
        <v>227</v>
      </c>
      <c r="C58" s="60" t="s">
        <v>228</v>
      </c>
      <c r="D58" s="61" t="s">
        <v>229</v>
      </c>
    </row>
    <row r="60" spans="2:4">
      <c r="B60" s="21" t="s">
        <v>63</v>
      </c>
      <c r="C60" s="21"/>
      <c r="D60" s="21"/>
    </row>
  </sheetData>
  <sheetProtection sheet="1" formatColumns="0" formatRows="0"/>
  <mergeCells count="27">
    <mergeCell ref="A1:D1"/>
    <mergeCell ref="B2:C2"/>
    <mergeCell ref="B4:D4"/>
    <mergeCell ref="B6:D6"/>
    <mergeCell ref="B8:D8"/>
    <mergeCell ref="B25:D25"/>
    <mergeCell ref="C27:D27"/>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B53:D53"/>
    <mergeCell ref="B55:D55"/>
    <mergeCell ref="B60:D60"/>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Unit Cost Spreadsheet&amp;R&amp;8&amp;A</oddHeader>
    <oddFooter>&amp;L&amp;8mfgcalcs.com - free manufacturing templates&amp;R&amp;8Page &amp;P of &amp;N</oddFooter>
  </headerFooter>
  <rowBreaks count="2" manualBreakCount="2">
    <brk id="24" max="16383" man="1"/>
    <brk id="52"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X52"/>
  <sheetViews>
    <sheetView showGridLines="0" workbookViewId="0"/>
  </sheetViews>
  <sheetFormatPr defaultRowHeight="15"/>
  <cols>
    <col min="1" max="1" width="2.7109375" customWidth="1"/>
    <col min="2" max="19" width="12.7109375" customWidth="1"/>
    <col min="20" max="22" width="10.7109375" customWidth="1"/>
    <col min="23" max="24" width="20.7109375" customWidth="1"/>
  </cols>
  <sheetData>
    <row r="1" spans="1:24" ht="30" customHeight="1">
      <c r="A1" s="1" t="s">
        <v>0</v>
      </c>
      <c r="B1" s="1"/>
      <c r="C1" s="1"/>
      <c r="D1" s="1"/>
      <c r="E1" s="1"/>
      <c r="F1" s="1"/>
      <c r="G1" s="1"/>
      <c r="H1" s="1"/>
      <c r="I1" s="1"/>
      <c r="J1" s="1"/>
      <c r="K1" s="1"/>
      <c r="L1" s="1"/>
      <c r="M1" s="1"/>
      <c r="N1" s="1"/>
      <c r="O1" s="1"/>
      <c r="P1" s="1"/>
      <c r="Q1" s="1"/>
      <c r="R1" s="1"/>
      <c r="S1" s="1"/>
      <c r="T1" s="1"/>
      <c r="U1" s="1"/>
      <c r="V1" s="1"/>
      <c r="W1" s="1"/>
      <c r="X1" s="1"/>
    </row>
    <row r="2" spans="1:24" ht="21" customHeight="1">
      <c r="B2" s="2" t="s">
        <v>30</v>
      </c>
      <c r="C2" s="2"/>
      <c r="D2" s="2"/>
      <c r="E2" s="2"/>
      <c r="F2" s="2"/>
      <c r="G2" s="2"/>
      <c r="H2" s="2"/>
      <c r="I2" s="2"/>
      <c r="J2" s="2"/>
      <c r="K2" s="2"/>
      <c r="L2" s="2"/>
      <c r="M2" s="2"/>
      <c r="N2" s="2"/>
      <c r="O2" s="2"/>
      <c r="P2" s="2"/>
      <c r="Q2" s="2"/>
      <c r="R2" s="2"/>
      <c r="S2" s="2"/>
      <c r="T2" s="2"/>
      <c r="U2" s="2"/>
      <c r="V2" s="2"/>
      <c r="W2" s="2"/>
      <c r="X2" s="3" t="s">
        <v>2</v>
      </c>
    </row>
    <row r="3" spans="1:24" ht="6" customHeight="1"/>
    <row r="4" spans="1:24" ht="30" customHeight="1">
      <c r="B4" s="62" t="s">
        <v>230</v>
      </c>
      <c r="C4" s="62"/>
      <c r="D4" s="22" t="str">
        <f>IF(COUNTIF($K$11:$K$29,"PASS")=19,"PASS","FAIL")</f>
        <v>PASS</v>
      </c>
      <c r="E4" s="22"/>
      <c r="F4" s="23" t="str">
        <f>COUNTIF($K$11:$K$29,"PASS")&amp;" of 19 checks pass"</f>
        <v>19 of 19 checks pass</v>
      </c>
      <c r="G4" s="23"/>
      <c r="H4" s="23"/>
      <c r="I4" s="23"/>
      <c r="J4" s="23"/>
    </row>
    <row r="6" spans="1:24" ht="29.4" customHeight="1">
      <c r="B6" s="10" t="s">
        <v>231</v>
      </c>
      <c r="C6" s="10"/>
      <c r="D6" s="10"/>
      <c r="E6" s="10"/>
      <c r="F6" s="10"/>
      <c r="G6" s="10"/>
      <c r="H6" s="10"/>
      <c r="I6" s="10"/>
      <c r="J6" s="10"/>
      <c r="K6" s="10"/>
      <c r="L6" s="10"/>
    </row>
    <row r="8" spans="1:24" ht="21" customHeight="1">
      <c r="B8" s="8" t="s">
        <v>232</v>
      </c>
      <c r="C8" s="8"/>
      <c r="D8" s="8"/>
      <c r="E8" s="8"/>
      <c r="F8" s="8"/>
      <c r="G8" s="8"/>
      <c r="H8" s="8"/>
      <c r="I8" s="8"/>
      <c r="J8" s="8"/>
      <c r="K8" s="8"/>
      <c r="L8" s="8"/>
    </row>
    <row r="9" spans="1:24" ht="5" customHeight="1"/>
    <row r="10" spans="1:24" ht="30" customHeight="1">
      <c r="B10" s="33" t="s">
        <v>233</v>
      </c>
      <c r="C10" s="52" t="s">
        <v>117</v>
      </c>
      <c r="D10" s="52"/>
      <c r="E10" s="52"/>
      <c r="F10" s="52"/>
      <c r="G10" s="33" t="s">
        <v>234</v>
      </c>
      <c r="H10" s="33" t="s">
        <v>235</v>
      </c>
      <c r="I10" s="33" t="s">
        <v>236</v>
      </c>
      <c r="J10" s="33" t="s">
        <v>237</v>
      </c>
      <c r="K10" s="33" t="s">
        <v>238</v>
      </c>
    </row>
    <row r="11" spans="1:24" ht="29.4" customHeight="1">
      <c r="B11" s="63">
        <v>1</v>
      </c>
      <c r="C11" s="60" t="s">
        <v>239</v>
      </c>
      <c r="D11" s="60"/>
      <c r="E11" s="60"/>
      <c r="F11" s="60"/>
      <c r="G11" s="64">
        <v>4.1425</v>
      </c>
      <c r="H11" s="43">
        <f>$N$50</f>
        <v>4.1425</v>
      </c>
      <c r="I11" s="65">
        <f>IF(AND(ISNUMBER($G$11),ISNUMBER($H$11)),ABS($H$11-$G$11),"")</f>
        <v>0</v>
      </c>
      <c r="J11" s="66">
        <v>1E-09</v>
      </c>
      <c r="K11" s="39" t="str">
        <f>IF(AND(ISNUMBER($G$11),ISNUMBER($H$11)),IF(ABS($H$11-$G$11)&lt;=$J$11,"PASS","FAIL"),"FAIL")</f>
        <v>PASS</v>
      </c>
    </row>
    <row r="12" spans="1:24" ht="16.2" customHeight="1">
      <c r="B12" s="63">
        <v>2</v>
      </c>
      <c r="C12" s="60" t="s">
        <v>240</v>
      </c>
      <c r="D12" s="60"/>
      <c r="E12" s="60"/>
      <c r="F12" s="60"/>
      <c r="G12" s="64">
        <v>4.270618556701031</v>
      </c>
      <c r="H12" s="43">
        <f>$P$50</f>
        <v>4.27061855670103</v>
      </c>
      <c r="I12" s="65">
        <f>IF(AND(ISNUMBER($G$12),ISNUMBER($H$12)),ABS($H$12-$G$12),"")</f>
        <v>0</v>
      </c>
      <c r="J12" s="66">
        <v>1E-09</v>
      </c>
      <c r="K12" s="39" t="str">
        <f>IF(AND(ISNUMBER($G$12),ISNUMBER($H$12)),IF(ABS($H$12-$G$12)&lt;=$J$12,"PASS","FAIL"),"FAIL")</f>
        <v>PASS</v>
      </c>
    </row>
    <row r="13" spans="1:24" ht="16.2" customHeight="1">
      <c r="B13" s="63">
        <v>3</v>
      </c>
      <c r="C13" s="60" t="s">
        <v>241</v>
      </c>
      <c r="D13" s="60"/>
      <c r="E13" s="60"/>
      <c r="F13" s="60"/>
      <c r="G13" s="64">
        <v>0.1281185567010308</v>
      </c>
      <c r="H13" s="43">
        <f>$O$50</f>
        <v>0.128118556701031</v>
      </c>
      <c r="I13" s="65">
        <f>IF(AND(ISNUMBER($G$13),ISNUMBER($H$13)),ABS($H$13-$G$13),"")</f>
        <v>0</v>
      </c>
      <c r="J13" s="66">
        <v>1E-09</v>
      </c>
      <c r="K13" s="39" t="str">
        <f>IF(AND(ISNUMBER($G$13),ISNUMBER($H$13)),IF(ABS($H$13-$G$13)&lt;=$J$13,"PASS","FAIL"),"FAIL")</f>
        <v>PASS</v>
      </c>
    </row>
    <row r="14" spans="1:24" ht="16.2" customHeight="1">
      <c r="B14" s="63">
        <v>4</v>
      </c>
      <c r="C14" s="60" t="s">
        <v>242</v>
      </c>
      <c r="D14" s="60"/>
      <c r="E14" s="60"/>
      <c r="F14" s="60"/>
      <c r="G14" s="54">
        <v>0.1458762886597938</v>
      </c>
      <c r="H14" s="38">
        <f>$Q$50</f>
        <v>0.145876288659794</v>
      </c>
      <c r="I14" s="65">
        <f>IF(AND(ISNUMBER($G$14),ISNUMBER($H$14)),ABS($H$14-$G$14),"")</f>
        <v>0</v>
      </c>
      <c r="J14" s="66">
        <v>1E-09</v>
      </c>
      <c r="K14" s="39" t="str">
        <f>IF(AND(ISNUMBER($G$14),ISNUMBER($H$14)),IF(ABS($H$14-$G$14)&lt;=$J$14,"PASS","FAIL"),"FAIL")</f>
        <v>PASS</v>
      </c>
    </row>
    <row r="15" spans="1:24" ht="16.2" customHeight="1">
      <c r="B15" s="63">
        <v>5</v>
      </c>
      <c r="C15" s="60" t="s">
        <v>243</v>
      </c>
      <c r="D15" s="60"/>
      <c r="E15" s="60"/>
      <c r="F15" s="60"/>
      <c r="G15" s="59" t="s">
        <v>244</v>
      </c>
      <c r="H15" s="67" t="str">
        <f>$R$50</f>
        <v>Below target</v>
      </c>
      <c r="I15" s="67"/>
      <c r="J15" s="61" t="s">
        <v>245</v>
      </c>
      <c r="K15" s="39" t="str">
        <f>IF($H$15&amp;""=$G$15&amp;"","PASS","FAIL")</f>
        <v>PASS</v>
      </c>
    </row>
    <row r="16" spans="1:24" ht="16.2" customHeight="1">
      <c r="B16" s="63">
        <v>6</v>
      </c>
      <c r="C16" s="60" t="s">
        <v>246</v>
      </c>
      <c r="D16" s="60"/>
      <c r="E16" s="60"/>
      <c r="F16" s="60"/>
      <c r="G16" s="64">
        <v>0.36</v>
      </c>
      <c r="H16" s="43">
        <f>$J$43</f>
        <v>0.36</v>
      </c>
      <c r="I16" s="65">
        <f>IF(AND(ISNUMBER($G$16),ISNUMBER($H$16)),ABS($H$16-$G$16),"")</f>
        <v>0</v>
      </c>
      <c r="J16" s="66">
        <v>1E-09</v>
      </c>
      <c r="K16" s="39" t="str">
        <f>IF(AND(ISNUMBER($G$16),ISNUMBER($H$16)),IF(ABS($H$16-$G$16)&lt;=$J$16,"PASS","FAIL"),"FAIL")</f>
        <v>PASS</v>
      </c>
    </row>
    <row r="17" spans="2:12" ht="16.2" customHeight="1">
      <c r="B17" s="63">
        <v>7</v>
      </c>
      <c r="C17" s="60" t="s">
        <v>247</v>
      </c>
      <c r="D17" s="60"/>
      <c r="E17" s="60"/>
      <c r="F17" s="60"/>
      <c r="G17" s="64">
        <v>1.666666666666667</v>
      </c>
      <c r="H17" s="43">
        <f>$K$43</f>
        <v>1.66666666666667</v>
      </c>
      <c r="I17" s="65">
        <f>IF(AND(ISNUMBER($G$17),ISNUMBER($H$17)),ABS($H$17-$G$17),"")</f>
        <v>0</v>
      </c>
      <c r="J17" s="66">
        <v>1E-09</v>
      </c>
      <c r="K17" s="39" t="str">
        <f>IF(AND(ISNUMBER($G$17),ISNUMBER($H$17)),IF(ABS($H$17-$G$17)&lt;=$J$17,"PASS","FAIL"),"FAIL")</f>
        <v>PASS</v>
      </c>
    </row>
    <row r="18" spans="2:12" ht="16.2" customHeight="1">
      <c r="B18" s="63">
        <v>8</v>
      </c>
      <c r="C18" s="60" t="s">
        <v>248</v>
      </c>
      <c r="D18" s="60"/>
      <c r="E18" s="60"/>
      <c r="F18" s="60"/>
      <c r="G18" s="68">
        <v>107.4</v>
      </c>
      <c r="H18" s="36">
        <f>$L$43</f>
        <v>107.4</v>
      </c>
      <c r="I18" s="65">
        <f>IF(AND(ISNUMBER($G$18),ISNUMBER($H$18)),ABS($H$18-$G$18),"")</f>
        <v>0</v>
      </c>
      <c r="J18" s="66">
        <v>1E-09</v>
      </c>
      <c r="K18" s="39" t="str">
        <f>IF(AND(ISNUMBER($G$18),ISNUMBER($H$18)),IF(ABS($H$18-$G$18)&lt;=$J$18,"PASS","FAIL"),"FAIL")</f>
        <v>PASS</v>
      </c>
    </row>
    <row r="19" spans="2:12" ht="16.2" customHeight="1">
      <c r="B19" s="63">
        <v>9</v>
      </c>
      <c r="C19" s="60" t="s">
        <v>249</v>
      </c>
      <c r="D19" s="60"/>
      <c r="E19" s="60"/>
      <c r="F19" s="60"/>
      <c r="G19" s="64">
        <v>0.54</v>
      </c>
      <c r="H19" s="43">
        <f>$J$51</f>
        <v>0.54</v>
      </c>
      <c r="I19" s="65">
        <f>IF(AND(ISNUMBER($G$19),ISNUMBER($H$19)),ABS($H$19-$G$19),"")</f>
        <v>0</v>
      </c>
      <c r="J19" s="66">
        <v>1E-09</v>
      </c>
      <c r="K19" s="39" t="str">
        <f>IF(AND(ISNUMBER($G$19),ISNUMBER($H$19)),IF(ABS($H$19-$G$19)&lt;=$J$19,"PASS","FAIL"),"FAIL")</f>
        <v>PASS</v>
      </c>
    </row>
    <row r="20" spans="2:12" ht="16.2" customHeight="1">
      <c r="B20" s="63">
        <v>10</v>
      </c>
      <c r="C20" s="60" t="s">
        <v>250</v>
      </c>
      <c r="D20" s="60"/>
      <c r="E20" s="60"/>
      <c r="F20" s="60"/>
      <c r="G20" s="64">
        <v>0.5369999999999999</v>
      </c>
      <c r="H20" s="43">
        <f>$L$51</f>
        <v>0.537</v>
      </c>
      <c r="I20" s="65">
        <f>IF(AND(ISNUMBER($G$20),ISNUMBER($H$20)),ABS($H$20-$G$20),"")</f>
        <v>0</v>
      </c>
      <c r="J20" s="66">
        <v>1E-09</v>
      </c>
      <c r="K20" s="39" t="str">
        <f>IF(AND(ISNUMBER($G$20),ISNUMBER($H$20)),IF(ABS($H$20-$G$20)&lt;=$J$20,"PASS","FAIL"),"FAIL")</f>
        <v>PASS</v>
      </c>
    </row>
    <row r="21" spans="2:12" ht="16.2" customHeight="1">
      <c r="B21" s="63">
        <v>11</v>
      </c>
      <c r="C21" s="60" t="s">
        <v>251</v>
      </c>
      <c r="D21" s="60"/>
      <c r="E21" s="60"/>
      <c r="F21" s="60"/>
      <c r="G21" s="64">
        <v>0.7275833333333334</v>
      </c>
      <c r="H21" s="43">
        <f>$M$51</f>
        <v>0.727583333333333</v>
      </c>
      <c r="I21" s="65">
        <f>IF(AND(ISNUMBER($G$21),ISNUMBER($H$21)),ABS($H$21-$G$21),"")</f>
        <v>0</v>
      </c>
      <c r="J21" s="66">
        <v>1E-09</v>
      </c>
      <c r="K21" s="39" t="str">
        <f>IF(AND(ISNUMBER($G$21),ISNUMBER($H$21)),IF(ABS($H$21-$G$21)&lt;=$J$21,"PASS","FAIL"),"FAIL")</f>
        <v>PASS</v>
      </c>
    </row>
    <row r="22" spans="2:12" ht="16.2" customHeight="1">
      <c r="B22" s="63">
        <v>12</v>
      </c>
      <c r="C22" s="60" t="s">
        <v>252</v>
      </c>
      <c r="D22" s="60"/>
      <c r="E22" s="60"/>
      <c r="F22" s="60"/>
      <c r="G22" s="64">
        <v>8.039912280701754</v>
      </c>
      <c r="H22" s="43">
        <f>$P$51</f>
        <v>8.03991228070175</v>
      </c>
      <c r="I22" s="65">
        <f>IF(AND(ISNUMBER($G$22),ISNUMBER($H$22)),ABS($H$22-$G$22),"")</f>
        <v>0</v>
      </c>
      <c r="J22" s="66">
        <v>1E-09</v>
      </c>
      <c r="K22" s="39" t="str">
        <f>IF(AND(ISNUMBER($G$22),ISNUMBER($H$22)),IF(ABS($H$22-$G$22)&lt;=$J$22,"PASS","FAIL"),"FAIL")</f>
        <v>PASS</v>
      </c>
    </row>
    <row r="23" spans="2:12" ht="16.2" customHeight="1">
      <c r="B23" s="63">
        <v>13</v>
      </c>
      <c r="C23" s="60" t="s">
        <v>253</v>
      </c>
      <c r="D23" s="60"/>
      <c r="E23" s="60"/>
      <c r="F23" s="60"/>
      <c r="G23" s="68">
        <v>19800.43859649123</v>
      </c>
      <c r="H23" s="36">
        <f>$U$51</f>
        <v>19800.4385964912</v>
      </c>
      <c r="I23" s="65">
        <f>IF(AND(ISNUMBER($G$23),ISNUMBER($H$23)),ABS($H$23-$G$23),"")</f>
        <v>0</v>
      </c>
      <c r="J23" s="66">
        <v>1E-09</v>
      </c>
      <c r="K23" s="39" t="str">
        <f>IF(AND(ISNUMBER($G$23),ISNUMBER($H$23)),IF(ABS($H$23-$G$23)&lt;=$J$23,"PASS","FAIL"),"FAIL")</f>
        <v>PASS</v>
      </c>
    </row>
    <row r="24" spans="2:12" ht="16.2" customHeight="1">
      <c r="B24" s="63">
        <v>14</v>
      </c>
      <c r="C24" s="60" t="s">
        <v>254</v>
      </c>
      <c r="D24" s="60"/>
      <c r="E24" s="60"/>
      <c r="F24" s="60"/>
      <c r="G24" s="68">
        <v>2009.97807017544</v>
      </c>
      <c r="H24" s="36">
        <f>$V$51</f>
        <v>2009.97807017544</v>
      </c>
      <c r="I24" s="65">
        <f>IF(AND(ISNUMBER($G$24),ISNUMBER($H$24)),ABS($H$24-$G$24),"")</f>
        <v>0</v>
      </c>
      <c r="J24" s="66">
        <v>1E-09</v>
      </c>
      <c r="K24" s="39" t="str">
        <f>IF(AND(ISNUMBER($G$24),ISNUMBER($H$24)),IF(ABS($H$24-$G$24)&lt;=$J$24,"PASS","FAIL"),"FAIL")</f>
        <v>PASS</v>
      </c>
    </row>
    <row r="25" spans="2:12" ht="16.2" customHeight="1">
      <c r="B25" s="63">
        <v>15</v>
      </c>
      <c r="C25" s="60" t="s">
        <v>255</v>
      </c>
      <c r="D25" s="60"/>
      <c r="E25" s="60"/>
      <c r="F25" s="60"/>
      <c r="G25" s="59" t="s">
        <v>256</v>
      </c>
      <c r="H25" s="67" t="str">
        <f>$M$45</f>
        <v>Work centre not on Setup list</v>
      </c>
      <c r="I25" s="67"/>
      <c r="J25" s="61" t="s">
        <v>245</v>
      </c>
      <c r="K25" s="39" t="str">
        <f>IF($H$25&amp;""=$G$25&amp;"","PASS","FAIL")</f>
        <v>PASS</v>
      </c>
    </row>
    <row r="26" spans="2:12" ht="16.2" customHeight="1">
      <c r="B26" s="63">
        <v>16</v>
      </c>
      <c r="C26" s="60" t="s">
        <v>257</v>
      </c>
      <c r="D26" s="60"/>
      <c r="E26" s="60"/>
      <c r="F26" s="60"/>
      <c r="G26" s="59" t="s">
        <v>258</v>
      </c>
      <c r="H26" s="67" t="str">
        <f>$W$52</f>
        <v>No operations for this part</v>
      </c>
      <c r="I26" s="67"/>
      <c r="J26" s="61" t="s">
        <v>245</v>
      </c>
      <c r="K26" s="39" t="str">
        <f>IF($H$26&amp;""=$G$26&amp;"","PASS","FAIL")</f>
        <v>PASS</v>
      </c>
    </row>
    <row r="27" spans="2:12" ht="16.2" customHeight="1">
      <c r="B27" s="63">
        <v>17</v>
      </c>
      <c r="C27" s="60" t="s">
        <v>259</v>
      </c>
      <c r="D27" s="60"/>
      <c r="E27" s="60"/>
      <c r="F27" s="60"/>
      <c r="G27" s="54">
        <v>0.2463113911770993</v>
      </c>
      <c r="H27" s="38">
        <f>IF((SUM(tblVerifyParts[Annual revenue]))=0,"",(SUM(tblVerifyParts[Annual margin]))/(SUM(tblVerifyParts[Annual revenue])))</f>
        <v>0.246311391177099</v>
      </c>
      <c r="I27" s="65">
        <f>IF(AND(ISNUMBER($G$27),ISNUMBER($H$27)),ABS($H$27-$G$27),"")</f>
        <v>0</v>
      </c>
      <c r="J27" s="66">
        <v>1E-09</v>
      </c>
      <c r="K27" s="39" t="str">
        <f>IF(AND(ISNUMBER($G$27),ISNUMBER($H$27)),IF(ABS($H$27-$G$27)&lt;=$J$27,"PASS","FAIL"),"FAIL")</f>
        <v>PASS</v>
      </c>
    </row>
    <row r="28" spans="2:12" ht="16.2" customHeight="1">
      <c r="B28" s="63">
        <v>18</v>
      </c>
      <c r="C28" s="60" t="s">
        <v>260</v>
      </c>
      <c r="D28" s="60"/>
      <c r="E28" s="60"/>
      <c r="F28" s="60"/>
      <c r="G28" s="68">
        <v>3291.163637185748</v>
      </c>
      <c r="H28" s="36">
        <f>SUM(tblVerifyParts[Annual scrap cost])</f>
        <v>3291.16363718575</v>
      </c>
      <c r="I28" s="65">
        <f>IF(AND(ISNUMBER($G$28),ISNUMBER($H$28)),ABS($H$28-$G$28),"")</f>
        <v>0</v>
      </c>
      <c r="J28" s="66">
        <v>1E-09</v>
      </c>
      <c r="K28" s="39" t="str">
        <f>IF(AND(ISNUMBER($G$28),ISNUMBER($H$28)),IF(ABS($H$28-$G$28)&lt;=$J$28,"PASS","FAIL"),"FAIL")</f>
        <v>PASS</v>
      </c>
    </row>
    <row r="29" spans="2:12" ht="16.2" customHeight="1">
      <c r="B29" s="63">
        <v>19</v>
      </c>
      <c r="C29" s="60" t="s">
        <v>261</v>
      </c>
      <c r="D29" s="60"/>
      <c r="E29" s="60"/>
      <c r="F29" s="60"/>
      <c r="G29" s="69">
        <v>1</v>
      </c>
      <c r="H29" s="40">
        <f>COUNTIF(tblVerifyParts[Margin status],"Below target")</f>
        <v>1</v>
      </c>
      <c r="I29" s="65">
        <f>IF(AND(ISNUMBER($G$29),ISNUMBER($H$29)),ABS($H$29-$G$29),"")</f>
        <v>0</v>
      </c>
      <c r="J29" s="66">
        <v>1E-09</v>
      </c>
      <c r="K29" s="39" t="str">
        <f>IF(AND(ISNUMBER($G$29),ISNUMBER($H$29)),IF(ABS($H$29-$G$29)&lt;=$J$29,"PASS","FAIL"),"FAIL")</f>
        <v>PASS</v>
      </c>
    </row>
    <row r="31" spans="2:12" ht="21" customHeight="1">
      <c r="B31" s="8" t="s">
        <v>262</v>
      </c>
      <c r="C31" s="8"/>
      <c r="D31" s="8"/>
      <c r="E31" s="8"/>
      <c r="F31" s="8"/>
      <c r="G31" s="8"/>
      <c r="H31" s="8"/>
      <c r="I31" s="8"/>
      <c r="J31" s="8"/>
      <c r="K31" s="8"/>
      <c r="L31" s="8"/>
    </row>
    <row r="32" spans="2:12" ht="5" customHeight="1"/>
    <row r="33" spans="2:24">
      <c r="B33" s="21" t="s">
        <v>263</v>
      </c>
      <c r="C33" s="21"/>
      <c r="D33" s="21"/>
      <c r="E33" s="21"/>
      <c r="F33" s="21"/>
      <c r="G33" s="21"/>
      <c r="H33" s="21"/>
      <c r="I33" s="21"/>
      <c r="J33" s="21"/>
      <c r="K33" s="21"/>
      <c r="L33" s="21"/>
    </row>
    <row r="34" spans="2:24">
      <c r="B34" s="31" t="s">
        <v>264</v>
      </c>
      <c r="C34" s="31"/>
      <c r="D34" s="31"/>
      <c r="E34" s="31"/>
      <c r="F34" s="31"/>
    </row>
    <row r="35" spans="2:24">
      <c r="B35" s="27" t="s">
        <v>265</v>
      </c>
      <c r="C35" s="27"/>
      <c r="D35" s="27"/>
      <c r="E35" s="68">
        <v>21.6</v>
      </c>
      <c r="F35" s="7"/>
    </row>
    <row r="36" spans="2:24">
      <c r="B36" s="27" t="s">
        <v>266</v>
      </c>
      <c r="C36" s="27"/>
      <c r="D36" s="27"/>
      <c r="E36" s="54">
        <v>0.25</v>
      </c>
      <c r="F36" s="7"/>
    </row>
    <row r="37" spans="2:24">
      <c r="B37" s="27" t="s">
        <v>167</v>
      </c>
      <c r="C37" s="27"/>
      <c r="D37" s="27"/>
      <c r="E37" s="54">
        <v>0.25</v>
      </c>
      <c r="F37" s="7"/>
    </row>
    <row r="39" spans="2:24">
      <c r="B39" s="31" t="s">
        <v>267</v>
      </c>
      <c r="C39" s="31"/>
      <c r="D39" s="31"/>
      <c r="E39" s="31"/>
      <c r="F39" s="31"/>
      <c r="G39" s="31"/>
      <c r="H39" s="31"/>
      <c r="I39" s="31"/>
      <c r="J39" s="31"/>
      <c r="K39" s="31"/>
      <c r="L39" s="31"/>
    </row>
    <row r="40" spans="2:24" ht="14" customHeight="1">
      <c r="B40" s="32"/>
      <c r="C40" s="32"/>
      <c r="D40" s="32"/>
      <c r="E40" s="32"/>
      <c r="F40" s="32"/>
      <c r="G40" s="32"/>
      <c r="H40" s="32"/>
      <c r="I40" s="32" t="str">
        <f>Currency&amp;"/h"</f>
        <v>USD/h</v>
      </c>
      <c r="J40" s="32" t="str">
        <f>Currency&amp;"/part"</f>
        <v>USD/part</v>
      </c>
      <c r="K40" s="32" t="str">
        <f>Currency&amp;"/part"</f>
        <v>USD/part</v>
      </c>
      <c r="L40" s="32" t="str">
        <f>Currency&amp;"/batch"</f>
        <v>USD/batch</v>
      </c>
      <c r="M40" s="32"/>
      <c r="N40" s="32"/>
    </row>
    <row r="41" spans="2:24" ht="45.5" customHeight="1">
      <c r="B41" s="33" t="s">
        <v>97</v>
      </c>
      <c r="C41" s="33" t="s">
        <v>143</v>
      </c>
      <c r="D41" s="33" t="s">
        <v>144</v>
      </c>
      <c r="E41" s="33" t="s">
        <v>64</v>
      </c>
      <c r="F41" s="33" t="s">
        <v>145</v>
      </c>
      <c r="G41" s="33" t="s">
        <v>146</v>
      </c>
      <c r="H41" s="33" t="s">
        <v>147</v>
      </c>
      <c r="I41" s="33" t="s">
        <v>65</v>
      </c>
      <c r="J41" s="33" t="s">
        <v>105</v>
      </c>
      <c r="K41" s="33" t="s">
        <v>106</v>
      </c>
      <c r="L41" s="33" t="s">
        <v>148</v>
      </c>
      <c r="M41" s="33" t="s">
        <v>117</v>
      </c>
      <c r="N41" s="33" t="s">
        <v>66</v>
      </c>
    </row>
    <row r="42" spans="2:24">
      <c r="B42" s="59" t="s">
        <v>268</v>
      </c>
      <c r="C42" s="69">
        <v>10</v>
      </c>
      <c r="D42" s="59" t="s">
        <v>269</v>
      </c>
      <c r="E42" s="59" t="s">
        <v>270</v>
      </c>
      <c r="F42" s="68">
        <v>2</v>
      </c>
      <c r="G42" s="70">
        <v>45</v>
      </c>
      <c r="H42" s="68">
        <v>0</v>
      </c>
      <c r="I42" s="68">
        <v>74.40000000000001</v>
      </c>
      <c r="J42" s="43">
        <f>IF(tblVerifyOps[[#This Row],[Part]]="","",IF(tblVerifyOps[[#This Row],[Machine rate]]="","",tblVerifyOps[[#This Row],[Cycle (s/part)]]/3600*tblVerifyOps[[#This Row],[Operators (per machine)]]*$E$35))</f>
        <v>0</v>
      </c>
      <c r="K42" s="43">
        <f>IF(tblVerifyOps[[#This Row],[Part]]="","",IF(tblVerifyOps[[#This Row],[Machine rate]]="","",tblVerifyOps[[#This Row],[Cycle (s/part)]]/3600*tblVerifyOps[[#This Row],[Machine rate]]))</f>
        <v>0.93</v>
      </c>
      <c r="L42" s="36">
        <f>IF(tblVerifyOps[[#This Row],[Part]]="","",IF(tblVerifyOps[[#This Row],[Machine rate]]="","",tblVerifyOps[[#This Row],[Setup (h/batch)]]*(tblVerifyOps[[#This Row],[Machine rate]]+$E$35)))</f>
        <v>192</v>
      </c>
      <c r="M42" s="41" t="str">
        <f>IF(tblVerifyOps[[#This Row],[Part]]="","",IF(tblVerifyOps[[#This Row],[Work centre]]="","Missing work centre",IF(tblVerifyOps[[#This Row],[Cycle (s/part)]]="","Missing cycle",IF(tblVerifyOps[[#This Row],[Operators (per machine)]]="","Missing operators",IF(tblVerifyOps[[#This Row],[Machine rate]]="","Work centre not on Setup list",IF(COUNTIF(tblVerifyParts[Part],tblVerifyOps[[#This Row],[Part]])=0,"Part not on Part Costs",IF(COUNTIFS(tblVerifyOps[Part],tblVerifyOps[[#This Row],[Part]],tblVerifyOps[Op],tblVerifyOps[[#This Row],[Op]])&gt;1,"Duplicate operation number","OK")))))))</f>
        <v>OK</v>
      </c>
      <c r="N42" s="59" t="s">
        <v>88</v>
      </c>
    </row>
    <row r="43" spans="2:24">
      <c r="B43" s="59" t="s">
        <v>271</v>
      </c>
      <c r="C43" s="69">
        <v>10</v>
      </c>
      <c r="D43" s="59" t="s">
        <v>151</v>
      </c>
      <c r="E43" s="59" t="s">
        <v>272</v>
      </c>
      <c r="F43" s="68">
        <v>1.5</v>
      </c>
      <c r="G43" s="70">
        <v>120</v>
      </c>
      <c r="H43" s="68">
        <v>0.5</v>
      </c>
      <c r="I43" s="68">
        <v>50</v>
      </c>
      <c r="J43" s="43">
        <f>IF(tblVerifyOps[[#This Row],[Part]]="","",IF(tblVerifyOps[[#This Row],[Machine rate]]="","",tblVerifyOps[[#This Row],[Cycle (s/part)]]/3600*tblVerifyOps[[#This Row],[Operators (per machine)]]*$E$35))</f>
        <v>0.36</v>
      </c>
      <c r="K43" s="43">
        <f>IF(tblVerifyOps[[#This Row],[Part]]="","",IF(tblVerifyOps[[#This Row],[Machine rate]]="","",tblVerifyOps[[#This Row],[Cycle (s/part)]]/3600*tblVerifyOps[[#This Row],[Machine rate]]))</f>
        <v>1.66666666666667</v>
      </c>
      <c r="L43" s="36">
        <f>IF(tblVerifyOps[[#This Row],[Part]]="","",IF(tblVerifyOps[[#This Row],[Machine rate]]="","",tblVerifyOps[[#This Row],[Setup (h/batch)]]*(tblVerifyOps[[#This Row],[Machine rate]]+$E$35)))</f>
        <v>107.4</v>
      </c>
      <c r="M43" s="41" t="str">
        <f>IF(tblVerifyOps[[#This Row],[Part]]="","",IF(tblVerifyOps[[#This Row],[Work centre]]="","Missing work centre",IF(tblVerifyOps[[#This Row],[Cycle (s/part)]]="","Missing cycle",IF(tblVerifyOps[[#This Row],[Operators (per machine)]]="","Missing operators",IF(tblVerifyOps[[#This Row],[Machine rate]]="","Work centre not on Setup list",IF(COUNTIF(tblVerifyParts[Part],tblVerifyOps[[#This Row],[Part]])=0,"Part not on Part Costs",IF(COUNTIFS(tblVerifyOps[Part],tblVerifyOps[[#This Row],[Part]],tblVerifyOps[Op],tblVerifyOps[[#This Row],[Op]])&gt;1,"Duplicate operation number","OK")))))))</f>
        <v>OK</v>
      </c>
      <c r="N43" s="59" t="s">
        <v>88</v>
      </c>
    </row>
    <row r="44" spans="2:24">
      <c r="B44" s="59" t="s">
        <v>271</v>
      </c>
      <c r="C44" s="69">
        <v>20</v>
      </c>
      <c r="D44" s="59" t="s">
        <v>152</v>
      </c>
      <c r="E44" s="59" t="s">
        <v>273</v>
      </c>
      <c r="F44" s="68">
        <v>0</v>
      </c>
      <c r="G44" s="70">
        <v>30</v>
      </c>
      <c r="H44" s="68">
        <v>1</v>
      </c>
      <c r="I44" s="68">
        <v>20</v>
      </c>
      <c r="J44" s="43">
        <f>IF(tblVerifyOps[[#This Row],[Part]]="","",IF(tblVerifyOps[[#This Row],[Machine rate]]="","",tblVerifyOps[[#This Row],[Cycle (s/part)]]/3600*tblVerifyOps[[#This Row],[Operators (per machine)]]*$E$35))</f>
        <v>0.18</v>
      </c>
      <c r="K44" s="43">
        <f>IF(tblVerifyOps[[#This Row],[Part]]="","",IF(tblVerifyOps[[#This Row],[Machine rate]]="","",tblVerifyOps[[#This Row],[Cycle (s/part)]]/3600*tblVerifyOps[[#This Row],[Machine rate]]))</f>
        <v>0.166666666666667</v>
      </c>
      <c r="L44" s="36">
        <f>IF(tblVerifyOps[[#This Row],[Part]]="","",IF(tblVerifyOps[[#This Row],[Machine rate]]="","",tblVerifyOps[[#This Row],[Setup (h/batch)]]*(tblVerifyOps[[#This Row],[Machine rate]]+$E$35)))</f>
        <v>0</v>
      </c>
      <c r="M44" s="41" t="str">
        <f>IF(tblVerifyOps[[#This Row],[Part]]="","",IF(tblVerifyOps[[#This Row],[Work centre]]="","Missing work centre",IF(tblVerifyOps[[#This Row],[Cycle (s/part)]]="","Missing cycle",IF(tblVerifyOps[[#This Row],[Operators (per machine)]]="","Missing operators",IF(tblVerifyOps[[#This Row],[Machine rate]]="","Work centre not on Setup list",IF(COUNTIF(tblVerifyParts[Part],tblVerifyOps[[#This Row],[Part]])=0,"Part not on Part Costs",IF(COUNTIFS(tblVerifyOps[Part],tblVerifyOps[[#This Row],[Part]],tblVerifyOps[Op],tblVerifyOps[[#This Row],[Op]])&gt;1,"Duplicate operation number","OK")))))))</f>
        <v>OK</v>
      </c>
      <c r="N44" s="59" t="s">
        <v>88</v>
      </c>
    </row>
    <row r="45" spans="2:24">
      <c r="B45" s="59" t="s">
        <v>271</v>
      </c>
      <c r="C45" s="69">
        <v>30</v>
      </c>
      <c r="D45" s="59" t="s">
        <v>274</v>
      </c>
      <c r="E45" s="59" t="s">
        <v>275</v>
      </c>
      <c r="F45" s="68">
        <v>0</v>
      </c>
      <c r="G45" s="70">
        <v>10</v>
      </c>
      <c r="H45" s="68">
        <v>1</v>
      </c>
      <c r="I45" s="68" t="s">
        <v>88</v>
      </c>
      <c r="J45" s="43">
        <f>IF(tblVerifyOps[[#This Row],[Part]]="","",IF(tblVerifyOps[[#This Row],[Machine rate]]="","",tblVerifyOps[[#This Row],[Cycle (s/part)]]/3600*tblVerifyOps[[#This Row],[Operators (per machine)]]*$E$35))</f>
        <v/>
      </c>
      <c r="K45" s="43">
        <f>IF(tblVerifyOps[[#This Row],[Part]]="","",IF(tblVerifyOps[[#This Row],[Machine rate]]="","",tblVerifyOps[[#This Row],[Cycle (s/part)]]/3600*tblVerifyOps[[#This Row],[Machine rate]]))</f>
        <v/>
      </c>
      <c r="L45" s="36">
        <f>IF(tblVerifyOps[[#This Row],[Part]]="","",IF(tblVerifyOps[[#This Row],[Machine rate]]="","",tblVerifyOps[[#This Row],[Setup (h/batch)]]*(tblVerifyOps[[#This Row],[Machine rate]]+$E$35)))</f>
        <v/>
      </c>
      <c r="M45" s="41" t="str">
        <f>IF(tblVerifyOps[[#This Row],[Part]]="","",IF(tblVerifyOps[[#This Row],[Work centre]]="","Missing work centre",IF(tblVerifyOps[[#This Row],[Cycle (s/part)]]="","Missing cycle",IF(tblVerifyOps[[#This Row],[Operators (per machine)]]="","Missing operators",IF(tblVerifyOps[[#This Row],[Machine rate]]="","Work centre not on Setup list",IF(COUNTIF(tblVerifyParts[Part],tblVerifyOps[[#This Row],[Part]])=0,"Part not on Part Costs",IF(COUNTIFS(tblVerifyOps[Part],tblVerifyOps[[#This Row],[Part]],tblVerifyOps[Op],tblVerifyOps[[#This Row],[Op]])&gt;1,"Duplicate operation number","OK")))))))</f>
        <v>Work centre not on Setup list</v>
      </c>
      <c r="N45" s="59" t="s">
        <v>276</v>
      </c>
    </row>
    <row r="47" spans="2:24">
      <c r="B47" s="31" t="s">
        <v>277</v>
      </c>
      <c r="C47" s="31"/>
      <c r="D47" s="31"/>
      <c r="E47" s="31"/>
      <c r="F47" s="31"/>
      <c r="G47" s="31"/>
      <c r="H47" s="31"/>
      <c r="I47" s="31"/>
      <c r="J47" s="31"/>
      <c r="K47" s="31"/>
      <c r="L47" s="31"/>
    </row>
    <row r="48" spans="2:24" ht="14" customHeight="1">
      <c r="B48" s="32"/>
      <c r="C48" s="32"/>
      <c r="D48" s="32" t="str">
        <f>Currency&amp;"/part"</f>
        <v>USD/part</v>
      </c>
      <c r="E48" s="32" t="str">
        <f>Currency&amp;"/part"</f>
        <v>USD/part</v>
      </c>
      <c r="F48" s="32" t="s">
        <v>119</v>
      </c>
      <c r="G48" s="32" t="s">
        <v>120</v>
      </c>
      <c r="H48" s="32" t="s">
        <v>121</v>
      </c>
      <c r="I48" s="32" t="str">
        <f>Currency&amp;"/part"</f>
        <v>USD/part</v>
      </c>
      <c r="J48" s="32" t="str">
        <f>Currency&amp;"/part"</f>
        <v>USD/part</v>
      </c>
      <c r="K48" s="32" t="str">
        <f>Currency&amp;"/part"</f>
        <v>USD/part</v>
      </c>
      <c r="L48" s="32" t="str">
        <f>Currency&amp;"/part"</f>
        <v>USD/part</v>
      </c>
      <c r="M48" s="32" t="str">
        <f>Currency&amp;"/part"</f>
        <v>USD/part</v>
      </c>
      <c r="N48" s="32" t="str">
        <f>Currency&amp;"/part"</f>
        <v>USD/part</v>
      </c>
      <c r="O48" s="32" t="str">
        <f>Currency&amp;"/part"</f>
        <v>USD/part</v>
      </c>
      <c r="P48" s="32" t="str">
        <f>Currency&amp;"/good part"</f>
        <v>USD/good part</v>
      </c>
      <c r="Q48" s="32" t="s">
        <v>122</v>
      </c>
      <c r="R48" s="32"/>
      <c r="S48" s="32" t="str">
        <f>Currency&amp;"/yr"</f>
        <v>USD/yr</v>
      </c>
      <c r="T48" s="32" t="str">
        <f>Currency&amp;"/yr"</f>
        <v>USD/yr</v>
      </c>
      <c r="U48" s="32" t="str">
        <f>Currency&amp;"/yr"</f>
        <v>USD/yr</v>
      </c>
      <c r="V48" s="32" t="str">
        <f>Currency&amp;"/yr"</f>
        <v>USD/yr</v>
      </c>
      <c r="W48" s="32"/>
      <c r="X48" s="32"/>
    </row>
    <row r="49" spans="2:24" ht="32" customHeight="1">
      <c r="B49" s="33" t="s">
        <v>97</v>
      </c>
      <c r="C49" s="33" t="s">
        <v>98</v>
      </c>
      <c r="D49" s="33" t="s">
        <v>99</v>
      </c>
      <c r="E49" s="33" t="s">
        <v>100</v>
      </c>
      <c r="F49" s="33" t="s">
        <v>101</v>
      </c>
      <c r="G49" s="33" t="s">
        <v>102</v>
      </c>
      <c r="H49" s="33" t="s">
        <v>103</v>
      </c>
      <c r="I49" s="33" t="s">
        <v>104</v>
      </c>
      <c r="J49" s="33" t="s">
        <v>105</v>
      </c>
      <c r="K49" s="33" t="s">
        <v>106</v>
      </c>
      <c r="L49" s="33" t="s">
        <v>19</v>
      </c>
      <c r="M49" s="33" t="s">
        <v>107</v>
      </c>
      <c r="N49" s="33" t="s">
        <v>108</v>
      </c>
      <c r="O49" s="33" t="s">
        <v>109</v>
      </c>
      <c r="P49" s="33" t="s">
        <v>110</v>
      </c>
      <c r="Q49" s="33" t="s">
        <v>111</v>
      </c>
      <c r="R49" s="33" t="s">
        <v>112</v>
      </c>
      <c r="S49" s="33" t="s">
        <v>113</v>
      </c>
      <c r="T49" s="33" t="s">
        <v>114</v>
      </c>
      <c r="U49" s="33" t="s">
        <v>115</v>
      </c>
      <c r="V49" s="33" t="s">
        <v>116</v>
      </c>
      <c r="W49" s="33" t="s">
        <v>117</v>
      </c>
      <c r="X49" s="33" t="s">
        <v>66</v>
      </c>
    </row>
    <row r="50" spans="2:24">
      <c r="B50" s="59" t="s">
        <v>268</v>
      </c>
      <c r="C50" s="59" t="s">
        <v>269</v>
      </c>
      <c r="D50" s="68">
        <v>2.5</v>
      </c>
      <c r="E50" s="68">
        <v>0</v>
      </c>
      <c r="F50" s="69">
        <v>500</v>
      </c>
      <c r="G50" s="54">
        <v>0.03</v>
      </c>
      <c r="H50" s="69">
        <v>10000</v>
      </c>
      <c r="I50" s="68">
        <v>5</v>
      </c>
      <c r="J50" s="36">
        <f>IF(tblVerifyParts[[#This Row],[Part]]="","",SUMIFS(tblVerifyOps[Labour],tblVerifyOps[Part],tblVerifyParts[[#This Row],[Part]]))</f>
        <v>0</v>
      </c>
      <c r="K50" s="36">
        <f>IF(tblVerifyParts[[#This Row],[Part]]="","",SUMIFS(tblVerifyOps[Machine],tblVerifyOps[Part],tblVerifyParts[[#This Row],[Part]]))</f>
        <v>0.93</v>
      </c>
      <c r="L50" s="36">
        <f>IF(tblVerifyParts[[#This Row],[Part]]="","",IF(tblVerifyParts[[#This Row],[Batch size]]&gt;0,SUMIFS(tblVerifyOps[Setup cost],tblVerifyOps[Part],tblVerifyParts[[#This Row],[Part]])/tblVerifyParts[[#This Row],[Batch size]],0))</f>
        <v>0.384</v>
      </c>
      <c r="M50" s="36">
        <f>IF(tblVerifyParts[[#This Row],[Part]]="","",(tblVerifyParts[[#This Row],[Labour]]+tblVerifyParts[[#This Row],[Machine]]+tblVerifyParts[[#This Row],[Setup]])*$E$36)</f>
        <v>0.3285</v>
      </c>
      <c r="N50" s="36">
        <f>IF(tblVerifyParts[[#This Row],[Part]]="","",tblVerifyParts[[#This Row],[Material]]+tblVerifyParts[[#This Row],[Bought-in and packaging]]+tblVerifyParts[[#This Row],[Labour]]+tblVerifyParts[[#This Row],[Machine]]+tblVerifyParts[[#This Row],[Setup]]+tblVerifyParts[[#This Row],[Overhead]])</f>
        <v>4.1425</v>
      </c>
      <c r="O50" s="36">
        <f>IF(tblVerifyParts[[#This Row],[Part]]="","",IF(tblVerifyParts[[#This Row],[Scrap rate]]&lt;1,tblVerifyParts[[#This Row],[Cost per part started]]*tblVerifyParts[[#This Row],[Scrap rate]]/(1-tblVerifyParts[[#This Row],[Scrap rate]]),""))</f>
        <v>0.128118556701031</v>
      </c>
      <c r="P50" s="37">
        <f>IF(tblVerifyParts[[#This Row],[Part]]="","",IF(tblVerifyParts[[#This Row],[Scrap rate]]&lt;1,tblVerifyParts[[#This Row],[Cost per part started]]/(1-tblVerifyParts[[#This Row],[Scrap rate]]),""))</f>
        <v>4.27061855670103</v>
      </c>
      <c r="Q50" s="38">
        <f>IF(tblVerifyParts[[#This Row],[Part]]="","",IF(tblVerifyParts[[#This Row],[Price]]&gt;0,(tblVerifyParts[[#This Row],[Price]]-tblVerifyParts[[#This Row],[Unit cost]])/tblVerifyParts[[#This Row],[Price]],""))</f>
        <v>0.145876288659794</v>
      </c>
      <c r="R50" s="39" t="str">
        <f>IF(NOT(ISNUMBER(tblVerifyParts[[#This Row],[Margin]])),"",IF(tblVerifyParts[[#This Row],[Margin]]&gt;=$E$37,"On target",IF(tblVerifyParts[[#This Row],[Margin]]&gt;=$E$37*(1-0.05),"Near target","Below target")))</f>
        <v>Below target</v>
      </c>
      <c r="S50" s="40">
        <f>IF(tblVerifyParts[[#This Row],[Part]]="","",tblVerifyParts[[#This Row],[Unit cost]]*tblVerifyParts[[#This Row],[Annual volume]])</f>
        <v>42706.1855670103</v>
      </c>
      <c r="T50" s="40">
        <f>IF(tblVerifyParts[[#This Row],[Part]]="","",IF(tblVerifyParts[[#This Row],[Price]]&gt;0,tblVerifyParts[[#This Row],[Price]]*tblVerifyParts[[#This Row],[Annual volume]],""))</f>
        <v>50000</v>
      </c>
      <c r="U50" s="40">
        <f>IF(tblVerifyParts[[#This Row],[Part]]="","",IF(tblVerifyParts[[#This Row],[Price]]&gt;0,tblVerifyParts[[#This Row],[Annual revenue]]-tblVerifyParts[[#This Row],[Annual cost]],""))</f>
        <v>7293.81443298969</v>
      </c>
      <c r="V50" s="40">
        <f>IF(tblVerifyParts[[#This Row],[Part]]="","",tblVerifyParts[[#This Row],[Scrap allowance]]*tblVerifyParts[[#This Row],[Annual volume]])</f>
        <v>1281.18556701031</v>
      </c>
      <c r="W50" s="41" t="str">
        <f>IF(tblVerifyParts[[#This Row],[Part]]="","",IF(tblVerifyParts[[#This Row],[Material]]="","Missing material",IF(tblVerifyParts[[#This Row],[Batch size]]="","Missing batch size",IF(tblVerifyParts[[#This Row],[Scrap rate]]="","Missing scrap rate",IF(tblVerifyParts[[#This Row],[Annual volume]]="","Missing annual volume",IF(COUNTIF(tblVerifyOps[Part],tblVerifyParts[[#This Row],[Part]])=0,"No operations for this part",IF(COUNTIF(tblVerifyParts[Part],tblVerifyParts[[#This Row],[Part]])&gt;1,"Duplicate part","OK")))))))</f>
        <v>OK</v>
      </c>
      <c r="X50" s="59" t="s">
        <v>88</v>
      </c>
    </row>
    <row r="51" spans="2:24">
      <c r="B51" s="59" t="s">
        <v>271</v>
      </c>
      <c r="C51" s="59" t="s">
        <v>278</v>
      </c>
      <c r="D51" s="68">
        <v>3</v>
      </c>
      <c r="E51" s="68">
        <v>1</v>
      </c>
      <c r="F51" s="69">
        <v>200</v>
      </c>
      <c r="G51" s="54">
        <v>0.05</v>
      </c>
      <c r="H51" s="69">
        <v>5000</v>
      </c>
      <c r="I51" s="68">
        <v>12</v>
      </c>
      <c r="J51" s="36">
        <f>IF(tblVerifyParts[[#This Row],[Part]]="","",SUMIFS(tblVerifyOps[Labour],tblVerifyOps[Part],tblVerifyParts[[#This Row],[Part]]))</f>
        <v>0.54</v>
      </c>
      <c r="K51" s="36">
        <f>IF(tblVerifyParts[[#This Row],[Part]]="","",SUMIFS(tblVerifyOps[Machine],tblVerifyOps[Part],tblVerifyParts[[#This Row],[Part]]))</f>
        <v>1.83333333333333</v>
      </c>
      <c r="L51" s="36">
        <f>IF(tblVerifyParts[[#This Row],[Part]]="","",IF(tblVerifyParts[[#This Row],[Batch size]]&gt;0,SUMIFS(tblVerifyOps[Setup cost],tblVerifyOps[Part],tblVerifyParts[[#This Row],[Part]])/tblVerifyParts[[#This Row],[Batch size]],0))</f>
        <v>0.537</v>
      </c>
      <c r="M51" s="36">
        <f>IF(tblVerifyParts[[#This Row],[Part]]="","",(tblVerifyParts[[#This Row],[Labour]]+tblVerifyParts[[#This Row],[Machine]]+tblVerifyParts[[#This Row],[Setup]])*$E$36)</f>
        <v>0.727583333333333</v>
      </c>
      <c r="N51" s="36">
        <f>IF(tblVerifyParts[[#This Row],[Part]]="","",tblVerifyParts[[#This Row],[Material]]+tblVerifyParts[[#This Row],[Bought-in and packaging]]+tblVerifyParts[[#This Row],[Labour]]+tblVerifyParts[[#This Row],[Machine]]+tblVerifyParts[[#This Row],[Setup]]+tblVerifyParts[[#This Row],[Overhead]])</f>
        <v>7.63791666666667</v>
      </c>
      <c r="O51" s="36">
        <f>IF(tblVerifyParts[[#This Row],[Part]]="","",IF(tblVerifyParts[[#This Row],[Scrap rate]]&lt;1,tblVerifyParts[[#This Row],[Cost per part started]]*tblVerifyParts[[#This Row],[Scrap rate]]/(1-tblVerifyParts[[#This Row],[Scrap rate]]),""))</f>
        <v>0.401995614035088</v>
      </c>
      <c r="P51" s="37">
        <f>IF(tblVerifyParts[[#This Row],[Part]]="","",IF(tblVerifyParts[[#This Row],[Scrap rate]]&lt;1,tblVerifyParts[[#This Row],[Cost per part started]]/(1-tblVerifyParts[[#This Row],[Scrap rate]]),""))</f>
        <v>8.03991228070175</v>
      </c>
      <c r="Q51" s="38">
        <f>IF(tblVerifyParts[[#This Row],[Part]]="","",IF(tblVerifyParts[[#This Row],[Price]]&gt;0,(tblVerifyParts[[#This Row],[Price]]-tblVerifyParts[[#This Row],[Unit cost]])/tblVerifyParts[[#This Row],[Price]],""))</f>
        <v>0.33000730994152</v>
      </c>
      <c r="R51" s="39" t="str">
        <f>IF(NOT(ISNUMBER(tblVerifyParts[[#This Row],[Margin]])),"",IF(tblVerifyParts[[#This Row],[Margin]]&gt;=$E$37,"On target",IF(tblVerifyParts[[#This Row],[Margin]]&gt;=$E$37*(1-0.05),"Near target","Below target")))</f>
        <v>On target</v>
      </c>
      <c r="S51" s="40">
        <f>IF(tblVerifyParts[[#This Row],[Part]]="","",tblVerifyParts[[#This Row],[Unit cost]]*tblVerifyParts[[#This Row],[Annual volume]])</f>
        <v>40199.5614035088</v>
      </c>
      <c r="T51" s="40">
        <f>IF(tblVerifyParts[[#This Row],[Part]]="","",IF(tblVerifyParts[[#This Row],[Price]]&gt;0,tblVerifyParts[[#This Row],[Price]]*tblVerifyParts[[#This Row],[Annual volume]],""))</f>
        <v>60000</v>
      </c>
      <c r="U51" s="40">
        <f>IF(tblVerifyParts[[#This Row],[Part]]="","",IF(tblVerifyParts[[#This Row],[Price]]&gt;0,tblVerifyParts[[#This Row],[Annual revenue]]-tblVerifyParts[[#This Row],[Annual cost]],""))</f>
        <v>19800.4385964912</v>
      </c>
      <c r="V51" s="40">
        <f>IF(tblVerifyParts[[#This Row],[Part]]="","",tblVerifyParts[[#This Row],[Scrap allowance]]*tblVerifyParts[[#This Row],[Annual volume]])</f>
        <v>2009.97807017544</v>
      </c>
      <c r="W51" s="41" t="str">
        <f>IF(tblVerifyParts[[#This Row],[Part]]="","",IF(tblVerifyParts[[#This Row],[Material]]="","Missing material",IF(tblVerifyParts[[#This Row],[Batch size]]="","Missing batch size",IF(tblVerifyParts[[#This Row],[Scrap rate]]="","Missing scrap rate",IF(tblVerifyParts[[#This Row],[Annual volume]]="","Missing annual volume",IF(COUNTIF(tblVerifyOps[Part],tblVerifyParts[[#This Row],[Part]])=0,"No operations for this part",IF(COUNTIF(tblVerifyParts[Part],tblVerifyParts[[#This Row],[Part]])&gt;1,"Duplicate part","OK")))))))</f>
        <v>OK</v>
      </c>
      <c r="X51" s="59" t="s">
        <v>88</v>
      </c>
    </row>
    <row r="52" spans="2:24">
      <c r="B52" s="59" t="s">
        <v>279</v>
      </c>
      <c r="C52" s="59" t="s">
        <v>280</v>
      </c>
      <c r="D52" s="68">
        <v>1</v>
      </c>
      <c r="E52" s="68">
        <v>0</v>
      </c>
      <c r="F52" s="69">
        <v>100</v>
      </c>
      <c r="G52" s="54">
        <v>0</v>
      </c>
      <c r="H52" s="69">
        <v>100</v>
      </c>
      <c r="I52" s="68"/>
      <c r="J52" s="36">
        <f>IF(tblVerifyParts[[#This Row],[Part]]="","",SUMIFS(tblVerifyOps[Labour],tblVerifyOps[Part],tblVerifyParts[[#This Row],[Part]]))</f>
        <v>0</v>
      </c>
      <c r="K52" s="36">
        <f>IF(tblVerifyParts[[#This Row],[Part]]="","",SUMIFS(tblVerifyOps[Machine],tblVerifyOps[Part],tblVerifyParts[[#This Row],[Part]]))</f>
        <v>0</v>
      </c>
      <c r="L52" s="36">
        <f>IF(tblVerifyParts[[#This Row],[Part]]="","",IF(tblVerifyParts[[#This Row],[Batch size]]&gt;0,SUMIFS(tblVerifyOps[Setup cost],tblVerifyOps[Part],tblVerifyParts[[#This Row],[Part]])/tblVerifyParts[[#This Row],[Batch size]],0))</f>
        <v>0</v>
      </c>
      <c r="M52" s="36">
        <f>IF(tblVerifyParts[[#This Row],[Part]]="","",(tblVerifyParts[[#This Row],[Labour]]+tblVerifyParts[[#This Row],[Machine]]+tblVerifyParts[[#This Row],[Setup]])*$E$36)</f>
        <v>0</v>
      </c>
      <c r="N52" s="36">
        <f>IF(tblVerifyParts[[#This Row],[Part]]="","",tblVerifyParts[[#This Row],[Material]]+tblVerifyParts[[#This Row],[Bought-in and packaging]]+tblVerifyParts[[#This Row],[Labour]]+tblVerifyParts[[#This Row],[Machine]]+tblVerifyParts[[#This Row],[Setup]]+tblVerifyParts[[#This Row],[Overhead]])</f>
        <v>1</v>
      </c>
      <c r="O52" s="36">
        <f>IF(tblVerifyParts[[#This Row],[Part]]="","",IF(tblVerifyParts[[#This Row],[Scrap rate]]&lt;1,tblVerifyParts[[#This Row],[Cost per part started]]*tblVerifyParts[[#This Row],[Scrap rate]]/(1-tblVerifyParts[[#This Row],[Scrap rate]]),""))</f>
        <v>0</v>
      </c>
      <c r="P52" s="37">
        <f>IF(tblVerifyParts[[#This Row],[Part]]="","",IF(tblVerifyParts[[#This Row],[Scrap rate]]&lt;1,tblVerifyParts[[#This Row],[Cost per part started]]/(1-tblVerifyParts[[#This Row],[Scrap rate]]),""))</f>
        <v>1</v>
      </c>
      <c r="Q52" s="38">
        <f>IF(tblVerifyParts[[#This Row],[Part]]="","",IF(tblVerifyParts[[#This Row],[Price]]&gt;0,(tblVerifyParts[[#This Row],[Price]]-tblVerifyParts[[#This Row],[Unit cost]])/tblVerifyParts[[#This Row],[Price]],""))</f>
        <v/>
      </c>
      <c r="R52" s="39">
        <f>IF(NOT(ISNUMBER(tblVerifyParts[[#This Row],[Margin]])),"",IF(tblVerifyParts[[#This Row],[Margin]]&gt;=$E$37,"On target",IF(tblVerifyParts[[#This Row],[Margin]]&gt;=$E$37*(1-0.05),"Near target","Below target")))</f>
        <v/>
      </c>
      <c r="S52" s="40">
        <f>IF(tblVerifyParts[[#This Row],[Part]]="","",tblVerifyParts[[#This Row],[Unit cost]]*tblVerifyParts[[#This Row],[Annual volume]])</f>
        <v>100</v>
      </c>
      <c r="T52" s="40">
        <f>IF(tblVerifyParts[[#This Row],[Part]]="","",IF(tblVerifyParts[[#This Row],[Price]]&gt;0,tblVerifyParts[[#This Row],[Price]]*tblVerifyParts[[#This Row],[Annual volume]],""))</f>
        <v/>
      </c>
      <c r="U52" s="40">
        <f>IF(tblVerifyParts[[#This Row],[Part]]="","",IF(tblVerifyParts[[#This Row],[Price]]&gt;0,tblVerifyParts[[#This Row],[Annual revenue]]-tblVerifyParts[[#This Row],[Annual cost]],""))</f>
        <v/>
      </c>
      <c r="V52" s="40">
        <f>IF(tblVerifyParts[[#This Row],[Part]]="","",tblVerifyParts[[#This Row],[Scrap allowance]]*tblVerifyParts[[#This Row],[Annual volume]])</f>
        <v>0</v>
      </c>
      <c r="W52" s="41" t="str">
        <f>IF(tblVerifyParts[[#This Row],[Part]]="","",IF(tblVerifyParts[[#This Row],[Material]]="","Missing material",IF(tblVerifyParts[[#This Row],[Batch size]]="","Missing batch size",IF(tblVerifyParts[[#This Row],[Scrap rate]]="","Missing scrap rate",IF(tblVerifyParts[[#This Row],[Annual volume]]="","Missing annual volume",IF(COUNTIF(tblVerifyOps[Part],tblVerifyParts[[#This Row],[Part]])=0,"No operations for this part",IF(COUNTIF(tblVerifyParts[Part],tblVerifyParts[[#This Row],[Part]])&gt;1,"Duplicate part","OK")))))))</f>
        <v>No operations for this part</v>
      </c>
      <c r="X52" s="59" t="s">
        <v>88</v>
      </c>
    </row>
  </sheetData>
  <sheetProtection sheet="1" formatColumns="0" formatRows="0"/>
  <mergeCells count="35">
    <mergeCell ref="A1:X1"/>
    <mergeCell ref="B2:W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1:L31"/>
    <mergeCell ref="B33:L33"/>
    <mergeCell ref="B34:F34"/>
    <mergeCell ref="B35:D35"/>
    <mergeCell ref="B36:D36"/>
    <mergeCell ref="B37:D37"/>
    <mergeCell ref="B39:L39"/>
    <mergeCell ref="B47:L47"/>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M42:M45">
    <cfRule type="expression" dxfId="3" priority="41">
      <formula>$M42="OK"</formula>
    </cfRule>
    <cfRule type="expression" dxfId="1" priority="42">
      <formula>AND($M42&lt;&gt;"",$M42&lt;&gt;"OK")</formula>
    </cfRule>
  </conditionalFormatting>
  <conditionalFormatting sqref="W50:W52">
    <cfRule type="expression" dxfId="3" priority="43">
      <formula>$W50="OK"</formula>
    </cfRule>
    <cfRule type="expression" dxfId="1" priority="44">
      <formula>AND($W50&lt;&gt;"",$W50&lt;&gt;"OK")</formula>
    </cfRule>
  </conditionalFormatting>
  <hyperlinks>
    <hyperlink ref="X2" r:id="rId1" tooltip="Free manufacturing calculators and templates"/>
  </hyperlinks>
  <printOptions horizontalCentered="1"/>
  <pageMargins left="0.4" right="0.4" top="0.7" bottom="0.65" header="0.3" footer="0.3"/>
  <pageSetup fitToHeight="0" orientation="landscape"/>
  <headerFooter>
    <oddHeader>&amp;L&amp;8MFG Calcs - Unit Cost Spreadsheet&amp;R&amp;8&amp;A</oddHeader>
    <oddFooter>&amp;L&amp;8mfgcalcs.com - free manufacturing templates&amp;R&amp;8Page &amp;P of &amp;N</oddFooter>
  </headerFooter>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21</vt:i4>
      </vt:variant>
    </vt:vector>
  </HeadingPairs>
  <TitlesOfParts>
    <vt:vector size="28" baseType="lpstr">
      <vt:lpstr>Start Here</vt:lpstr>
      <vt:lpstr>Setup</vt:lpstr>
      <vt:lpstr>Part Costs</vt:lpstr>
      <vt:lpstr>Operations</vt:lpstr>
      <vt:lpstr>Dashboard</vt:lpstr>
      <vt:lpstr>Method</vt:lpstr>
      <vt:lpstr>Verify</vt:lpstr>
      <vt:lpstr>Currency</vt:lpstr>
      <vt:lpstr>KpiBelow</vt:lpstr>
      <vt:lpstr>KpiBig</vt:lpstr>
      <vt:lpstr>KpiMargin</vt:lpstr>
      <vt:lpstr>KpiScrap</vt:lpstr>
      <vt:lpstr>LabourRate</vt:lpstr>
      <vt:lpstr>OverheadPct</vt:lpstr>
      <vt:lpstr>PlantName</vt:lpstr>
      <vt:lpstr>Dashboard!Print_Area</vt:lpstr>
      <vt:lpstr>Method!Print_Area</vt:lpstr>
      <vt:lpstr>Operations!Print_Area</vt:lpstr>
      <vt:lpstr>'Part Costs'!Print_Area</vt:lpstr>
      <vt:lpstr>Setup!Print_Area</vt:lpstr>
      <vt:lpstr>'Start Here'!Print_Area</vt:lpstr>
      <vt:lpstr>Verify!Print_Area</vt:lpstr>
      <vt:lpstr>Method!Print_Titles</vt:lpstr>
      <vt:lpstr>Operations!Print_Titles</vt:lpstr>
      <vt:lpstr>'Part Costs'!Print_Titles</vt:lpstr>
      <vt:lpstr>SelfCheck</vt:lpstr>
      <vt:lpstr>SelfCheckSummary</vt:lpstr>
      <vt:lpstr>TargetMargin</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Unit Cost Spreadsheet - free Excel template from MFG Calcs</dc:title>
  <dc:subject>Cost every part in a family from material, routing, setup, overhead and scrap, and see which parts miss your margin and where the money goes.</dc:subject>
  <dc:creator>MFG Calcs</dc:creator>
  <cp:keywords>unit cost, cost per part, product costing, routing cost, setup cost, scrap allowance, overhead, margin</cp:keywords>
  <dc:description>https://www.mfgcalcs.com/templates/unit-cost-spreadsheet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unit-cost-spreadsheet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https://www.mfgcalcs.com/templates/unit-cost-spreadsheet</vt:lpwstr>
  </property>
  <property fmtid="{D5CDD505-2E9C-101B-9397-08002B2CF9AE}" pid="7" name="Template sheet roles">
    <vt:lpwstr>Start Here=start;Setup=setup;Part Costs=work;Operations=work;Dashboard=dashboard;Method=method;Verify=verify</vt:lpwstr>
  </property>
</Properties>
</file>