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st Register" sheetId="3" r:id="rId3"/>
    <sheet name="Monthly Activity" sheetId="4" r:id="rId4"/>
    <sheet name="Dashboard" sheetId="5" r:id="rId5"/>
    <sheet name="Method" sheetId="6" r:id="rId6"/>
    <sheet name="Verify" sheetId="7" r:id="rId7"/>
  </sheets>
  <definedNames>
    <definedName name="Admin3PL">Setup!$C$16</definedName>
    <definedName name="AnnualCost">'Cost Register'!$C$18</definedName>
    <definedName name="AnnualHandling">'Cost Register'!$C$20</definedName>
    <definedName name="AnnualStorage">'Cost Register'!$C$19</definedName>
    <definedName name="Categories">tblCategories[Category]</definedName>
    <definedName name="Currency">Setup!$C$7</definedName>
    <definedName name="In3PL">Setup!$C$14</definedName>
    <definedName name="KpiBreakeven">Dashboard!$J$7</definedName>
    <definedName name="KpiDiff">Dashboard!$G$7</definedName>
    <definedName name="KpiInhPm">Dashboard!$D$7</definedName>
    <definedName name="KpiOcc">Dashboard!$B$7</definedName>
    <definedName name="MonthHandling">'Cost Register'!$C$22</definedName>
    <definedName name="MonthStorage">'Cost Register'!$C$21</definedName>
    <definedName name="Out3PL">Setup!$C$15</definedName>
    <definedName name="PerPosition">'Cost Register'!$C$23</definedName>
    <definedName name="Positions">Setup!$C$8</definedName>
    <definedName name="_xlnm.Print_Area" localSheetId="2">'Cost Register'!$A$1:$I$23</definedName>
    <definedName name="_xlnm.Print_Area" localSheetId="4">Dashboard!$A$1:$L$58</definedName>
    <definedName name="_xlnm.Print_Area" localSheetId="5">Method!$A$1:$D$60</definedName>
    <definedName name="_xlnm.Print_Area" localSheetId="3">'Monthly Activity'!$A$1:$R$18</definedName>
    <definedName name="_xlnm.Print_Area" localSheetId="1">Setup!$A$1:$E$30</definedName>
    <definedName name="_xlnm.Print_Area" localSheetId="0">'Start Here'!$A$1:$F$56</definedName>
    <definedName name="_xlnm.Print_Area" localSheetId="6">Verify!$A$1:$R$67</definedName>
    <definedName name="_xlnm.Print_Titles" localSheetId="2">'Cost Register'!$1:$6</definedName>
    <definedName name="_xlnm.Print_Titles" localSheetId="5">Method!$1:$2</definedName>
    <definedName name="_xlnm.Print_Titles" localSheetId="3">'Monthly Activity'!$1:$6</definedName>
    <definedName name="Rate3PL">Setup!$C$13</definedName>
    <definedName name="SelfCheck">Verify!$D$4</definedName>
    <definedName name="SelfCheckSummary">Verify!$F$4</definedName>
    <definedName name="SiteName">Setup!$C$6</definedName>
    <definedName name="TargetOcc">Setup!$C$9</definedName>
  </definedNames>
  <calcPr calcId="124519" fullCalcOnLoad="1"/>
</workbook>
</file>

<file path=xl/sharedStrings.xml><?xml version="1.0" encoding="utf-8"?>
<sst xmlns="http://schemas.openxmlformats.org/spreadsheetml/2006/main" count="442" uniqueCount="253">
  <si>
    <t>Warehouse Storage Cost</t>
  </si>
  <si>
    <t>Read this first: what the workbook does and how to use it.</t>
  </si>
  <si>
    <t>mfgcalcs.com</t>
  </si>
  <si>
    <t>Turn your warehouse's annual costs into a cost per occupied pallet per month, and compare it month by month with a 3PL quote.</t>
  </si>
  <si>
    <t>For: Operations, logistics and warehouse managers, plant controllers and anyone weighing an in-house warehouse against a 3PL.</t>
  </si>
  <si>
    <t>Version 1.0.0  ·  updated 15 October 2026</t>
  </si>
  <si>
    <t>Quick start</t>
  </si>
  <si>
    <t>1.</t>
  </si>
  <si>
    <t>On Setup, type your site name, currency, pallet positions and occupancy target, and the 3PL quote you want to compare against.</t>
  </si>
  <si>
    <t>2.</t>
  </si>
  <si>
    <t>On Cost Register, list every annual warehouse cost with the share of it that pays for holding space (the rest is handling).</t>
  </si>
  <si>
    <t>3.</t>
  </si>
  <si>
    <t>On Monthly Activity, add one row per month: average occupied pallets, pallets received and pallets shipped.</t>
  </si>
  <si>
    <t>4.</t>
  </si>
  <si>
    <t>Open the Dashboard: occupancy, in-house vs 3PL cost per occupied pallet-month, the twelve-month difference and the break-even occupancy.</t>
  </si>
  <si>
    <t>What is in this workbook</t>
  </si>
  <si>
    <t>Start Here</t>
  </si>
  <si>
    <t>Setup</t>
  </si>
  <si>
    <t>Site, currency, pallet positions, your occupancy target, the 3PL quote to compare against, and the cost categories.</t>
  </si>
  <si>
    <t>Cost Register</t>
  </si>
  <si>
    <t>Every annual warehouse cost, split into the part that pays for holding space and the part that pays for moving pallets.</t>
  </si>
  <si>
    <t>Monthly Activity</t>
  </si>
  <si>
    <t>One row per month: occupied pallets and pallet movements, priced in-house and at the 3PL quote.</t>
  </si>
  <si>
    <t>Dashboard</t>
  </si>
  <si>
    <t>Occupancy, in-house vs 3PL cost per occupied pallet-month, the difference over the period and the break-even occupancy.</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</si>
  <si>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</si>
  <si>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</si>
  <si>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</si>
  <si>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</si>
  <si>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</si>
  <si>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</si>
  <si>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</si>
  <si>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</si>
  <si>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</si>
  <si>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</si>
  <si>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</si>
  <si>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</si>
  <si>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</si>
  <si>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</si>
  <si>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</si>
  <si>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</si>
  <si>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</si>
  <si>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</si>
  <si>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</si>
  <si>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</si>
  <si>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Warehouse Storage Cost Calculator on mfgcalcs.com</t>
  </si>
  <si>
    <t>Latest version</t>
  </si>
  <si>
    <t>mfgcalcs.com/templates/warehouse-storage-cost</t>
  </si>
  <si>
    <t>More free templates</t>
  </si>
  <si>
    <t>mfgcalcs.com/templates</t>
  </si>
  <si>
    <t>Version</t>
  </si>
  <si>
    <t>1.0.0 (updated 15 October 2026)</t>
  </si>
  <si>
    <t>About the example data</t>
  </si>
  <si>
    <t>Every number already in this workbook is example data for Westmoor Garden Products, a fictional business invented for this template, so the dashboard and charts show something meaningful on day one. It covers a 1,400-position finished-goods warehouse over twelve months (October 2025 to September 2026), with costs, activity and a 3PL quote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</si>
  <si>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</si>
  <si>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</si>
  <si>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</si>
  <si>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</si>
  <si>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</si>
  <si>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</si>
  <si>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</si>
  <si>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</si>
  <si>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Category</t>
  </si>
  <si>
    <t>Site and capacity</t>
  </si>
  <si>
    <t>Warehouse or site</t>
  </si>
  <si>
    <t>Westmoor Garden Products (example)</t>
  </si>
  <si>
    <t>Currency label</t>
  </si>
  <si>
    <t>USD</t>
  </si>
  <si>
    <t>Pallet positions (capacity)</t>
  </si>
  <si>
    <t>positions</t>
  </si>
  <si>
    <t>Occupancy target</t>
  </si>
  <si>
    <t>3PL quote to compare against</t>
  </si>
  <si>
    <t>Storage rate</t>
  </si>
  <si>
    <t>Handling in</t>
  </si>
  <si>
    <t>Handling out</t>
  </si>
  <si>
    <t>Account and admin charges</t>
  </si>
  <si>
    <t>Example quote, invented for the example: replace it with the 3PL's written quote. Order picking, case picking, labelling and transport are not in this comparison; leave them out of the Cost Register too, or price them on both sides outside this workbook. The occupancy target is yours; 'Near target' means within 5% of it (80.75% to 85% against an 85% target).</t>
  </si>
  <si>
    <t>Cost categories</t>
  </si>
  <si>
    <t>Space: rent or depreciation of the building, service charge, property tax, building insurance. Equipment: racking depreciation and inspection, forklift leases, charging and maintenance. Labour: operatives, supervisors and managers, with their employment costs. Utilities: power, lighting, heating, water. Systems: WMS licence, scanners, printers, network. Other: security, cleaning, waste, consumables.</t>
  </si>
  <si>
    <t>Categories (feed the Cost Register dropdown)</t>
  </si>
  <si>
    <t>Space</t>
  </si>
  <si>
    <t>Equipment</t>
  </si>
  <si>
    <t>Labour</t>
  </si>
  <si>
    <t>Utilities</t>
  </si>
  <si>
    <t>Systems</t>
  </si>
  <si>
    <t>Other</t>
  </si>
  <si>
    <t>Cost line</t>
  </si>
  <si>
    <t>Annual cost</t>
  </si>
  <si>
    <t>Storage share</t>
  </si>
  <si>
    <t>Storage cost</t>
  </si>
  <si>
    <t>Handling cost</t>
  </si>
  <si>
    <t>Check</t>
  </si>
  <si>
    <t>Notes</t>
  </si>
  <si>
    <t>Example costs for Westmoor Garden Products (fictional). Replace them with your own: select the example rows, right-click, Delete &gt; Table Rows. Count each cost once, and only costs a 3PL quote would replace.</t>
  </si>
  <si>
    <t>Rent and service charge</t>
  </si>
  <si>
    <t>Lease, 4,600 m2</t>
  </si>
  <si>
    <t>Property tax and building insurance</t>
  </si>
  <si>
    <t/>
  </si>
  <si>
    <t>Racking depreciation and inspection</t>
  </si>
  <si>
    <t>Annual rack inspection included</t>
  </si>
  <si>
    <t>Forklift leases, charging, maintenance</t>
  </si>
  <si>
    <t>Three reach trucks; mostly moving pallets</t>
  </si>
  <si>
    <t>Warehouse operatives</t>
  </si>
  <si>
    <t>Receiving, putaway, loading; cycle counts are storage</t>
  </si>
  <si>
    <t>Shift supervisor (share)</t>
  </si>
  <si>
    <t>Half of one supervisor's cost</t>
  </si>
  <si>
    <t>Lighting and heating</t>
  </si>
  <si>
    <t>Building kept frost-free</t>
  </si>
  <si>
    <t>WMS licence and scanners</t>
  </si>
  <si>
    <t>Security, cleaning and waste</t>
  </si>
  <si>
    <t>Totals (the Monthly Activity sheet reads these)</t>
  </si>
  <si>
    <t>Annual warehouse cost</t>
  </si>
  <si>
    <t>of which storage</t>
  </si>
  <si>
    <t>of which handling</t>
  </si>
  <si>
    <t>Storage cost per month</t>
  </si>
  <si>
    <t>Handling cost per month</t>
  </si>
  <si>
    <t>Storage cost per pallet position</t>
  </si>
  <si>
    <t>Month</t>
  </si>
  <si>
    <t>Avg occupied pallets</t>
  </si>
  <si>
    <t>Pallets received</t>
  </si>
  <si>
    <t>Pallets shipped</t>
  </si>
  <si>
    <t>Occupancy</t>
  </si>
  <si>
    <t>Occupancy status</t>
  </si>
  <si>
    <t>In-house cost</t>
  </si>
  <si>
    <t>In-house per pallet-month</t>
  </si>
  <si>
    <t>Handling per pallet moved</t>
  </si>
  <si>
    <t>3PL storage</t>
  </si>
  <si>
    <t>3PL handling</t>
  </si>
  <si>
    <t>3PL equivalent</t>
  </si>
  <si>
    <t>3PL per pallet-month</t>
  </si>
  <si>
    <t>In-house minus 3PL</t>
  </si>
  <si>
    <t>Cheaper option</t>
  </si>
  <si>
    <t>Example data for Westmoor Garden Products (fictional). Replace it with your own: select the example rows, right-click, Delete &gt; Table Rows. In-house cost is the Cost Register's annual total / 12; the 3PL columns price the same month at the quote on Setup.</t>
  </si>
  <si>
    <t>Stock build for spring starts</t>
  </si>
  <si>
    <t>Peak occupancy</t>
  </si>
  <si>
    <t>Spring shipments</t>
  </si>
  <si>
    <t>Lowest month</t>
  </si>
  <si>
    <t>AVERAGE OCCUPANCY</t>
  </si>
  <si>
    <t>BREAK-EVEN OCCUPANCY (EST.)</t>
  </si>
  <si>
    <t>Positive: the 3PL quote is cheaper</t>
  </si>
  <si>
    <t>In-house is cheaper above this</t>
  </si>
  <si>
    <t>By month (last 12 months on the log; totals over these months)</t>
  </si>
  <si>
    <t>Break-even (est.)</t>
  </si>
  <si>
    <t>Total</t>
  </si>
  <si>
    <t>In-house cost by category (Cost Register)</t>
  </si>
  <si>
    <t>Storage part</t>
  </si>
  <si>
    <t>Handling part</t>
  </si>
  <si>
    <t>Share of total</t>
  </si>
  <si>
    <t>Per occupied pallet-month</t>
  </si>
  <si>
    <t>The Dashboard shows the last 12 months on the Monthly Activity log and the 6 cost categories of the Setup list. If you add categories, extend the category block (see Method) or they will not appear here.</t>
  </si>
  <si>
    <t>What this workbook calculates</t>
  </si>
  <si>
    <t>An in-house warehouse costs roughly the same every month whether it is full or half empty; a 3PL bills for the pallets you actually store and move. This workbook puts the two on the same footing. The Cost Register splits every annual cost into a storage part (holding space) and a handling part (moving pallets in and out). Each month's in-house cost is a twelfth of the annual total, divided by the average occupied pallets to give a cost per occupied pallet-month. The same month is priced at the 3PL quote: occupied pallets x storage rate + pallets received x handling in + pallets shipped x handling out + account charges.</t>
  </si>
  <si>
    <t>Calculations</t>
  </si>
  <si>
    <t>Quantity</t>
  </si>
  <si>
    <t>How it is calculated</t>
  </si>
  <si>
    <t>Units</t>
  </si>
  <si>
    <t>Storage and handling cost</t>
  </si>
  <si>
    <t>Per cost line: annual cost x storage share, and annual cost - storage cost, per year.</t>
  </si>
  <si>
    <t>currency</t>
  </si>
  <si>
    <t>Monthly storage and handling cost</t>
  </si>
  <si>
    <t>Sum of the storage (or handling) cost column / 12.</t>
  </si>
  <si>
    <t>Monthly storage cost / pallet positions on Setup, per month (capacity basis: what each position costs whether used or not).</t>
  </si>
  <si>
    <t>Average occupied pallets / pallet positions; status against your occupancy target (Near target = within 5% below it).</t>
  </si>
  <si>
    <t>%</t>
  </si>
  <si>
    <t>In-house cost (month)</t>
  </si>
  <si>
    <t>Monthly storage cost + monthly handling cost: fixed in the short run.</t>
  </si>
  <si>
    <t>In-house cost / average occupied pallets: what each occupied position cost that month (per pallet-month).</t>
  </si>
  <si>
    <t>Monthly handling cost / (pallets received + pallets shipped).</t>
  </si>
  <si>
    <t>currency/pallet</t>
  </si>
  <si>
    <t>3PL equivalent (month)</t>
  </si>
  <si>
    <t>Occupied pallets x storage rate x 1 month + received x handling in + shipped x handling out + account charges (the live calculator's model).
Excel: =[@[3PL storage]]+[@[3PL handling]]+Admin3PL</t>
  </si>
  <si>
    <t>3PL equivalent / average occupied pallets.</t>
  </si>
  <si>
    <t>In-house cost - 3PL equivalent; positive means the quote is cheaper that month. Cheaper option names the lower one.</t>
  </si>
  <si>
    <t>Period figures</t>
  </si>
  <si>
    <t>Sums over the months on the log: occupancy = sum of occupied pallets / (months x positions); cost per pallet-month = sum of cost / sum of occupied pallets (pallet-months).</t>
  </si>
  <si>
    <t>-</t>
  </si>
  <si>
    <t>Break-even occupancy (est.)</t>
  </si>
  <si>
    <t>(In-house cost - 3PL handling - months x account charges) / (storage rate x months), as a share of positions: the average occupancy at which the quote would cost the same as in-house, if handling volumes stayed as logged.</t>
  </si>
  <si>
    <t>Per occupied pallet-month (category)</t>
  </si>
  <si>
    <t>The category's annual cost / 12 x months on the log / sum of occupied pallets.</t>
  </si>
  <si>
    <t>Assumptions</t>
  </si>
  <si>
    <t>In-house cost is fixed month to month (a twelfth of the annual cost); monthly actuals that vary (overtime, seasonal heating) are averaged out.</t>
  </si>
  <si>
    <t>The Cost Register holds only costs a 3PL would replace; costs you keep either way (for example a site manager who stays) should be left out.</t>
  </si>
  <si>
    <t>The 3PL quote bills average occupied positions per month; quotes that bill peak positions, reserved space or minimums need their own adjustment.</t>
  </si>
  <si>
    <t>Average occupied pallets is the average of the month, not the month-end count.</t>
  </si>
  <si>
    <t>Limitations</t>
  </si>
  <si>
    <t>Transport, order picking, case picking, labelling and value-added services are not compared; price them on both sides outside this workbook.</t>
  </si>
  <si>
    <t>One-off costs of switching (exit fees, moving stock, contract term, redundancy) and service quality are not costed: the comparison is running cost only.</t>
  </si>
  <si>
    <t>The break-even occupancy holds this period's handling volumes; it moves if throughput changes.</t>
  </si>
  <si>
    <t>The Dashboard shows the last 12 months on the log and a fixed block of 6 cost categories (a warning appears if the Setup list is longer).</t>
  </si>
  <si>
    <t>Agreement with the live calculator</t>
  </si>
  <si>
    <t>Each month's 3PL equivalent is the live Warehouse Storage Cost calculator with one billed month: average occupied positions x monthly rate x 1 + handling (received x handling in + shipped x handling out) + accessorial and admin charges. The build checks the template's reference against the calculator's engine for its own default example (300 positions, 14 per pallet-month, 1 month, 450 handling, 120 admin: 4,770) and for an example month. In-house cost per occupied pallet-month over the period equals the Storage Cost per Pallet calculator's cost per pallet-month (period cost / occupied pallet-months), also checked. The Cost Register split and the break-even occupancy are this workbook's additions.</t>
  </si>
  <si>
    <t>Open the Warehouse Storage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</si>
  <si>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</si>
  <si>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</si>
  <si>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Warehouse costing practice: fixed facility cost per pallet position and per occupied pallet-month; 3PL billing per pallet-month and per pallet handled.</t>
  </si>
  <si>
    <t>MFG Calcs Warehouse Storage Cost calculator (warehouse-storage-cost): occupancy charge = average positions x monthly rate x months; total = occupancy charge + handling + accessorials.</t>
  </si>
  <si>
    <t>MFG Calcs Storage Cost per Pallet calculator (storage-cost-per-pallet): period cost / occupied pallet-months.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</si>
  <si>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</si>
  <si>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</si>
  <si>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</si>
  <si>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</si>
  <si>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</si>
  <si>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</si>
  <si>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</si>
  <si>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</si>
  <si>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</si>
  <si>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</si>
  <si>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</si>
  <si>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</si>
  <si>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</si>
  <si>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</si>
  <si>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</si>
  <si>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</si>
  <si>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Cost line 2: storage cost</t>
  </si>
  <si>
    <t>Cost line 3: Check reports the unknown category</t>
  </si>
  <si>
    <t>Category not on Setup list</t>
  </si>
  <si>
    <t>exact</t>
  </si>
  <si>
    <t>Month 1 (calculator example): 3PL equivalent</t>
  </si>
  <si>
    <t>Month 1: 3PL per pallet-month</t>
  </si>
  <si>
    <t>Month 1: in-house per pallet-month</t>
  </si>
  <si>
    <t>Month 1: handling per pallet moved</t>
  </si>
  <si>
    <t>Month 1: in-house minus 3PL</t>
  </si>
  <si>
    <t>Month 1: cheaper option</t>
  </si>
  <si>
    <t>3PL quote</t>
  </si>
  <si>
    <t>Month 2: occupancy</t>
  </si>
  <si>
    <t>Month 2: cheaper option</t>
  </si>
  <si>
    <t>Month 3: occupancy status (within 5% of target)</t>
  </si>
  <si>
    <t>Near target</t>
  </si>
  <si>
    <t>Row 4: Check reports a date that is not the 1st</t>
  </si>
  <si>
    <t>Use the 1st of the month</t>
  </si>
  <si>
    <t>All months: average occupancy (Dashboard formula)</t>
  </si>
  <si>
    <t>All months: in-house per pallet-month (Dashboard formula)</t>
  </si>
  <si>
    <t>All months: 3PL per pallet-month (Dashboard formula)</t>
  </si>
  <si>
    <t>All months: break-even occupancy (Dashboard formula)</t>
  </si>
  <si>
    <t>Fixed test inputs</t>
  </si>
  <si>
    <t>White cells are fixed test inputs; blue cells are the workbook's formulas evaluated on them.</t>
  </si>
  <si>
    <t>Parameters</t>
  </si>
  <si>
    <t>Pallet positions</t>
  </si>
  <si>
    <t>3PL storage rate</t>
  </si>
  <si>
    <t>3PL handling in</t>
  </si>
  <si>
    <t>3PL handling out</t>
  </si>
  <si>
    <t>3PL account charges</t>
  </si>
  <si>
    <t>Test table: Categories</t>
  </si>
  <si>
    <t>Test table: Costs</t>
  </si>
  <si>
    <t>Rent</t>
  </si>
  <si>
    <t>Operatives</t>
  </si>
  <si>
    <t>Typo</t>
  </si>
  <si>
    <t>Spaces</t>
  </si>
  <si>
    <t>Check-column case</t>
  </si>
  <si>
    <t>Test cost totals (same formulas, over the test cost lines)</t>
  </si>
  <si>
    <t>Test table: Monthly</t>
  </si>
  <si>
    <t>Calculator example</t>
  </si>
</sst>
</file>

<file path=xl/styles.xml><?xml version="1.0" encoding="utf-8"?>
<styleSheet xmlns="http://schemas.openxmlformats.org/spreadsheetml/2006/main">
  <numFmts count="11">
    <numFmt numFmtId="164" formatCode="#,##0"/>
    <numFmt numFmtId="165" formatCode="0.0%"/>
    <numFmt numFmtId="166" formatCode="#,##0.00"/>
    <numFmt numFmtId="167" formatCode="d mmm yyyy"/>
    <numFmt numFmtId="168" formatCode="+#,##0;-#,##0;0"/>
    <numFmt numFmtId="169" formatCode="&quot;Target &quot;0.0%"/>
    <numFmt numFmtId="170" formatCode="&quot;3PL quote &quot;#,##0.00"/>
    <numFmt numFmtId="171" formatCode="mmm yyyy"/>
    <numFmt numFmtId="172" formatCode="0.0E+00"/>
    <numFmt numFmtId="173" formatCode="#,##0.0000"/>
    <numFmt numFmtId="174"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0" fontId="21" fillId="4" borderId="3" xfId="0" applyFont="1" applyFill="1" applyBorder="1" applyAlignment="1">
      <alignment vertical="center"/>
    </xf>
    <xf numFmtId="164"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71" fontId="9" fillId="0" borderId="9" xfId="0" applyNumberFormat="1" applyFont="1" applyBorder="1" applyAlignment="1">
      <alignment vertical="center"/>
    </xf>
    <xf numFmtId="165" fontId="10" fillId="0" borderId="9" xfId="0" applyNumberFormat="1" applyFont="1" applyBorder="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168" fontId="9" fillId="4" borderId="10" xfId="0" applyNumberFormat="1" applyFont="1" applyFill="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0" fontId="10" fillId="4" borderId="3" xfId="0" applyFont="1" applyFill="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per occupied pallet-month: in-house vs 3PL quote</a:t>
            </a:r>
          </a:p>
        </c:rich>
      </c:tx>
      <c:layout/>
    </c:title>
    <c:plotArea>
      <c:layout/>
      <c:barChart>
        <c:barDir val="col"/>
        <c:grouping val="clustered"/>
        <c:ser>
          <c:idx val="0"/>
          <c:order val="0"/>
          <c:tx>
            <c:v>In-house</c:v>
          </c:tx>
          <c:spPr>
            <a:solidFill>
              <a:srgbClr val="3B64D8"/>
            </a:solidFill>
            <a:ln w="9525">
              <a:solidFill>
                <a:srgbClr val="FFFFFF"/>
              </a:solidFill>
            </a:ln>
          </c:spPr>
          <c:cat>
            <c:numRef>
              <c:f>Dashboard!$B$32:$B$43</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Dashboard!$H$32:$H$43</c:f>
              <c:numCache>
                <c:formatCode>General</c:formatCode>
                <c:ptCount val="12"/>
                <c:pt idx="0">
                  <c:v>33.6216517857143</c:v>
                </c:pt>
                <c:pt idx="1">
                  <c:v>30.7397959183673</c:v>
                </c:pt>
                <c:pt idx="2">
                  <c:v>28.312969924812</c:v>
                </c:pt>
                <c:pt idx="3">
                  <c:v>25.6164965986395</c:v>
                </c:pt>
                <c:pt idx="4">
                  <c:v>23.6459968602826</c:v>
                </c:pt>
                <c:pt idx="5">
                  <c:v>22.8913373860182</c:v>
                </c:pt>
                <c:pt idx="6">
                  <c:v>24.4521103896104</c:v>
                </c:pt>
                <c:pt idx="7">
                  <c:v>27.2377938517179</c:v>
                </c:pt>
                <c:pt idx="8">
                  <c:v>30.7397959183673</c:v>
                </c:pt>
                <c:pt idx="9">
                  <c:v>34.1553287981859</c:v>
                </c:pt>
                <c:pt idx="10">
                  <c:v>37.0997536945813</c:v>
                </c:pt>
                <c:pt idx="11">
                  <c:v>35.8630952380952</c:v>
                </c:pt>
              </c:numCache>
            </c:numRef>
          </c:val>
        </c:ser>
        <c:gapWidth val="60"/>
        <c:overlap val="-10"/>
        <c:axId val="50010001"/>
        <c:axId val="50010002"/>
      </c:barChart>
      <c:lineChart>
        <c:grouping val="standard"/>
        <c:ser>
          <c:idx val="1"/>
          <c:order val="1"/>
          <c:tx>
            <c:v>3PL quote</c:v>
          </c:tx>
          <c:spPr>
            <a:ln w="28575">
              <a:solidFill>
                <a:srgbClr val="E8702A"/>
              </a:solidFill>
            </a:ln>
          </c:spPr>
          <c:marker>
            <c:symbol val="circle"/>
            <c:size val="5"/>
            <c:spPr>
              <a:solidFill>
                <a:srgbClr val="E8702A"/>
              </a:solidFill>
              <a:ln>
                <a:solidFill>
                  <a:srgbClr val="E8702A"/>
                </a:solidFill>
              </a:ln>
            </c:spPr>
          </c:marker>
          <c:cat>
            <c:numRef>
              <c:f>Dashboard!$B$32:$B$43</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Dashboard!$I$32:$I$43</c:f>
              <c:numCache>
                <c:formatCode>General</c:formatCode>
                <c:ptCount val="12"/>
                <c:pt idx="0">
                  <c:v>28.3203125</c:v>
                </c:pt>
                <c:pt idx="1">
                  <c:v>28.0586734693878</c:v>
                </c:pt>
                <c:pt idx="2">
                  <c:v>28.1649436090226</c:v>
                </c:pt>
                <c:pt idx="3">
                  <c:v>27.8613945578231</c:v>
                </c:pt>
                <c:pt idx="4">
                  <c:v>27.4097331240188</c:v>
                </c:pt>
                <c:pt idx="5">
                  <c:v>26.7952127659574</c:v>
                </c:pt>
                <c:pt idx="6">
                  <c:v>26.1870941558442</c:v>
                </c:pt>
                <c:pt idx="7">
                  <c:v>26.620705244123</c:v>
                </c:pt>
                <c:pt idx="8">
                  <c:v>27.155612244898</c:v>
                </c:pt>
                <c:pt idx="9">
                  <c:v>27.4773242630386</c:v>
                </c:pt>
                <c:pt idx="10">
                  <c:v>28.4051724137931</c:v>
                </c:pt>
                <c:pt idx="11">
                  <c:v>28.4583333333333</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Occupancy by month, target and break-even</a:t>
            </a:r>
          </a:p>
        </c:rich>
      </c:tx>
      <c:layout/>
    </c:title>
    <c:plotArea>
      <c:layout/>
      <c:barChart>
        <c:barDir val="col"/>
        <c:grouping val="clustered"/>
        <c:ser>
          <c:idx val="0"/>
          <c:order val="0"/>
          <c:tx>
            <c:v>Occupancy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Dashboard!$B$32:$B$43</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Dashboard!$D$32:$D$43</c:f>
              <c:numCache>
                <c:formatCode>General</c:formatCode>
                <c:ptCount val="12"/>
                <c:pt idx="0">
                  <c:v>0.64</c:v>
                </c:pt>
                <c:pt idx="1">
                  <c:v>0.7</c:v>
                </c:pt>
                <c:pt idx="2">
                  <c:v>0.76</c:v>
                </c:pt>
                <c:pt idx="3">
                  <c:v>0.84</c:v>
                </c:pt>
                <c:pt idx="4">
                  <c:v>0.91</c:v>
                </c:pt>
                <c:pt idx="5">
                  <c:v>0.94</c:v>
                </c:pt>
                <c:pt idx="6">
                  <c:v>0.88</c:v>
                </c:pt>
                <c:pt idx="7">
                  <c:v>0.79</c:v>
                </c:pt>
                <c:pt idx="8">
                  <c:v>0.7</c:v>
                </c:pt>
                <c:pt idx="9">
                  <c:v>0.63</c:v>
                </c:pt>
                <c:pt idx="10">
                  <c:v>0.58</c:v>
                </c:pt>
                <c:pt idx="11">
                  <c:v>0.6</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numRef>
              <c:f>Dashboard!$B$32:$B$43</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Dashboard!$K$32:$K$43</c:f>
              <c:numCache>
                <c:formatCode>General</c:formatCode>
                <c:ptCount val="12"/>
                <c:pt idx="0">
                  <c:v>0.85</c:v>
                </c:pt>
                <c:pt idx="1">
                  <c:v>0.85</c:v>
                </c:pt>
                <c:pt idx="2">
                  <c:v>0.85</c:v>
                </c:pt>
                <c:pt idx="3">
                  <c:v>0.85</c:v>
                </c:pt>
                <c:pt idx="4">
                  <c:v>0.85</c:v>
                </c:pt>
                <c:pt idx="5">
                  <c:v>0.85</c:v>
                </c:pt>
                <c:pt idx="6">
                  <c:v>0.85</c:v>
                </c:pt>
                <c:pt idx="7">
                  <c:v>0.85</c:v>
                </c:pt>
                <c:pt idx="8">
                  <c:v>0.85</c:v>
                </c:pt>
                <c:pt idx="9">
                  <c:v>0.85</c:v>
                </c:pt>
                <c:pt idx="10">
                  <c:v>0.85</c:v>
                </c:pt>
                <c:pt idx="11">
                  <c:v>0.85</c:v>
                </c:pt>
              </c:numCache>
            </c:numRef>
          </c:val>
        </c:ser>
        <c:ser>
          <c:idx val="2"/>
          <c:order val="2"/>
          <c:tx>
            <c:v>Break-even (est.)</c:v>
          </c:tx>
          <c:spPr>
            <a:ln w="28575">
              <a:solidFill>
                <a:srgbClr val="E8702A"/>
              </a:solidFill>
            </a:ln>
          </c:spPr>
          <c:marker>
            <c:symbol val="circle"/>
            <c:size val="5"/>
            <c:spPr>
              <a:solidFill>
                <a:srgbClr val="E8702A"/>
              </a:solidFill>
              <a:ln>
                <a:solidFill>
                  <a:srgbClr val="E8702A"/>
                </a:solidFill>
              </a:ln>
            </c:spPr>
          </c:marker>
          <c:cat>
            <c:numRef>
              <c:f>Dashboard!$B$32:$B$43</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Dashboard!$L$32:$L$43</c:f>
              <c:numCache>
                <c:formatCode>General</c:formatCode>
                <c:ptCount val="12"/>
                <c:pt idx="0">
                  <c:v>0.802568027210884</c:v>
                </c:pt>
                <c:pt idx="1">
                  <c:v>0.802568027210884</c:v>
                </c:pt>
                <c:pt idx="2">
                  <c:v>0.802568027210884</c:v>
                </c:pt>
                <c:pt idx="3">
                  <c:v>0.802568027210884</c:v>
                </c:pt>
                <c:pt idx="4">
                  <c:v>0.802568027210884</c:v>
                </c:pt>
                <c:pt idx="5">
                  <c:v>0.802568027210884</c:v>
                </c:pt>
                <c:pt idx="6">
                  <c:v>0.802568027210884</c:v>
                </c:pt>
                <c:pt idx="7">
                  <c:v>0.802568027210884</c:v>
                </c:pt>
                <c:pt idx="8">
                  <c:v>0.802568027210884</c:v>
                </c:pt>
                <c:pt idx="9">
                  <c:v>0.802568027210884</c:v>
                </c:pt>
                <c:pt idx="10">
                  <c:v>0.802568027210884</c:v>
                </c:pt>
                <c:pt idx="11">
                  <c:v>0.802568027210884</c:v>
                </c:pt>
              </c:numCache>
            </c:numRef>
          </c:val>
        </c:ser>
        <c:marker val="1"/>
        <c:axId val="50020001"/>
        <c:axId val="50020002"/>
      </c:line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 chart of in-house cost per occupied pallet-month for each month, with the 3PL quote's cost per occupied pallet-month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Column chart of monthly warehouse occupancy with the occupancy target as a dashed line and the estimated break-even occupancy against the 3PL quote as a soli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ategories" displayName="tblCategories" ref="B24:B30" totalsRowShown="0">
  <autoFilter ref="B24:B30"/>
  <tableColumns count="1">
    <tableColumn id="1" name="Category"/>
  </tableColumns>
  <tableStyleInfo name="TableStyleLight1" showFirstColumn="0" showLastColumn="0" showRowStripes="0" showColumnStripes="0"/>
</table>
</file>

<file path=xl/tables/table2.xml><?xml version="1.0" encoding="utf-8"?>
<table xmlns="http://schemas.openxmlformats.org/spreadsheetml/2006/main" id="2" name="tblCosts" displayName="tblCosts" ref="B6:I15" totalsRowShown="0">
  <autoFilter ref="B6:I15"/>
  <tableColumns count="8">
    <tableColumn id="1" name="Cost line"/>
    <tableColumn id="2" name="Category"/>
    <tableColumn id="3" name="Annual cost"/>
    <tableColumn id="4" name="Storage share"/>
    <tableColumn id="5" name="Storage cost">
      <calculatedColumnFormula>IF(tblCosts[[#This Row],[Cost line]]="","",tblCosts[[#This Row],[Annual cost]]*tblCosts[[#This Row],[Storage share]])</calculatedColumnFormula>
    </tableColumn>
    <tableColumn id="6" name="Handling cost">
      <calculatedColumnFormula>IF(tblCosts[[#This Row],[Cost line]]="","",tblCosts[[#This Row],[Annual cost]]-tblCosts[[#This Row],[Storage cost]])</calculatedColumnFormula>
    </tableColumn>
    <tableColumn id="7" name="Check">
      <calculatedColumnFormula>IF(tblCosts[[#This Row],[Cost line]]="","",IF(tblCosts[[#This Row],[Category]]="","Missing category",IF(tblCosts[[#This Row],[Annual cost]]="","Missing annual cost",IF(tblCosts[[#This Row],[Storage share]]="","Missing storage share",IF(COUNTIF(tblCategories[Category],tblCosts[[#This Row],[Category]])=0,"Category not on Setup list","OK")))))</calculatedColumnFormula>
    </tableColumn>
    <tableColumn id="8" name="Notes"/>
  </tableColumns>
  <tableStyleInfo name="TableStyleLight1" showFirstColumn="0" showLastColumn="0" showRowStripes="0" showColumnStripes="0"/>
</table>
</file>

<file path=xl/tables/table3.xml><?xml version="1.0" encoding="utf-8"?>
<table xmlns="http://schemas.openxmlformats.org/spreadsheetml/2006/main" id="3" name="tblMonthly" displayName="tblMonthly" ref="B6:R18" totalsRowShown="0">
  <autoFilter ref="B6:R18"/>
  <tableColumns count="17">
    <tableColumn id="1" name="Month"/>
    <tableColumn id="2" name="Avg occupied pallets"/>
    <tableColumn id="3" name="Pallets received"/>
    <tableColumn id="4" name="Pallets shipped"/>
    <tableColumn id="5" name="Occupancy">
      <calculatedColumnFormula>IF(tblMonthly[[#This Row],[Month]]="","",IF(Positions&gt;0,tblMonthly[[#This Row],[Avg occupied pallets]]/Positions,""))</calculatedColumnFormula>
    </tableColumn>
    <tableColumn id="6" name="Occupancy status">
      <calculatedColumnFormula>IF(NOT(ISNUMBER(tblMonthly[[#This Row],[Occupancy]])),"",IF(tblMonthly[[#This Row],[Occupancy]]&gt;=TargetOcc,"On target",IF(tblMonthly[[#This Row],[Occupancy]]&gt;=TargetOcc*(1-0.05),"Near target","Below target")))</calculatedColumnFormula>
    </tableColumn>
    <tableColumn id="7" name="In-house cost">
      <calculatedColumnFormula>IF(tblMonthly[[#This Row],[Month]]="","",MonthStorage+MonthHandling)</calculatedColumnFormula>
    </tableColumn>
    <tableColumn id="8" name="In-house per pallet-month">
      <calculatedColumnFormula>IF(tblMonthly[[#This Row],[Month]]="","",IF(tblMonthly[[#This Row],[Avg occupied pallets]]&gt;0,tblMonthly[[#This Row],[In-house cost]]/tblMonthly[[#This Row],[Avg occupied pallets]],""))</calculatedColumnFormula>
    </tableColumn>
    <tableColumn id="9" name="Handling per pallet moved">
      <calculatedColumnFormula>IF(tblMonthly[[#This Row],[Month]]="","",IF(tblMonthly[[#This Row],[Pallets received]]+tblMonthly[[#This Row],[Pallets shipped]]&gt;0,MonthHandling/(tblMonthly[[#This Row],[Pallets received]]+tblMonthly[[#This Row],[Pallets shipped]]),""))</calculatedColumnFormula>
    </tableColumn>
    <tableColumn id="10" name="3PL storage">
      <calculatedColumnFormula>IF(tblMonthly[[#This Row],[Month]]="","",tblMonthly[[#This Row],[Avg occupied pallets]]*Rate3PL)</calculatedColumnFormula>
    </tableColumn>
    <tableColumn id="11" name="3PL handling">
      <calculatedColumnFormula>IF(tblMonthly[[#This Row],[Month]]="","",tblMonthly[[#This Row],[Pallets received]]*In3PL+tblMonthly[[#This Row],[Pallets shipped]]*Out3PL)</calculatedColumnFormula>
    </tableColumn>
    <tableColumn id="12" name="3PL equivalent">
      <calculatedColumnFormula>IF(tblMonthly[[#This Row],[Month]]="","",tblMonthly[[#This Row],[3PL storage]]+tblMonthly[[#This Row],[3PL handling]]+Admin3PL)</calculatedColumnFormula>
    </tableColumn>
    <tableColumn id="13" name="3PL per pallet-month">
      <calculatedColumnFormula>IF(tblMonthly[[#This Row],[Month]]="","",IF(tblMonthly[[#This Row],[Avg occupied pallets]]&gt;0,tblMonthly[[#This Row],[3PL equivalent]]/tblMonthly[[#This Row],[Avg occupied pallets]],""))</calculatedColumnFormula>
    </tableColumn>
    <tableColumn id="14" name="In-house minus 3PL">
      <calculatedColumnFormula>IF(tblMonthly[[#This Row],[Month]]="","",tblMonthly[[#This Row],[In-house cost]]-tblMonthly[[#This Row],[3PL equivalent]])</calculatedColumnFormula>
    </tableColumn>
    <tableColumn id="15" name="Cheaper option">
      <calculatedColumnFormula>IF(tblMonthly[[#This Row],[Month]]="","",IF(tblMonthly[[#This Row],[In-house minus 3PL]]&gt;0,"3PL quote","In-house"))</calculatedColumnFormula>
    </tableColumn>
    <tableColumn id="16" name="Check">
      <calculatedColumnFormula>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calculatedColumnFormula>
    </tableColumn>
    <tableColumn id="17" name="Notes"/>
  </tableColumns>
  <tableStyleInfo name="TableStyleLight1" showFirstColumn="0" showLastColumn="0" showRowStripes="0" showColumnStripes="0"/>
</table>
</file>

<file path=xl/tables/table4.xml><?xml version="1.0" encoding="utf-8"?>
<table xmlns="http://schemas.openxmlformats.org/spreadsheetml/2006/main" id="4" name="tblVerifyCategories" displayName="tblVerifyCategories" ref="B42:B44" totalsRowShown="0">
  <tableColumns count="1">
    <tableColumn id="1" name="Category"/>
  </tableColumns>
  <tableStyleInfo name="TableStyleLight1" showFirstColumn="0" showLastColumn="0" showRowStripes="0" showColumnStripes="0"/>
</table>
</file>

<file path=xl/tables/table5.xml><?xml version="1.0" encoding="utf-8"?>
<table xmlns="http://schemas.openxmlformats.org/spreadsheetml/2006/main" id="5" name="tblVerifyCosts" displayName="tblVerifyCosts" ref="B48:I51" totalsRowShown="0">
  <tableColumns count="8">
    <tableColumn id="1" name="Cost line"/>
    <tableColumn id="2" name="Category"/>
    <tableColumn id="3" name="Annual cost"/>
    <tableColumn id="4" name="Storage share"/>
    <tableColumn id="5" name="Storage cost">
      <calculatedColumnFormula>IF(tblVerifyCosts[[#This Row],[Cost line]]="","",tblVerifyCosts[[#This Row],[Annual cost]]*tblVerifyCosts[[#This Row],[Storage share]])</calculatedColumnFormula>
    </tableColumn>
    <tableColumn id="6" name="Handling cost">
      <calculatedColumnFormula>IF(tblVerifyCosts[[#This Row],[Cost line]]="","",tblVerifyCosts[[#This Row],[Annual cost]]-tblVerifyCosts[[#This Row],[Storage cost]])</calculatedColumnFormula>
    </tableColumn>
    <tableColumn id="7" name="Check">
      <calculatedColumnFormula>IF(tblVerifyCosts[[#This Row],[Cost line]]="","",IF(tblVerifyCosts[[#This Row],[Category]]="","Missing category",IF(tblVerifyCosts[[#This Row],[Annual cost]]="","Missing annual cost",IF(tblVerifyCosts[[#This Row],[Storage share]]="","Missing storage share",IF(COUNTIF(tblVerifyCategories[Category],tblVerifyCosts[[#This Row],[Category]])=0,"Category not on Setup list","OK")))))</calculatedColumnFormula>
    </tableColumn>
    <tableColumn id="8" name="Notes"/>
  </tableColumns>
  <tableStyleInfo name="TableStyleLight1" showFirstColumn="0" showLastColumn="0" showRowStripes="0" showColumnStripes="0"/>
</table>
</file>

<file path=xl/tables/table6.xml><?xml version="1.0" encoding="utf-8"?>
<table xmlns="http://schemas.openxmlformats.org/spreadsheetml/2006/main" id="6" name="tblVerifyMonthly" displayName="tblVerifyMonthly" ref="B63:R67" totalsRowShown="0">
  <tableColumns count="17">
    <tableColumn id="1" name="Month"/>
    <tableColumn id="2" name="Avg occupied pallets"/>
    <tableColumn id="3" name="Pallets received"/>
    <tableColumn id="4" name="Pallets shipped"/>
    <tableColumn id="5" name="Occupancy">
      <calculatedColumnFormula>IF(tblVerifyMonthly[[#This Row],[Month]]="","",IF($E$34&gt;0,tblVerifyMonthly[[#This Row],[Avg occupied pallets]]/$E$34,""))</calculatedColumnFormula>
    </tableColumn>
    <tableColumn id="6" name="Occupancy status">
      <calculatedColumnFormula>IF(NOT(ISNUMBER(tblVerifyMonthly[[#This Row],[Occupancy]])),"",IF(tblVerifyMonthly[[#This Row],[Occupancy]]&gt;=$E$35,"On target",IF(tblVerifyMonthly[[#This Row],[Occupancy]]&gt;=$E$35*(1-0.05),"Near target","Below target")))</calculatedColumnFormula>
    </tableColumn>
    <tableColumn id="7" name="In-house cost">
      <calculatedColumnFormula>IF(tblVerifyMonthly[[#This Row],[Month]]="","",$E$57+$E$58)</calculatedColumnFormula>
    </tableColumn>
    <tableColumn id="8" name="In-house per pallet-month">
      <calculatedColumnFormula>IF(tblVerifyMonthly[[#This Row],[Month]]="","",IF(tblVerifyMonthly[[#This Row],[Avg occupied pallets]]&gt;0,tblVerifyMonthly[[#This Row],[In-house cost]]/tblVerifyMonthly[[#This Row],[Avg occupied pallets]],""))</calculatedColumnFormula>
    </tableColumn>
    <tableColumn id="9" name="Handling per pallet moved">
      <calculatedColumnFormula>IF(tblVerifyMonthly[[#This Row],[Month]]="","",IF(tblVerifyMonthly[[#This Row],[Pallets received]]+tblVerifyMonthly[[#This Row],[Pallets shipped]]&gt;0,$E$58/(tblVerifyMonthly[[#This Row],[Pallets received]]+tblVerifyMonthly[[#This Row],[Pallets shipped]]),""))</calculatedColumnFormula>
    </tableColumn>
    <tableColumn id="10" name="3PL storage">
      <calculatedColumnFormula>IF(tblVerifyMonthly[[#This Row],[Month]]="","",tblVerifyMonthly[[#This Row],[Avg occupied pallets]]*$E$36)</calculatedColumnFormula>
    </tableColumn>
    <tableColumn id="11" name="3PL handling">
      <calculatedColumnFormula>IF(tblVerifyMonthly[[#This Row],[Month]]="","",tblVerifyMonthly[[#This Row],[Pallets received]]*$E$37+tblVerifyMonthly[[#This Row],[Pallets shipped]]*$E$38)</calculatedColumnFormula>
    </tableColumn>
    <tableColumn id="12" name="3PL equivalent">
      <calculatedColumnFormula>IF(tblVerifyMonthly[[#This Row],[Month]]="","",tblVerifyMonthly[[#This Row],[3PL storage]]+tblVerifyMonthly[[#This Row],[3PL handling]]+$E$39)</calculatedColumnFormula>
    </tableColumn>
    <tableColumn id="13" name="3PL per pallet-month">
      <calculatedColumnFormula>IF(tblVerifyMonthly[[#This Row],[Month]]="","",IF(tblVerifyMonthly[[#This Row],[Avg occupied pallets]]&gt;0,tblVerifyMonthly[[#This Row],[3PL equivalent]]/tblVerifyMonthly[[#This Row],[Avg occupied pallets]],""))</calculatedColumnFormula>
    </tableColumn>
    <tableColumn id="14" name="In-house minus 3PL">
      <calculatedColumnFormula>IF(tblVerifyMonthly[[#This Row],[Month]]="","",tblVerifyMonthly[[#This Row],[In-house cost]]-tblVerifyMonthly[[#This Row],[3PL equivalent]])</calculatedColumnFormula>
    </tableColumn>
    <tableColumn id="15" name="Cheaper option">
      <calculatedColumnFormula>IF(tblVerifyMonthly[[#This Row],[Month]]="","",IF(tblVerifyMonthly[[#This Row],[In-house minus 3PL]]&gt;0,"3PL quote","In-house"))</calculatedColumnFormula>
    </tableColumn>
    <tableColumn id="16" name="Check">
      <calculatedColumnFormula>IF(tblVerifyMonthly[[#This Row],[Month]]="","",IF(tblVerifyMonthly[[#This Row],[Avg occupied pallets]]="","Missing avg occupied pallets",IF(tblVerifyMonthly[[#This Row],[Pallets received]]="","Missing pallets received",IF(tblVerifyMonthly[[#This Row],[Pallets shipped]]="","Missing pallets shipped",IF(DAY(tblVerifyMonthly[[#This Row],[Month]])&lt;&gt;1,"Use the 1st of the month",IF(COUNTIF(tblVerifyMonthly[Month],tblVerifyMonthly[[#This Row],[Month]])&gt;1,"Month entered twice",IF(tblVerifyMonthly[[#This Row],[Avg occupied pallets]]&gt;$E$34,"Occupied above capacity","OK")))))))</calculatedColumnFormula>
    </tableColumn>
    <tableColumn id="1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hyperlink" Target="https://www.mfgcalcs.com/calculators/packaging-warehousing-logistics/warehouse-storage-cost?utm_source=mfgcalcs-template&amp;utm_medium=xlsx&amp;utm_campaign=warehouse-storage-cost" TargetMode="External"/><Relationship Id="rId3" Type="http://schemas.openxmlformats.org/officeDocument/2006/relationships/hyperlink" Target="https://www.mfgcalcs.com/templates/warehouse-storage-cost?utm_source=mfgcalcs-template&amp;utm_medium=xlsx&amp;utm_campaign=warehouse-storage-cost" TargetMode="External"/><Relationship Id="rId4" Type="http://schemas.openxmlformats.org/officeDocument/2006/relationships/hyperlink" Target="https://www.mfgcalcs.com/templates?utm_source=mfgcalcs-template&amp;utm_medium=xlsx&amp;utm_campaign=warehouse-storage-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hyperlink" Target="https://www.mfgcalcs.com/calculators/packaging-warehousing-logistics/warehouse-storage-cost?utm_source=mfgcalcs-template&amp;utm_medium=xlsx&amp;utm_campaign=warehouse-storage-co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rehouse-storage-cost"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18 of 18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Cost Register'!A1" tooltip="Go to Cost Register" display="Cost Register"/>
    <hyperlink ref="C22" location="'Monthly Activity'!A1" tooltip="Go to Monthly Activity" display="Monthly Activity"/>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Warehouse Storage Cost&amp;R&amp;8&amp;A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0"/>
  <sheetViews>
    <sheetView showGridLines="0" workbookViewId="0"/>
  </sheetViews>
  <sheetFormatPr defaultRowHeight="15"/>
  <cols>
    <col min="1" max="1" width="2.7109375" customWidth="1"/>
    <col min="2" max="2" width="32.7109375" customWidth="1"/>
    <col min="3" max="3" width="14.7109375" customWidth="1"/>
    <col min="4" max="4" width="32.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63</v>
      </c>
      <c r="C4" s="8"/>
      <c r="D4" s="8"/>
    </row>
    <row r="5" spans="1:5" ht="5" customHeight="1"/>
    <row r="6" spans="1:5">
      <c r="B6" s="27" t="s">
        <v>64</v>
      </c>
      <c r="C6" s="28" t="s">
        <v>65</v>
      </c>
      <c r="D6" s="28"/>
    </row>
    <row r="7" spans="1:5">
      <c r="B7" s="27" t="s">
        <v>66</v>
      </c>
      <c r="C7" s="28" t="s">
        <v>67</v>
      </c>
      <c r="D7" s="28"/>
    </row>
    <row r="8" spans="1:5">
      <c r="B8" s="27" t="s">
        <v>68</v>
      </c>
      <c r="C8" s="29">
        <v>1400</v>
      </c>
      <c r="D8" s="7" t="s">
        <v>69</v>
      </c>
    </row>
    <row r="9" spans="1:5">
      <c r="B9" s="27" t="s">
        <v>70</v>
      </c>
      <c r="C9" s="30">
        <v>0.85</v>
      </c>
      <c r="D9" s="7"/>
    </row>
    <row r="11" spans="1:5" ht="21" customHeight="1">
      <c r="B11" s="8" t="s">
        <v>71</v>
      </c>
      <c r="C11" s="8"/>
      <c r="D11" s="8"/>
    </row>
    <row r="12" spans="1:5" ht="5" customHeight="1"/>
    <row r="13" spans="1:5">
      <c r="B13" s="27" t="s">
        <v>72</v>
      </c>
      <c r="C13" s="31">
        <v>17.5</v>
      </c>
      <c r="D13" s="7" t="str">
        <f>Currency&amp;" per pallet per month"</f>
        <v>USD per pallet per month</v>
      </c>
    </row>
    <row r="14" spans="1:5">
      <c r="B14" s="27" t="s">
        <v>73</v>
      </c>
      <c r="C14" s="31">
        <v>6</v>
      </c>
      <c r="D14" s="7" t="str">
        <f>Currency&amp;" per pallet received"</f>
        <v>USD per pallet received</v>
      </c>
    </row>
    <row r="15" spans="1:5">
      <c r="B15" s="27" t="s">
        <v>74</v>
      </c>
      <c r="C15" s="31">
        <v>6.5</v>
      </c>
      <c r="D15" s="7" t="str">
        <f>Currency&amp;" per pallet shipped"</f>
        <v>USD per pallet shipped</v>
      </c>
    </row>
    <row r="16" spans="1:5">
      <c r="B16" s="27" t="s">
        <v>75</v>
      </c>
      <c r="C16" s="31">
        <v>650</v>
      </c>
      <c r="D16" s="7" t="str">
        <f>Currency&amp;" per month"</f>
        <v>USD per month</v>
      </c>
    </row>
    <row r="18" spans="2:4" ht="61.8" customHeight="1">
      <c r="B18" s="25" t="s">
        <v>76</v>
      </c>
      <c r="C18" s="25"/>
      <c r="D18" s="25"/>
    </row>
    <row r="20" spans="2:4" ht="21" customHeight="1">
      <c r="B20" s="8" t="s">
        <v>77</v>
      </c>
      <c r="C20" s="8"/>
      <c r="D20" s="8"/>
    </row>
    <row r="21" spans="2:4" ht="5" customHeight="1"/>
    <row r="22" spans="2:4" ht="50.52" customHeight="1">
      <c r="B22" s="21" t="s">
        <v>78</v>
      </c>
      <c r="C22" s="21"/>
      <c r="D22" s="21"/>
    </row>
    <row r="23" spans="2:4">
      <c r="B23" s="32" t="s">
        <v>79</v>
      </c>
    </row>
    <row r="24" spans="2:4" ht="20" customHeight="1">
      <c r="B24" s="33" t="s">
        <v>62</v>
      </c>
    </row>
    <row r="25" spans="2:4">
      <c r="B25" s="28" t="s">
        <v>80</v>
      </c>
    </row>
    <row r="26" spans="2:4">
      <c r="B26" s="28" t="s">
        <v>81</v>
      </c>
    </row>
    <row r="27" spans="2:4">
      <c r="B27" s="28" t="s">
        <v>82</v>
      </c>
    </row>
    <row r="28" spans="2:4">
      <c r="B28" s="28" t="s">
        <v>83</v>
      </c>
    </row>
    <row r="29" spans="2:4">
      <c r="B29" s="28" t="s">
        <v>84</v>
      </c>
    </row>
    <row r="30" spans="2:4">
      <c r="B30" s="28" t="s">
        <v>85</v>
      </c>
    </row>
  </sheetData>
  <mergeCells count="10">
    <mergeCell ref="A1:E1"/>
    <mergeCell ref="B2:C2"/>
    <mergeCell ref="D2:E2"/>
    <mergeCell ref="B4:D4"/>
    <mergeCell ref="C6:D6"/>
    <mergeCell ref="C7:D7"/>
    <mergeCell ref="B11:D11"/>
    <mergeCell ref="B18:D18"/>
    <mergeCell ref="B20:D20"/>
    <mergeCell ref="B22:D22"/>
  </mergeCells>
  <dataValidations count="9">
    <dataValidation type="textLength" allowBlank="1" showInputMessage="1" showErrorMessage="1" errorTitle="Check this entry" error="Text up to 80 characters." promptTitle="Warehouse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whole" allowBlank="1" showInputMessage="1" showErrorMessage="1" errorTitle="Check this entry" error="Enter a whole number from 1 to 10,000,000." promptTitle="Pallet positions (capacity)" prompt="Every pallet position you pay for: racked locations plus marked floor positions. Enter a whole number from 1 to 10,000,000." sqref="C8">
      <formula1>1</formula1>
      <formula2>10000000</formula2>
    </dataValidation>
    <dataValidation type="decimal" allowBlank="1" showInputMessage="1" showErrorMessage="1" errorTitle="Check this entry" error="Enter a percentage from 0% to 100% (type 85% or 0.85)." promptTitle="Occupancy target" prompt="Your own planning target for average occupied positions / capacity. Set what your plan assumes. Enter a percentage from 0% to 100% (type 85% or 0.85)." sqref="C9">
      <formula1>0</formula1>
      <formula2>1</formula2>
    </dataValidation>
    <dataValidation type="decimal" allowBlank="1" showInputMessage="1" showErrorMessage="1" errorTitle="Check this entry" error="Enter a number from 0 to 100,000." promptTitle="Storage rate" prompt="The 3PL's monthly storage charge per occupied pallet position. Enter a number from 0 to 100,000." sqref="C13">
      <formula1>0</formula1>
      <formula2>100000</formula2>
    </dataValidation>
    <dataValidation type="decimal" allowBlank="1" showInputMessage="1" showErrorMessage="1" errorTitle="Check this entry" error="Enter a number from 0 to 100,000." promptTitle="Handling in" prompt="Receiving and putaway charge per pallet. Enter a number from 0 to 100,000." sqref="C14">
      <formula1>0</formula1>
      <formula2>100000</formula2>
    </dataValidation>
    <dataValidation type="decimal" allowBlank="1" showInputMessage="1" showErrorMessage="1" errorTitle="Check this entry" error="Enter a number from 0 to 100,000." promptTitle="Handling out" prompt="Picking a full pallet and loading it. Enter a number from 0 to 100,000." sqref="C15">
      <formula1>0</formula1>
      <formula2>100000</formula2>
    </dataValidation>
    <dataValidation type="decimal" allowBlank="1" showInputMessage="1" showErrorMessage="1" errorTitle="Check this entry" error="Enter a number from 0 to 10,000,000." promptTitle="Account and admin charges" prompt="Fixed monthly account, WMS or management fee. Enter a number from 0 to 10,000,000." sqref="C16">
      <formula1>0</formula1>
      <formula2>10000000</formula2>
    </dataValidation>
    <dataValidation type="textLength" allowBlank="1" showInputMessage="1" showErrorMessage="1" errorTitle="Check this entry" error="Text up to 30 characters." promptTitle="Category" prompt="Text up to 30 characters." sqref="B25:B130">
      <formula1>0</formula1>
      <formula2>30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Warehouse Storage Cost&amp;R&amp;8&amp;A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I23"/>
  <sheetViews>
    <sheetView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7109375" customWidth="1"/>
    <col min="2" max="2" width="34.7109375" customWidth="1"/>
    <col min="3" max="3" width="14.7109375" customWidth="1"/>
    <col min="4" max="4" width="24.7109375" customWidth="1"/>
    <col min="5" max="5" width="9.7109375" customWidth="1"/>
    <col min="6" max="7" width="12.7109375" customWidth="1"/>
    <col min="8" max="8" width="22.7109375" customWidth="1"/>
    <col min="9" max="9" width="40.7109375" customWidth="1"/>
  </cols>
  <sheetData>
    <row r="1" spans="1:9" ht="30" customHeight="1">
      <c r="A1" s="1" t="s">
        <v>0</v>
      </c>
      <c r="B1" s="1"/>
      <c r="C1" s="1"/>
      <c r="D1" s="1"/>
      <c r="E1" s="1"/>
      <c r="F1" s="1"/>
      <c r="G1" s="1"/>
      <c r="H1" s="1"/>
      <c r="I1" s="1"/>
    </row>
    <row r="2" spans="1:9" ht="21" customHeight="1">
      <c r="B2" s="2" t="s">
        <v>20</v>
      </c>
      <c r="C2" s="2"/>
      <c r="D2" s="2"/>
      <c r="E2" s="2"/>
      <c r="F2" s="2"/>
      <c r="G2" s="2"/>
      <c r="H2" s="2"/>
      <c r="I2" s="3" t="s">
        <v>2</v>
      </c>
    </row>
    <row r="3" spans="1:9" ht="6" customHeight="1"/>
    <row r="4" spans="1:9" ht="41.64" customHeight="1">
      <c r="B4" s="34" t="s">
        <v>93</v>
      </c>
      <c r="C4" s="34"/>
      <c r="D4" s="34"/>
      <c r="E4" s="34"/>
      <c r="F4" s="34"/>
      <c r="G4" s="34"/>
      <c r="H4" s="34"/>
      <c r="I4" s="34"/>
    </row>
    <row r="5" spans="1:9" ht="14" customHeight="1">
      <c r="B5" s="35"/>
      <c r="C5" s="35"/>
      <c r="D5" s="35" t="str">
        <f>Currency&amp;"/year"</f>
        <v>USD/year</v>
      </c>
      <c r="E5" s="35"/>
      <c r="F5" s="35" t="str">
        <f>Currency&amp;"/year"</f>
        <v>USD/year</v>
      </c>
      <c r="G5" s="35" t="str">
        <f>Currency&amp;"/year"</f>
        <v>USD/year</v>
      </c>
      <c r="H5" s="35"/>
      <c r="I5" s="35"/>
    </row>
    <row r="6" spans="1:9" ht="32" customHeight="1">
      <c r="B6" s="33" t="s">
        <v>86</v>
      </c>
      <c r="C6" s="33" t="s">
        <v>62</v>
      </c>
      <c r="D6" s="33" t="s">
        <v>87</v>
      </c>
      <c r="E6" s="33" t="s">
        <v>88</v>
      </c>
      <c r="F6" s="33" t="s">
        <v>89</v>
      </c>
      <c r="G6" s="33" t="s">
        <v>90</v>
      </c>
      <c r="H6" s="33" t="s">
        <v>91</v>
      </c>
      <c r="I6" s="33" t="s">
        <v>92</v>
      </c>
    </row>
    <row r="7" spans="1:9">
      <c r="B7" s="36" t="s">
        <v>94</v>
      </c>
      <c r="C7" s="28" t="s">
        <v>80</v>
      </c>
      <c r="D7" s="29">
        <v>132000</v>
      </c>
      <c r="E7" s="30">
        <v>1</v>
      </c>
      <c r="F7" s="37">
        <f>IF(tblCosts[[#This Row],[Cost line]]="","",tblCosts[[#This Row],[Annual cost]]*tblCosts[[#This Row],[Storage share]])</f>
        <v>132000</v>
      </c>
      <c r="G7" s="37">
        <f>IF(tblCosts[[#This Row],[Cost line]]="","",tblCosts[[#This Row],[Annual cost]]-tblCosts[[#This Row],[Storage cost]])</f>
        <v>0</v>
      </c>
      <c r="H7" s="38" t="str">
        <f>IF(tblCosts[[#This Row],[Cost line]]="","",IF(tblCosts[[#This Row],[Category]]="","Missing category",IF(tblCosts[[#This Row],[Annual cost]]="","Missing annual cost",IF(tblCosts[[#This Row],[Storage share]]="","Missing storage share",IF(COUNTIF(tblCategories[Category],tblCosts[[#This Row],[Category]])=0,"Category not on Setup list","OK")))))</f>
        <v>OK</v>
      </c>
      <c r="I7" s="36" t="s">
        <v>95</v>
      </c>
    </row>
    <row r="8" spans="1:9">
      <c r="B8" s="36" t="s">
        <v>96</v>
      </c>
      <c r="C8" s="28" t="s">
        <v>80</v>
      </c>
      <c r="D8" s="29">
        <v>28000</v>
      </c>
      <c r="E8" s="30">
        <v>1</v>
      </c>
      <c r="F8" s="37">
        <f>IF(tblCosts[[#This Row],[Cost line]]="","",tblCosts[[#This Row],[Annual cost]]*tblCosts[[#This Row],[Storage share]])</f>
        <v>28000</v>
      </c>
      <c r="G8" s="37">
        <f>IF(tblCosts[[#This Row],[Cost line]]="","",tblCosts[[#This Row],[Annual cost]]-tblCosts[[#This Row],[Storage cost]])</f>
        <v>0</v>
      </c>
      <c r="H8" s="38" t="str">
        <f>IF(tblCosts[[#This Row],[Cost line]]="","",IF(tblCosts[[#This Row],[Category]]="","Missing category",IF(tblCosts[[#This Row],[Annual cost]]="","Missing annual cost",IF(tblCosts[[#This Row],[Storage share]]="","Missing storage share",IF(COUNTIF(tblCategories[Category],tblCosts[[#This Row],[Category]])=0,"Category not on Setup list","OK")))))</f>
        <v>OK</v>
      </c>
      <c r="I8" s="36" t="s">
        <v>97</v>
      </c>
    </row>
    <row r="9" spans="1:9">
      <c r="B9" s="36" t="s">
        <v>98</v>
      </c>
      <c r="C9" s="28" t="s">
        <v>81</v>
      </c>
      <c r="D9" s="29">
        <v>14500</v>
      </c>
      <c r="E9" s="30">
        <v>1</v>
      </c>
      <c r="F9" s="37">
        <f>IF(tblCosts[[#This Row],[Cost line]]="","",tblCosts[[#This Row],[Annual cost]]*tblCosts[[#This Row],[Storage share]])</f>
        <v>14500</v>
      </c>
      <c r="G9" s="37">
        <f>IF(tblCosts[[#This Row],[Cost line]]="","",tblCosts[[#This Row],[Annual cost]]-tblCosts[[#This Row],[Storage cost]])</f>
        <v>0</v>
      </c>
      <c r="H9" s="38" t="str">
        <f>IF(tblCosts[[#This Row],[Cost line]]="","",IF(tblCosts[[#This Row],[Category]]="","Missing category",IF(tblCosts[[#This Row],[Annual cost]]="","Missing annual cost",IF(tblCosts[[#This Row],[Storage share]]="","Missing storage share",IF(COUNTIF(tblCategories[Category],tblCosts[[#This Row],[Category]])=0,"Category not on Setup list","OK")))))</f>
        <v>OK</v>
      </c>
      <c r="I9" s="36" t="s">
        <v>99</v>
      </c>
    </row>
    <row r="10" spans="1:9">
      <c r="B10" s="36" t="s">
        <v>100</v>
      </c>
      <c r="C10" s="28" t="s">
        <v>81</v>
      </c>
      <c r="D10" s="29">
        <v>31000</v>
      </c>
      <c r="E10" s="30">
        <v>0.2</v>
      </c>
      <c r="F10" s="37">
        <f>IF(tblCosts[[#This Row],[Cost line]]="","",tblCosts[[#This Row],[Annual cost]]*tblCosts[[#This Row],[Storage share]])</f>
        <v>6200</v>
      </c>
      <c r="G10" s="37">
        <f>IF(tblCosts[[#This Row],[Cost line]]="","",tblCosts[[#This Row],[Annual cost]]-tblCosts[[#This Row],[Storage cost]])</f>
        <v>24800</v>
      </c>
      <c r="H10" s="38" t="str">
        <f>IF(tblCosts[[#This Row],[Cost line]]="","",IF(tblCosts[[#This Row],[Category]]="","Missing category",IF(tblCosts[[#This Row],[Annual cost]]="","Missing annual cost",IF(tblCosts[[#This Row],[Storage share]]="","Missing storage share",IF(COUNTIF(tblCategories[Category],tblCosts[[#This Row],[Category]])=0,"Category not on Setup list","OK")))))</f>
        <v>OK</v>
      </c>
      <c r="I10" s="36" t="s">
        <v>101</v>
      </c>
    </row>
    <row r="11" spans="1:9">
      <c r="B11" s="36" t="s">
        <v>102</v>
      </c>
      <c r="C11" s="28" t="s">
        <v>82</v>
      </c>
      <c r="D11" s="29">
        <v>98000</v>
      </c>
      <c r="E11" s="30">
        <v>0.1</v>
      </c>
      <c r="F11" s="37">
        <f>IF(tblCosts[[#This Row],[Cost line]]="","",tblCosts[[#This Row],[Annual cost]]*tblCosts[[#This Row],[Storage share]])</f>
        <v>9800</v>
      </c>
      <c r="G11" s="37">
        <f>IF(tblCosts[[#This Row],[Cost line]]="","",tblCosts[[#This Row],[Annual cost]]-tblCosts[[#This Row],[Storage cost]])</f>
        <v>88200</v>
      </c>
      <c r="H11" s="38" t="str">
        <f>IF(tblCosts[[#This Row],[Cost line]]="","",IF(tblCosts[[#This Row],[Category]]="","Missing category",IF(tblCosts[[#This Row],[Annual cost]]="","Missing annual cost",IF(tblCosts[[#This Row],[Storage share]]="","Missing storage share",IF(COUNTIF(tblCategories[Category],tblCosts[[#This Row],[Category]])=0,"Category not on Setup list","OK")))))</f>
        <v>OK</v>
      </c>
      <c r="I11" s="36" t="s">
        <v>103</v>
      </c>
    </row>
    <row r="12" spans="1:9">
      <c r="B12" s="36" t="s">
        <v>104</v>
      </c>
      <c r="C12" s="28" t="s">
        <v>82</v>
      </c>
      <c r="D12" s="29">
        <v>21000</v>
      </c>
      <c r="E12" s="30">
        <v>0.25</v>
      </c>
      <c r="F12" s="37">
        <f>IF(tblCosts[[#This Row],[Cost line]]="","",tblCosts[[#This Row],[Annual cost]]*tblCosts[[#This Row],[Storage share]])</f>
        <v>5250</v>
      </c>
      <c r="G12" s="37">
        <f>IF(tblCosts[[#This Row],[Cost line]]="","",tblCosts[[#This Row],[Annual cost]]-tblCosts[[#This Row],[Storage cost]])</f>
        <v>15750</v>
      </c>
      <c r="H12" s="38" t="str">
        <f>IF(tblCosts[[#This Row],[Cost line]]="","",IF(tblCosts[[#This Row],[Category]]="","Missing category",IF(tblCosts[[#This Row],[Annual cost]]="","Missing annual cost",IF(tblCosts[[#This Row],[Storage share]]="","Missing storage share",IF(COUNTIF(tblCategories[Category],tblCosts[[#This Row],[Category]])=0,"Category not on Setup list","OK")))))</f>
        <v>OK</v>
      </c>
      <c r="I12" s="36" t="s">
        <v>105</v>
      </c>
    </row>
    <row r="13" spans="1:9">
      <c r="B13" s="36" t="s">
        <v>106</v>
      </c>
      <c r="C13" s="28" t="s">
        <v>83</v>
      </c>
      <c r="D13" s="29">
        <v>19000</v>
      </c>
      <c r="E13" s="30">
        <v>0.8</v>
      </c>
      <c r="F13" s="37">
        <f>IF(tblCosts[[#This Row],[Cost line]]="","",tblCosts[[#This Row],[Annual cost]]*tblCosts[[#This Row],[Storage share]])</f>
        <v>15200</v>
      </c>
      <c r="G13" s="37">
        <f>IF(tblCosts[[#This Row],[Cost line]]="","",tblCosts[[#This Row],[Annual cost]]-tblCosts[[#This Row],[Storage cost]])</f>
        <v>3800</v>
      </c>
      <c r="H13" s="38" t="str">
        <f>IF(tblCosts[[#This Row],[Cost line]]="","",IF(tblCosts[[#This Row],[Category]]="","Missing category",IF(tblCosts[[#This Row],[Annual cost]]="","Missing annual cost",IF(tblCosts[[#This Row],[Storage share]]="","Missing storage share",IF(COUNTIF(tblCategories[Category],tblCosts[[#This Row],[Category]])=0,"Category not on Setup list","OK")))))</f>
        <v>OK</v>
      </c>
      <c r="I13" s="36" t="s">
        <v>107</v>
      </c>
    </row>
    <row r="14" spans="1:9">
      <c r="B14" s="36" t="s">
        <v>108</v>
      </c>
      <c r="C14" s="28" t="s">
        <v>84</v>
      </c>
      <c r="D14" s="29">
        <v>9600</v>
      </c>
      <c r="E14" s="30">
        <v>0.5</v>
      </c>
      <c r="F14" s="37">
        <f>IF(tblCosts[[#This Row],[Cost line]]="","",tblCosts[[#This Row],[Annual cost]]*tblCosts[[#This Row],[Storage share]])</f>
        <v>4800</v>
      </c>
      <c r="G14" s="37">
        <f>IF(tblCosts[[#This Row],[Cost line]]="","",tblCosts[[#This Row],[Annual cost]]-tblCosts[[#This Row],[Storage cost]])</f>
        <v>4800</v>
      </c>
      <c r="H14" s="38" t="str">
        <f>IF(tblCosts[[#This Row],[Cost line]]="","",IF(tblCosts[[#This Row],[Category]]="","Missing category",IF(tblCosts[[#This Row],[Annual cost]]="","Missing annual cost",IF(tblCosts[[#This Row],[Storage share]]="","Missing storage share",IF(COUNTIF(tblCategories[Category],tblCosts[[#This Row],[Category]])=0,"Category not on Setup list","OK")))))</f>
        <v>OK</v>
      </c>
      <c r="I14" s="36" t="s">
        <v>97</v>
      </c>
    </row>
    <row r="15" spans="1:9">
      <c r="B15" s="36" t="s">
        <v>109</v>
      </c>
      <c r="C15" s="28" t="s">
        <v>85</v>
      </c>
      <c r="D15" s="29">
        <v>8400</v>
      </c>
      <c r="E15" s="30">
        <v>0.7</v>
      </c>
      <c r="F15" s="37">
        <f>IF(tblCosts[[#This Row],[Cost line]]="","",tblCosts[[#This Row],[Annual cost]]*tblCosts[[#This Row],[Storage share]])</f>
        <v>5880</v>
      </c>
      <c r="G15" s="37">
        <f>IF(tblCosts[[#This Row],[Cost line]]="","",tblCosts[[#This Row],[Annual cost]]-tblCosts[[#This Row],[Storage cost]])</f>
        <v>2520</v>
      </c>
      <c r="H15" s="38" t="str">
        <f>IF(tblCosts[[#This Row],[Cost line]]="","",IF(tblCosts[[#This Row],[Category]]="","Missing category",IF(tblCosts[[#This Row],[Annual cost]]="","Missing annual cost",IF(tblCosts[[#This Row],[Storage share]]="","Missing storage share",IF(COUNTIF(tblCategories[Category],tblCosts[[#This Row],[Category]])=0,"Category not on Setup list","OK")))))</f>
        <v>OK</v>
      </c>
      <c r="I15" s="36" t="s">
        <v>97</v>
      </c>
    </row>
    <row r="17" spans="2:4">
      <c r="B17" s="32" t="s">
        <v>110</v>
      </c>
      <c r="C17" s="32"/>
      <c r="D17" s="32"/>
    </row>
    <row r="18" spans="2:4">
      <c r="B18" s="27" t="s">
        <v>111</v>
      </c>
      <c r="C18" s="37">
        <f>SUM(tblCosts[Annual cost])</f>
        <v>361500</v>
      </c>
      <c r="D18" s="7" t="str">
        <f>Currency&amp;"/year"</f>
        <v>USD/year</v>
      </c>
    </row>
    <row r="19" spans="2:4">
      <c r="B19" s="27" t="s">
        <v>112</v>
      </c>
      <c r="C19" s="37">
        <f>SUM(tblCosts[Storage cost])</f>
        <v>221630</v>
      </c>
      <c r="D19" s="7" t="str">
        <f>Currency&amp;"/year"</f>
        <v>USD/year</v>
      </c>
    </row>
    <row r="20" spans="2:4">
      <c r="B20" s="27" t="s">
        <v>113</v>
      </c>
      <c r="C20" s="37">
        <f>SUM(tblCosts[Handling cost])</f>
        <v>139870</v>
      </c>
      <c r="D20" s="7" t="str">
        <f>Currency&amp;"/year"</f>
        <v>USD/year</v>
      </c>
    </row>
    <row r="21" spans="2:4">
      <c r="B21" s="17" t="s">
        <v>114</v>
      </c>
      <c r="C21" s="39">
        <f>AnnualStorage/12</f>
        <v>18469.1666666667</v>
      </c>
      <c r="D21" s="7" t="str">
        <f>Currency&amp;"/month"</f>
        <v>USD/month</v>
      </c>
    </row>
    <row r="22" spans="2:4">
      <c r="B22" s="17" t="s">
        <v>115</v>
      </c>
      <c r="C22" s="39">
        <f>AnnualHandling/12</f>
        <v>11655.8333333333</v>
      </c>
      <c r="D22" s="7" t="str">
        <f>Currency&amp;"/month"</f>
        <v>USD/month</v>
      </c>
    </row>
    <row r="23" spans="2:4">
      <c r="B23" s="27" t="s">
        <v>116</v>
      </c>
      <c r="C23" s="40">
        <f>IF(Positions&gt;0,MonthStorage/Positions,"")</f>
        <v>13.1922619047619</v>
      </c>
      <c r="D23" s="7" t="str">
        <f>Currency&amp;"/position/month"</f>
        <v>USD/position/month</v>
      </c>
    </row>
  </sheetData>
  <mergeCells count="4">
    <mergeCell ref="A1:I1"/>
    <mergeCell ref="B2:H2"/>
    <mergeCell ref="B4:I4"/>
    <mergeCell ref="B17:D17"/>
  </mergeCells>
  <conditionalFormatting sqref="H7:H515">
    <cfRule type="expression" dxfId="3" priority="1">
      <formula>$H7="OK"</formula>
    </cfRule>
    <cfRule type="expression" dxfId="1" priority="2">
      <formula>AND($H7&lt;&gt;"",$H7&lt;&gt;"OK")</formula>
    </cfRule>
  </conditionalFormatting>
  <dataValidations count="5">
    <dataValidation type="textLength" allowBlank="1" showInputMessage="1" showErrorMessage="1" errorTitle="Check this entry" error="Text up to 80 characters." promptTitle="Cost line" prompt="Text up to 80 characters." sqref="B7:B515">
      <formula1>0</formula1>
      <formula2>80</formula2>
    </dataValidation>
    <dataValidation type="list" allowBlank="1" showInputMessage="1" showErrorMessage="1" errorTitle="Check this entry" error="Pick from the list (edit the list on Setup: Categories)." promptTitle="Category" prompt="Pick from the list (edit the list on Setup: Categories)." sqref="C7:C515">
      <formula1>Categories</formula1>
    </dataValidation>
    <dataValidation type="decimal" allowBlank="1" showInputMessage="1" showErrorMessage="1" errorTitle="Check this entry" error="Enter a number of at least 0." promptTitle="Annual cost" prompt="What this line costs per year: budget or last twelve months of actuals. Enter a number of at least 0." sqref="D7:D515">
      <formula1>0</formula1>
      <formula2>10000000000.0</formula2>
    </dataValidation>
    <dataValidation type="decimal" allowBlank="1" showInputMessage="1" showErrorMessage="1" errorTitle="Check this entry" error="Enter a percentage from 0% to 100% (type 85% or 0.85)." promptTitle="Storage share" prompt="Share of this cost that pays for holding pallets (space, racking, building services). The rest pays for moving pallets in and out. Rent is usually 100%; labour mostly handling. Enter a percentage from 0% to 100% (type 85% or 0.85)." sqref="E7:E515">
      <formula1>0</formula1>
      <formula2>1</formula2>
    </dataValidation>
    <dataValidation type="textLength" allowBlank="1" showInputMessage="1" showErrorMessage="1" errorTitle="Check this entry" error="Text up to 160 characters." promptTitle="Notes" prompt="Text up to 160 characters." sqref="I7:I515">
      <formula1>0</formula1>
      <formula2>160</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Warehouse Storage Cost&amp;R&amp;8&amp;A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R18"/>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1.7109375" customWidth="1"/>
    <col min="3" max="3" width="10.7109375" customWidth="1"/>
    <col min="4" max="5" width="9.7109375" customWidth="1"/>
    <col min="6" max="6" width="10.7109375" customWidth="1"/>
    <col min="7" max="7" width="12.28515625" customWidth="1"/>
    <col min="8" max="8" width="10.7109375" customWidth="1"/>
    <col min="9" max="9" width="11.7109375" customWidth="1"/>
    <col min="10" max="10" width="11.28515625" customWidth="1"/>
    <col min="11" max="12" width="10.7109375" customWidth="1"/>
    <col min="13" max="15" width="11.28515625" customWidth="1"/>
    <col min="16" max="16" width="11.7109375" customWidth="1"/>
    <col min="17" max="17" width="20.7109375" customWidth="1"/>
    <col min="18" max="18" width="24.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22</v>
      </c>
      <c r="C2" s="2"/>
      <c r="D2" s="2"/>
      <c r="E2" s="2"/>
      <c r="F2" s="2"/>
      <c r="G2" s="2"/>
      <c r="H2" s="2"/>
      <c r="I2" s="2"/>
      <c r="J2" s="2"/>
      <c r="K2" s="2"/>
      <c r="L2" s="2"/>
      <c r="M2" s="2"/>
      <c r="N2" s="2"/>
      <c r="O2" s="2"/>
      <c r="P2" s="2"/>
      <c r="Q2" s="2"/>
      <c r="R2" s="3" t="s">
        <v>2</v>
      </c>
    </row>
    <row r="3" spans="1:18" ht="6" customHeight="1"/>
    <row r="4" spans="1:18" ht="29.76" customHeight="1">
      <c r="B4" s="34" t="s">
        <v>132</v>
      </c>
      <c r="C4" s="34"/>
      <c r="D4" s="34"/>
      <c r="E4" s="34"/>
      <c r="F4" s="34"/>
      <c r="G4" s="34"/>
      <c r="H4" s="34"/>
      <c r="I4" s="34"/>
      <c r="J4" s="34"/>
      <c r="K4" s="34"/>
      <c r="L4" s="34"/>
      <c r="M4" s="34"/>
      <c r="N4" s="34"/>
      <c r="O4" s="34"/>
      <c r="P4" s="34"/>
      <c r="Q4" s="34"/>
      <c r="R4" s="34"/>
    </row>
    <row r="5" spans="1:18" ht="14" customHeight="1">
      <c r="B5" s="35"/>
      <c r="C5" s="35"/>
      <c r="D5" s="35"/>
      <c r="E5" s="35"/>
      <c r="F5" s="35"/>
      <c r="G5" s="35"/>
      <c r="H5" s="35" t="str">
        <f>Currency</f>
        <v>USD</v>
      </c>
      <c r="I5" s="35" t="str">
        <f>Currency</f>
        <v>USD</v>
      </c>
      <c r="J5" s="35" t="str">
        <f>Currency</f>
        <v>USD</v>
      </c>
      <c r="K5" s="35" t="str">
        <f>Currency</f>
        <v>USD</v>
      </c>
      <c r="L5" s="35" t="str">
        <f>Currency</f>
        <v>USD</v>
      </c>
      <c r="M5" s="35" t="str">
        <f>Currency</f>
        <v>USD</v>
      </c>
      <c r="N5" s="35" t="str">
        <f>Currency</f>
        <v>USD</v>
      </c>
      <c r="O5" s="35" t="str">
        <f>Currency</f>
        <v>USD</v>
      </c>
      <c r="P5" s="35"/>
      <c r="Q5" s="35"/>
      <c r="R5" s="35"/>
    </row>
    <row r="6" spans="1:18" ht="45.5" customHeight="1">
      <c r="B6" s="33" t="s">
        <v>117</v>
      </c>
      <c r="C6" s="33" t="s">
        <v>118</v>
      </c>
      <c r="D6" s="33" t="s">
        <v>119</v>
      </c>
      <c r="E6" s="33" t="s">
        <v>120</v>
      </c>
      <c r="F6" s="33" t="s">
        <v>121</v>
      </c>
      <c r="G6" s="33" t="s">
        <v>122</v>
      </c>
      <c r="H6" s="33" t="s">
        <v>123</v>
      </c>
      <c r="I6" s="33" t="s">
        <v>124</v>
      </c>
      <c r="J6" s="33" t="s">
        <v>125</v>
      </c>
      <c r="K6" s="33" t="s">
        <v>126</v>
      </c>
      <c r="L6" s="33" t="s">
        <v>127</v>
      </c>
      <c r="M6" s="33" t="s">
        <v>128</v>
      </c>
      <c r="N6" s="33" t="s">
        <v>129</v>
      </c>
      <c r="O6" s="33" t="s">
        <v>130</v>
      </c>
      <c r="P6" s="33" t="s">
        <v>131</v>
      </c>
      <c r="Q6" s="33" t="s">
        <v>91</v>
      </c>
      <c r="R6" s="33" t="s">
        <v>92</v>
      </c>
    </row>
    <row r="7" spans="1:18">
      <c r="B7" s="41">
        <v>45931</v>
      </c>
      <c r="C7" s="29">
        <v>896</v>
      </c>
      <c r="D7" s="29">
        <v>760</v>
      </c>
      <c r="E7" s="29">
        <v>690</v>
      </c>
      <c r="F7" s="42">
        <f>IF(tblMonthly[[#This Row],[Month]]="","",IF(Positions&gt;0,tblMonthly[[#This Row],[Avg occupied pallets]]/Positions,""))</f>
        <v>0.64</v>
      </c>
      <c r="G7" s="43" t="str">
        <f>IF(NOT(ISNUMBER(tblMonthly[[#This Row],[Occupancy]])),"",IF(tblMonthly[[#This Row],[Occupancy]]&gt;=TargetOcc,"On target",IF(tblMonthly[[#This Row],[Occupancy]]&gt;=TargetOcc*(1-0.05),"Near target","Below target")))</f>
        <v>Below target</v>
      </c>
      <c r="H7" s="37">
        <f>IF(tblMonthly[[#This Row],[Month]]="","",MonthStorage+MonthHandling)</f>
        <v>30125</v>
      </c>
      <c r="I7" s="40">
        <f>IF(tblMonthly[[#This Row],[Month]]="","",IF(tblMonthly[[#This Row],[Avg occupied pallets]]&gt;0,tblMonthly[[#This Row],[In-house cost]]/tblMonthly[[#This Row],[Avg occupied pallets]],""))</f>
        <v>33.6216517857143</v>
      </c>
      <c r="J7" s="40">
        <f>IF(tblMonthly[[#This Row],[Month]]="","",IF(tblMonthly[[#This Row],[Pallets received]]+tblMonthly[[#This Row],[Pallets shipped]]&gt;0,MonthHandling/(tblMonthly[[#This Row],[Pallets received]]+tblMonthly[[#This Row],[Pallets shipped]]),""))</f>
        <v>8.03850574712644</v>
      </c>
      <c r="K7" s="37">
        <f>IF(tblMonthly[[#This Row],[Month]]="","",tblMonthly[[#This Row],[Avg occupied pallets]]*Rate3PL)</f>
        <v>15680</v>
      </c>
      <c r="L7" s="37">
        <f>IF(tblMonthly[[#This Row],[Month]]="","",tblMonthly[[#This Row],[Pallets received]]*In3PL+tblMonthly[[#This Row],[Pallets shipped]]*Out3PL)</f>
        <v>9045</v>
      </c>
      <c r="M7" s="37">
        <f>IF(tblMonthly[[#This Row],[Month]]="","",tblMonthly[[#This Row],[3PL storage]]+tblMonthly[[#This Row],[3PL handling]]+Admin3PL)</f>
        <v>25375</v>
      </c>
      <c r="N7" s="40">
        <f>IF(tblMonthly[[#This Row],[Month]]="","",IF(tblMonthly[[#This Row],[Avg occupied pallets]]&gt;0,tblMonthly[[#This Row],[3PL equivalent]]/tblMonthly[[#This Row],[Avg occupied pallets]],""))</f>
        <v>28.3203125</v>
      </c>
      <c r="O7" s="44">
        <f>IF(tblMonthly[[#This Row],[Month]]="","",tblMonthly[[#This Row],[In-house cost]]-tblMonthly[[#This Row],[3PL equivalent]])</f>
        <v>4750</v>
      </c>
      <c r="P7" s="43" t="str">
        <f>IF(tblMonthly[[#This Row],[Month]]="","",IF(tblMonthly[[#This Row],[In-house minus 3PL]]&gt;0,"3PL quote","In-house"))</f>
        <v>3PL quote</v>
      </c>
      <c r="Q7"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7" s="28" t="s">
        <v>97</v>
      </c>
    </row>
    <row r="8" spans="1:18">
      <c r="B8" s="41">
        <v>45962</v>
      </c>
      <c r="C8" s="29">
        <v>980</v>
      </c>
      <c r="D8" s="29">
        <v>820</v>
      </c>
      <c r="E8" s="29">
        <v>735</v>
      </c>
      <c r="F8" s="42">
        <f>IF(tblMonthly[[#This Row],[Month]]="","",IF(Positions&gt;0,tblMonthly[[#This Row],[Avg occupied pallets]]/Positions,""))</f>
        <v>0.7</v>
      </c>
      <c r="G8" s="43" t="str">
        <f>IF(NOT(ISNUMBER(tblMonthly[[#This Row],[Occupancy]])),"",IF(tblMonthly[[#This Row],[Occupancy]]&gt;=TargetOcc,"On target",IF(tblMonthly[[#This Row],[Occupancy]]&gt;=TargetOcc*(1-0.05),"Near target","Below target")))</f>
        <v>Below target</v>
      </c>
      <c r="H8" s="37">
        <f>IF(tblMonthly[[#This Row],[Month]]="","",MonthStorage+MonthHandling)</f>
        <v>30125</v>
      </c>
      <c r="I8" s="40">
        <f>IF(tblMonthly[[#This Row],[Month]]="","",IF(tblMonthly[[#This Row],[Avg occupied pallets]]&gt;0,tblMonthly[[#This Row],[In-house cost]]/tblMonthly[[#This Row],[Avg occupied pallets]],""))</f>
        <v>30.7397959183673</v>
      </c>
      <c r="J8" s="40">
        <f>IF(tblMonthly[[#This Row],[Month]]="","",IF(tblMonthly[[#This Row],[Pallets received]]+tblMonthly[[#This Row],[Pallets shipped]]&gt;0,MonthHandling/(tblMonthly[[#This Row],[Pallets received]]+tblMonthly[[#This Row],[Pallets shipped]]),""))</f>
        <v>7.4957127545552</v>
      </c>
      <c r="K8" s="37">
        <f>IF(tblMonthly[[#This Row],[Month]]="","",tblMonthly[[#This Row],[Avg occupied pallets]]*Rate3PL)</f>
        <v>17150</v>
      </c>
      <c r="L8" s="37">
        <f>IF(tblMonthly[[#This Row],[Month]]="","",tblMonthly[[#This Row],[Pallets received]]*In3PL+tblMonthly[[#This Row],[Pallets shipped]]*Out3PL)</f>
        <v>9697.5</v>
      </c>
      <c r="M8" s="37">
        <f>IF(tblMonthly[[#This Row],[Month]]="","",tblMonthly[[#This Row],[3PL storage]]+tblMonthly[[#This Row],[3PL handling]]+Admin3PL)</f>
        <v>27497.5</v>
      </c>
      <c r="N8" s="40">
        <f>IF(tblMonthly[[#This Row],[Month]]="","",IF(tblMonthly[[#This Row],[Avg occupied pallets]]&gt;0,tblMonthly[[#This Row],[3PL equivalent]]/tblMonthly[[#This Row],[Avg occupied pallets]],""))</f>
        <v>28.0586734693878</v>
      </c>
      <c r="O8" s="44">
        <f>IF(tblMonthly[[#This Row],[Month]]="","",tblMonthly[[#This Row],[In-house cost]]-tblMonthly[[#This Row],[3PL equivalent]])</f>
        <v>2627.5</v>
      </c>
      <c r="P8" s="43" t="str">
        <f>IF(tblMonthly[[#This Row],[Month]]="","",IF(tblMonthly[[#This Row],[In-house minus 3PL]]&gt;0,"3PL quote","In-house"))</f>
        <v>3PL quote</v>
      </c>
      <c r="Q8"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8" s="28" t="s">
        <v>97</v>
      </c>
    </row>
    <row r="9" spans="1:18">
      <c r="B9" s="41">
        <v>45992</v>
      </c>
      <c r="C9" s="29">
        <v>1064</v>
      </c>
      <c r="D9" s="29">
        <v>900</v>
      </c>
      <c r="E9" s="29">
        <v>815</v>
      </c>
      <c r="F9" s="42">
        <f>IF(tblMonthly[[#This Row],[Month]]="","",IF(Positions&gt;0,tblMonthly[[#This Row],[Avg occupied pallets]]/Positions,""))</f>
        <v>0.76</v>
      </c>
      <c r="G9" s="43" t="str">
        <f>IF(NOT(ISNUMBER(tblMonthly[[#This Row],[Occupancy]])),"",IF(tblMonthly[[#This Row],[Occupancy]]&gt;=TargetOcc,"On target",IF(tblMonthly[[#This Row],[Occupancy]]&gt;=TargetOcc*(1-0.05),"Near target","Below target")))</f>
        <v>Below target</v>
      </c>
      <c r="H9" s="37">
        <f>IF(tblMonthly[[#This Row],[Month]]="","",MonthStorage+MonthHandling)</f>
        <v>30125</v>
      </c>
      <c r="I9" s="40">
        <f>IF(tblMonthly[[#This Row],[Month]]="","",IF(tblMonthly[[#This Row],[Avg occupied pallets]]&gt;0,tblMonthly[[#This Row],[In-house cost]]/tblMonthly[[#This Row],[Avg occupied pallets]],""))</f>
        <v>28.312969924812</v>
      </c>
      <c r="J9" s="40">
        <f>IF(tblMonthly[[#This Row],[Month]]="","",IF(tblMonthly[[#This Row],[Pallets received]]+tblMonthly[[#This Row],[Pallets shipped]]&gt;0,MonthHandling/(tblMonthly[[#This Row],[Pallets received]]+tblMonthly[[#This Row],[Pallets shipped]]),""))</f>
        <v>6.79640427599611</v>
      </c>
      <c r="K9" s="37">
        <f>IF(tblMonthly[[#This Row],[Month]]="","",tblMonthly[[#This Row],[Avg occupied pallets]]*Rate3PL)</f>
        <v>18620</v>
      </c>
      <c r="L9" s="37">
        <f>IF(tblMonthly[[#This Row],[Month]]="","",tblMonthly[[#This Row],[Pallets received]]*In3PL+tblMonthly[[#This Row],[Pallets shipped]]*Out3PL)</f>
        <v>10697.5</v>
      </c>
      <c r="M9" s="37">
        <f>IF(tblMonthly[[#This Row],[Month]]="","",tblMonthly[[#This Row],[3PL storage]]+tblMonthly[[#This Row],[3PL handling]]+Admin3PL)</f>
        <v>29967.5</v>
      </c>
      <c r="N9" s="40">
        <f>IF(tblMonthly[[#This Row],[Month]]="","",IF(tblMonthly[[#This Row],[Avg occupied pallets]]&gt;0,tblMonthly[[#This Row],[3PL equivalent]]/tblMonthly[[#This Row],[Avg occupied pallets]],""))</f>
        <v>28.1649436090226</v>
      </c>
      <c r="O9" s="44">
        <f>IF(tblMonthly[[#This Row],[Month]]="","",tblMonthly[[#This Row],[In-house cost]]-tblMonthly[[#This Row],[3PL equivalent]])</f>
        <v>157.5</v>
      </c>
      <c r="P9" s="43" t="str">
        <f>IF(tblMonthly[[#This Row],[Month]]="","",IF(tblMonthly[[#This Row],[In-house minus 3PL]]&gt;0,"3PL quote","In-house"))</f>
        <v>3PL quote</v>
      </c>
      <c r="Q9"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9" s="28" t="s">
        <v>133</v>
      </c>
    </row>
    <row r="10" spans="1:18">
      <c r="B10" s="41">
        <v>46023</v>
      </c>
      <c r="C10" s="29">
        <v>1176</v>
      </c>
      <c r="D10" s="29">
        <v>980</v>
      </c>
      <c r="E10" s="29">
        <v>870</v>
      </c>
      <c r="F10" s="42">
        <f>IF(tblMonthly[[#This Row],[Month]]="","",IF(Positions&gt;0,tblMonthly[[#This Row],[Avg occupied pallets]]/Positions,""))</f>
        <v>0.84</v>
      </c>
      <c r="G10" s="43" t="str">
        <f>IF(NOT(ISNUMBER(tblMonthly[[#This Row],[Occupancy]])),"",IF(tblMonthly[[#This Row],[Occupancy]]&gt;=TargetOcc,"On target",IF(tblMonthly[[#This Row],[Occupancy]]&gt;=TargetOcc*(1-0.05),"Near target","Below target")))</f>
        <v>Near target</v>
      </c>
      <c r="H10" s="37">
        <f>IF(tblMonthly[[#This Row],[Month]]="","",MonthStorage+MonthHandling)</f>
        <v>30125</v>
      </c>
      <c r="I10" s="40">
        <f>IF(tblMonthly[[#This Row],[Month]]="","",IF(tblMonthly[[#This Row],[Avg occupied pallets]]&gt;0,tblMonthly[[#This Row],[In-house cost]]/tblMonthly[[#This Row],[Avg occupied pallets]],""))</f>
        <v>25.6164965986395</v>
      </c>
      <c r="J10" s="40">
        <f>IF(tblMonthly[[#This Row],[Month]]="","",IF(tblMonthly[[#This Row],[Pallets received]]+tblMonthly[[#This Row],[Pallets shipped]]&gt;0,MonthHandling/(tblMonthly[[#This Row],[Pallets received]]+tblMonthly[[#This Row],[Pallets shipped]]),""))</f>
        <v>6.30045045045045</v>
      </c>
      <c r="K10" s="37">
        <f>IF(tblMonthly[[#This Row],[Month]]="","",tblMonthly[[#This Row],[Avg occupied pallets]]*Rate3PL)</f>
        <v>20580</v>
      </c>
      <c r="L10" s="37">
        <f>IF(tblMonthly[[#This Row],[Month]]="","",tblMonthly[[#This Row],[Pallets received]]*In3PL+tblMonthly[[#This Row],[Pallets shipped]]*Out3PL)</f>
        <v>11535</v>
      </c>
      <c r="M10" s="37">
        <f>IF(tblMonthly[[#This Row],[Month]]="","",tblMonthly[[#This Row],[3PL storage]]+tblMonthly[[#This Row],[3PL handling]]+Admin3PL)</f>
        <v>32765</v>
      </c>
      <c r="N10" s="40">
        <f>IF(tblMonthly[[#This Row],[Month]]="","",IF(tblMonthly[[#This Row],[Avg occupied pallets]]&gt;0,tblMonthly[[#This Row],[3PL equivalent]]/tblMonthly[[#This Row],[Avg occupied pallets]],""))</f>
        <v>27.8613945578231</v>
      </c>
      <c r="O10" s="44">
        <f>IF(tblMonthly[[#This Row],[Month]]="","",tblMonthly[[#This Row],[In-house cost]]-tblMonthly[[#This Row],[3PL equivalent]])</f>
        <v>-2640</v>
      </c>
      <c r="P10" s="43" t="str">
        <f>IF(tblMonthly[[#This Row],[Month]]="","",IF(tblMonthly[[#This Row],[In-house minus 3PL]]&gt;0,"3PL quote","In-house"))</f>
        <v>In-house</v>
      </c>
      <c r="Q10"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0" s="28" t="s">
        <v>97</v>
      </c>
    </row>
    <row r="11" spans="1:18">
      <c r="B11" s="41">
        <v>46054</v>
      </c>
      <c r="C11" s="29">
        <v>1274</v>
      </c>
      <c r="D11" s="29">
        <v>1010</v>
      </c>
      <c r="E11" s="29">
        <v>910</v>
      </c>
      <c r="F11" s="42">
        <f>IF(tblMonthly[[#This Row],[Month]]="","",IF(Positions&gt;0,tblMonthly[[#This Row],[Avg occupied pallets]]/Positions,""))</f>
        <v>0.91</v>
      </c>
      <c r="G11" s="43" t="str">
        <f>IF(NOT(ISNUMBER(tblMonthly[[#This Row],[Occupancy]])),"",IF(tblMonthly[[#This Row],[Occupancy]]&gt;=TargetOcc,"On target",IF(tblMonthly[[#This Row],[Occupancy]]&gt;=TargetOcc*(1-0.05),"Near target","Below target")))</f>
        <v>On target</v>
      </c>
      <c r="H11" s="37">
        <f>IF(tblMonthly[[#This Row],[Month]]="","",MonthStorage+MonthHandling)</f>
        <v>30125</v>
      </c>
      <c r="I11" s="40">
        <f>IF(tblMonthly[[#This Row],[Month]]="","",IF(tblMonthly[[#This Row],[Avg occupied pallets]]&gt;0,tblMonthly[[#This Row],[In-house cost]]/tblMonthly[[#This Row],[Avg occupied pallets]],""))</f>
        <v>23.6459968602826</v>
      </c>
      <c r="J11" s="40">
        <f>IF(tblMonthly[[#This Row],[Month]]="","",IF(tblMonthly[[#This Row],[Pallets received]]+tblMonthly[[#This Row],[Pallets shipped]]&gt;0,MonthHandling/(tblMonthly[[#This Row],[Pallets received]]+tblMonthly[[#This Row],[Pallets shipped]]),""))</f>
        <v>6.07074652777778</v>
      </c>
      <c r="K11" s="37">
        <f>IF(tblMonthly[[#This Row],[Month]]="","",tblMonthly[[#This Row],[Avg occupied pallets]]*Rate3PL)</f>
        <v>22295</v>
      </c>
      <c r="L11" s="37">
        <f>IF(tblMonthly[[#This Row],[Month]]="","",tblMonthly[[#This Row],[Pallets received]]*In3PL+tblMonthly[[#This Row],[Pallets shipped]]*Out3PL)</f>
        <v>11975</v>
      </c>
      <c r="M11" s="37">
        <f>IF(tblMonthly[[#This Row],[Month]]="","",tblMonthly[[#This Row],[3PL storage]]+tblMonthly[[#This Row],[3PL handling]]+Admin3PL)</f>
        <v>34920</v>
      </c>
      <c r="N11" s="40">
        <f>IF(tblMonthly[[#This Row],[Month]]="","",IF(tblMonthly[[#This Row],[Avg occupied pallets]]&gt;0,tblMonthly[[#This Row],[3PL equivalent]]/tblMonthly[[#This Row],[Avg occupied pallets]],""))</f>
        <v>27.4097331240188</v>
      </c>
      <c r="O11" s="44">
        <f>IF(tblMonthly[[#This Row],[Month]]="","",tblMonthly[[#This Row],[In-house cost]]-tblMonthly[[#This Row],[3PL equivalent]])</f>
        <v>-4795</v>
      </c>
      <c r="P11" s="43" t="str">
        <f>IF(tblMonthly[[#This Row],[Month]]="","",IF(tblMonthly[[#This Row],[In-house minus 3PL]]&gt;0,"3PL quote","In-house"))</f>
        <v>In-house</v>
      </c>
      <c r="Q11"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1" s="28" t="s">
        <v>97</v>
      </c>
    </row>
    <row r="12" spans="1:18">
      <c r="B12" s="41">
        <v>46082</v>
      </c>
      <c r="C12" s="29">
        <v>1316</v>
      </c>
      <c r="D12" s="29">
        <v>950</v>
      </c>
      <c r="E12" s="29">
        <v>905</v>
      </c>
      <c r="F12" s="42">
        <f>IF(tblMonthly[[#This Row],[Month]]="","",IF(Positions&gt;0,tblMonthly[[#This Row],[Avg occupied pallets]]/Positions,""))</f>
        <v>0.94</v>
      </c>
      <c r="G12" s="43" t="str">
        <f>IF(NOT(ISNUMBER(tblMonthly[[#This Row],[Occupancy]])),"",IF(tblMonthly[[#This Row],[Occupancy]]&gt;=TargetOcc,"On target",IF(tblMonthly[[#This Row],[Occupancy]]&gt;=TargetOcc*(1-0.05),"Near target","Below target")))</f>
        <v>On target</v>
      </c>
      <c r="H12" s="37">
        <f>IF(tblMonthly[[#This Row],[Month]]="","",MonthStorage+MonthHandling)</f>
        <v>30125</v>
      </c>
      <c r="I12" s="40">
        <f>IF(tblMonthly[[#This Row],[Month]]="","",IF(tblMonthly[[#This Row],[Avg occupied pallets]]&gt;0,tblMonthly[[#This Row],[In-house cost]]/tblMonthly[[#This Row],[Avg occupied pallets]],""))</f>
        <v>22.8913373860182</v>
      </c>
      <c r="J12" s="40">
        <f>IF(tblMonthly[[#This Row],[Month]]="","",IF(tblMonthly[[#This Row],[Pallets received]]+tblMonthly[[#This Row],[Pallets shipped]]&gt;0,MonthHandling/(tblMonthly[[#This Row],[Pallets received]]+tblMonthly[[#This Row],[Pallets shipped]]),""))</f>
        <v>6.28346810422282</v>
      </c>
      <c r="K12" s="37">
        <f>IF(tblMonthly[[#This Row],[Month]]="","",tblMonthly[[#This Row],[Avg occupied pallets]]*Rate3PL)</f>
        <v>23030</v>
      </c>
      <c r="L12" s="37">
        <f>IF(tblMonthly[[#This Row],[Month]]="","",tblMonthly[[#This Row],[Pallets received]]*In3PL+tblMonthly[[#This Row],[Pallets shipped]]*Out3PL)</f>
        <v>11582.5</v>
      </c>
      <c r="M12" s="37">
        <f>IF(tblMonthly[[#This Row],[Month]]="","",tblMonthly[[#This Row],[3PL storage]]+tblMonthly[[#This Row],[3PL handling]]+Admin3PL)</f>
        <v>35262.5</v>
      </c>
      <c r="N12" s="40">
        <f>IF(tblMonthly[[#This Row],[Month]]="","",IF(tblMonthly[[#This Row],[Avg occupied pallets]]&gt;0,tblMonthly[[#This Row],[3PL equivalent]]/tblMonthly[[#This Row],[Avg occupied pallets]],""))</f>
        <v>26.7952127659574</v>
      </c>
      <c r="O12" s="44">
        <f>IF(tblMonthly[[#This Row],[Month]]="","",tblMonthly[[#This Row],[In-house cost]]-tblMonthly[[#This Row],[3PL equivalent]])</f>
        <v>-5137.5</v>
      </c>
      <c r="P12" s="43" t="str">
        <f>IF(tblMonthly[[#This Row],[Month]]="","",IF(tblMonthly[[#This Row],[In-house minus 3PL]]&gt;0,"3PL quote","In-house"))</f>
        <v>In-house</v>
      </c>
      <c r="Q12"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2" s="28" t="s">
        <v>134</v>
      </c>
    </row>
    <row r="13" spans="1:18">
      <c r="B13" s="41">
        <v>46113</v>
      </c>
      <c r="C13" s="29">
        <v>1232</v>
      </c>
      <c r="D13" s="29">
        <v>760</v>
      </c>
      <c r="E13" s="29">
        <v>845</v>
      </c>
      <c r="F13" s="42">
        <f>IF(tblMonthly[[#This Row],[Month]]="","",IF(Positions&gt;0,tblMonthly[[#This Row],[Avg occupied pallets]]/Positions,""))</f>
        <v>0.88</v>
      </c>
      <c r="G13" s="43" t="str">
        <f>IF(NOT(ISNUMBER(tblMonthly[[#This Row],[Occupancy]])),"",IF(tblMonthly[[#This Row],[Occupancy]]&gt;=TargetOcc,"On target",IF(tblMonthly[[#This Row],[Occupancy]]&gt;=TargetOcc*(1-0.05),"Near target","Below target")))</f>
        <v>On target</v>
      </c>
      <c r="H13" s="37">
        <f>IF(tblMonthly[[#This Row],[Month]]="","",MonthStorage+MonthHandling)</f>
        <v>30125</v>
      </c>
      <c r="I13" s="40">
        <f>IF(tblMonthly[[#This Row],[Month]]="","",IF(tblMonthly[[#This Row],[Avg occupied pallets]]&gt;0,tblMonthly[[#This Row],[In-house cost]]/tblMonthly[[#This Row],[Avg occupied pallets]],""))</f>
        <v>24.4521103896104</v>
      </c>
      <c r="J13" s="40">
        <f>IF(tblMonthly[[#This Row],[Month]]="","",IF(tblMonthly[[#This Row],[Pallets received]]+tblMonthly[[#This Row],[Pallets shipped]]&gt;0,MonthHandling/(tblMonthly[[#This Row],[Pallets received]]+tblMonthly[[#This Row],[Pallets shipped]]),""))</f>
        <v>7.26220145379024</v>
      </c>
      <c r="K13" s="37">
        <f>IF(tblMonthly[[#This Row],[Month]]="","",tblMonthly[[#This Row],[Avg occupied pallets]]*Rate3PL)</f>
        <v>21560</v>
      </c>
      <c r="L13" s="37">
        <f>IF(tblMonthly[[#This Row],[Month]]="","",tblMonthly[[#This Row],[Pallets received]]*In3PL+tblMonthly[[#This Row],[Pallets shipped]]*Out3PL)</f>
        <v>10052.5</v>
      </c>
      <c r="M13" s="37">
        <f>IF(tblMonthly[[#This Row],[Month]]="","",tblMonthly[[#This Row],[3PL storage]]+tblMonthly[[#This Row],[3PL handling]]+Admin3PL)</f>
        <v>32262.5</v>
      </c>
      <c r="N13" s="40">
        <f>IF(tblMonthly[[#This Row],[Month]]="","",IF(tblMonthly[[#This Row],[Avg occupied pallets]]&gt;0,tblMonthly[[#This Row],[3PL equivalent]]/tblMonthly[[#This Row],[Avg occupied pallets]],""))</f>
        <v>26.1870941558442</v>
      </c>
      <c r="O13" s="44">
        <f>IF(tblMonthly[[#This Row],[Month]]="","",tblMonthly[[#This Row],[In-house cost]]-tblMonthly[[#This Row],[3PL equivalent]])</f>
        <v>-2137.5</v>
      </c>
      <c r="P13" s="43" t="str">
        <f>IF(tblMonthly[[#This Row],[Month]]="","",IF(tblMonthly[[#This Row],[In-house minus 3PL]]&gt;0,"3PL quote","In-house"))</f>
        <v>In-house</v>
      </c>
      <c r="Q13"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3" s="28" t="s">
        <v>135</v>
      </c>
    </row>
    <row r="14" spans="1:18">
      <c r="B14" s="41">
        <v>46143</v>
      </c>
      <c r="C14" s="29">
        <v>1106</v>
      </c>
      <c r="D14" s="29">
        <v>690</v>
      </c>
      <c r="E14" s="29">
        <v>815</v>
      </c>
      <c r="F14" s="42">
        <f>IF(tblMonthly[[#This Row],[Month]]="","",IF(Positions&gt;0,tblMonthly[[#This Row],[Avg occupied pallets]]/Positions,""))</f>
        <v>0.79</v>
      </c>
      <c r="G14" s="43" t="str">
        <f>IF(NOT(ISNUMBER(tblMonthly[[#This Row],[Occupancy]])),"",IF(tblMonthly[[#This Row],[Occupancy]]&gt;=TargetOcc,"On target",IF(tblMonthly[[#This Row],[Occupancy]]&gt;=TargetOcc*(1-0.05),"Near target","Below target")))</f>
        <v>Below target</v>
      </c>
      <c r="H14" s="37">
        <f>IF(tblMonthly[[#This Row],[Month]]="","",MonthStorage+MonthHandling)</f>
        <v>30125</v>
      </c>
      <c r="I14" s="40">
        <f>IF(tblMonthly[[#This Row],[Month]]="","",IF(tblMonthly[[#This Row],[Avg occupied pallets]]&gt;0,tblMonthly[[#This Row],[In-house cost]]/tblMonthly[[#This Row],[Avg occupied pallets]],""))</f>
        <v>27.2377938517179</v>
      </c>
      <c r="J14" s="40">
        <f>IF(tblMonthly[[#This Row],[Month]]="","",IF(tblMonthly[[#This Row],[Pallets received]]+tblMonthly[[#This Row],[Pallets shipped]]&gt;0,MonthHandling/(tblMonthly[[#This Row],[Pallets received]]+tblMonthly[[#This Row],[Pallets shipped]]),""))</f>
        <v>7.74473975636766</v>
      </c>
      <c r="K14" s="37">
        <f>IF(tblMonthly[[#This Row],[Month]]="","",tblMonthly[[#This Row],[Avg occupied pallets]]*Rate3PL)</f>
        <v>19355</v>
      </c>
      <c r="L14" s="37">
        <f>IF(tblMonthly[[#This Row],[Month]]="","",tblMonthly[[#This Row],[Pallets received]]*In3PL+tblMonthly[[#This Row],[Pallets shipped]]*Out3PL)</f>
        <v>9437.5</v>
      </c>
      <c r="M14" s="37">
        <f>IF(tblMonthly[[#This Row],[Month]]="","",tblMonthly[[#This Row],[3PL storage]]+tblMonthly[[#This Row],[3PL handling]]+Admin3PL)</f>
        <v>29442.5</v>
      </c>
      <c r="N14" s="40">
        <f>IF(tblMonthly[[#This Row],[Month]]="","",IF(tblMonthly[[#This Row],[Avg occupied pallets]]&gt;0,tblMonthly[[#This Row],[3PL equivalent]]/tblMonthly[[#This Row],[Avg occupied pallets]],""))</f>
        <v>26.620705244123</v>
      </c>
      <c r="O14" s="44">
        <f>IF(tblMonthly[[#This Row],[Month]]="","",tblMonthly[[#This Row],[In-house cost]]-tblMonthly[[#This Row],[3PL equivalent]])</f>
        <v>682.5</v>
      </c>
      <c r="P14" s="43" t="str">
        <f>IF(tblMonthly[[#This Row],[Month]]="","",IF(tblMonthly[[#This Row],[In-house minus 3PL]]&gt;0,"3PL quote","In-house"))</f>
        <v>3PL quote</v>
      </c>
      <c r="Q14"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4" s="28" t="s">
        <v>97</v>
      </c>
    </row>
    <row r="15" spans="1:18">
      <c r="B15" s="41">
        <v>46174</v>
      </c>
      <c r="C15" s="29">
        <v>980</v>
      </c>
      <c r="D15" s="29">
        <v>640</v>
      </c>
      <c r="E15" s="29">
        <v>765</v>
      </c>
      <c r="F15" s="42">
        <f>IF(tblMonthly[[#This Row],[Month]]="","",IF(Positions&gt;0,tblMonthly[[#This Row],[Avg occupied pallets]]/Positions,""))</f>
        <v>0.7</v>
      </c>
      <c r="G15" s="43" t="str">
        <f>IF(NOT(ISNUMBER(tblMonthly[[#This Row],[Occupancy]])),"",IF(tblMonthly[[#This Row],[Occupancy]]&gt;=TargetOcc,"On target",IF(tblMonthly[[#This Row],[Occupancy]]&gt;=TargetOcc*(1-0.05),"Near target","Below target")))</f>
        <v>Below target</v>
      </c>
      <c r="H15" s="37">
        <f>IF(tblMonthly[[#This Row],[Month]]="","",MonthStorage+MonthHandling)</f>
        <v>30125</v>
      </c>
      <c r="I15" s="40">
        <f>IF(tblMonthly[[#This Row],[Month]]="","",IF(tblMonthly[[#This Row],[Avg occupied pallets]]&gt;0,tblMonthly[[#This Row],[In-house cost]]/tblMonthly[[#This Row],[Avg occupied pallets]],""))</f>
        <v>30.7397959183673</v>
      </c>
      <c r="J15" s="40">
        <f>IF(tblMonthly[[#This Row],[Month]]="","",IF(tblMonthly[[#This Row],[Pallets received]]+tblMonthly[[#This Row],[Pallets shipped]]&gt;0,MonthHandling/(tblMonthly[[#This Row],[Pallets received]]+tblMonthly[[#This Row],[Pallets shipped]]),""))</f>
        <v>8.29596678529063</v>
      </c>
      <c r="K15" s="37">
        <f>IF(tblMonthly[[#This Row],[Month]]="","",tblMonthly[[#This Row],[Avg occupied pallets]]*Rate3PL)</f>
        <v>17150</v>
      </c>
      <c r="L15" s="37">
        <f>IF(tblMonthly[[#This Row],[Month]]="","",tblMonthly[[#This Row],[Pallets received]]*In3PL+tblMonthly[[#This Row],[Pallets shipped]]*Out3PL)</f>
        <v>8812.5</v>
      </c>
      <c r="M15" s="37">
        <f>IF(tblMonthly[[#This Row],[Month]]="","",tblMonthly[[#This Row],[3PL storage]]+tblMonthly[[#This Row],[3PL handling]]+Admin3PL)</f>
        <v>26612.5</v>
      </c>
      <c r="N15" s="40">
        <f>IF(tblMonthly[[#This Row],[Month]]="","",IF(tblMonthly[[#This Row],[Avg occupied pallets]]&gt;0,tblMonthly[[#This Row],[3PL equivalent]]/tblMonthly[[#This Row],[Avg occupied pallets]],""))</f>
        <v>27.155612244898</v>
      </c>
      <c r="O15" s="44">
        <f>IF(tblMonthly[[#This Row],[Month]]="","",tblMonthly[[#This Row],[In-house cost]]-tblMonthly[[#This Row],[3PL equivalent]])</f>
        <v>3512.5</v>
      </c>
      <c r="P15" s="43" t="str">
        <f>IF(tblMonthly[[#This Row],[Month]]="","",IF(tblMonthly[[#This Row],[In-house minus 3PL]]&gt;0,"3PL quote","In-house"))</f>
        <v>3PL quote</v>
      </c>
      <c r="Q15"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5" s="28" t="s">
        <v>97</v>
      </c>
    </row>
    <row r="16" spans="1:18">
      <c r="B16" s="41">
        <v>46204</v>
      </c>
      <c r="C16" s="29">
        <v>882</v>
      </c>
      <c r="D16" s="29">
        <v>600</v>
      </c>
      <c r="E16" s="29">
        <v>700</v>
      </c>
      <c r="F16" s="42">
        <f>IF(tblMonthly[[#This Row],[Month]]="","",IF(Positions&gt;0,tblMonthly[[#This Row],[Avg occupied pallets]]/Positions,""))</f>
        <v>0.63</v>
      </c>
      <c r="G16" s="43" t="str">
        <f>IF(NOT(ISNUMBER(tblMonthly[[#This Row],[Occupancy]])),"",IF(tblMonthly[[#This Row],[Occupancy]]&gt;=TargetOcc,"On target",IF(tblMonthly[[#This Row],[Occupancy]]&gt;=TargetOcc*(1-0.05),"Near target","Below target")))</f>
        <v>Below target</v>
      </c>
      <c r="H16" s="37">
        <f>IF(tblMonthly[[#This Row],[Month]]="","",MonthStorage+MonthHandling)</f>
        <v>30125</v>
      </c>
      <c r="I16" s="40">
        <f>IF(tblMonthly[[#This Row],[Month]]="","",IF(tblMonthly[[#This Row],[Avg occupied pallets]]&gt;0,tblMonthly[[#This Row],[In-house cost]]/tblMonthly[[#This Row],[Avg occupied pallets]],""))</f>
        <v>34.1553287981859</v>
      </c>
      <c r="J16" s="40">
        <f>IF(tblMonthly[[#This Row],[Month]]="","",IF(tblMonthly[[#This Row],[Pallets received]]+tblMonthly[[#This Row],[Pallets shipped]]&gt;0,MonthHandling/(tblMonthly[[#This Row],[Pallets received]]+tblMonthly[[#This Row],[Pallets shipped]]),""))</f>
        <v>8.96602564102564</v>
      </c>
      <c r="K16" s="37">
        <f>IF(tblMonthly[[#This Row],[Month]]="","",tblMonthly[[#This Row],[Avg occupied pallets]]*Rate3PL)</f>
        <v>15435</v>
      </c>
      <c r="L16" s="37">
        <f>IF(tblMonthly[[#This Row],[Month]]="","",tblMonthly[[#This Row],[Pallets received]]*In3PL+tblMonthly[[#This Row],[Pallets shipped]]*Out3PL)</f>
        <v>8150</v>
      </c>
      <c r="M16" s="37">
        <f>IF(tblMonthly[[#This Row],[Month]]="","",tblMonthly[[#This Row],[3PL storage]]+tblMonthly[[#This Row],[3PL handling]]+Admin3PL)</f>
        <v>24235</v>
      </c>
      <c r="N16" s="40">
        <f>IF(tblMonthly[[#This Row],[Month]]="","",IF(tblMonthly[[#This Row],[Avg occupied pallets]]&gt;0,tblMonthly[[#This Row],[3PL equivalent]]/tblMonthly[[#This Row],[Avg occupied pallets]],""))</f>
        <v>27.4773242630386</v>
      </c>
      <c r="O16" s="44">
        <f>IF(tblMonthly[[#This Row],[Month]]="","",tblMonthly[[#This Row],[In-house cost]]-tblMonthly[[#This Row],[3PL equivalent]])</f>
        <v>5890</v>
      </c>
      <c r="P16" s="43" t="str">
        <f>IF(tblMonthly[[#This Row],[Month]]="","",IF(tblMonthly[[#This Row],[In-house minus 3PL]]&gt;0,"3PL quote","In-house"))</f>
        <v>3PL quote</v>
      </c>
      <c r="Q16"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6" s="28" t="s">
        <v>97</v>
      </c>
    </row>
    <row r="17" spans="2:18">
      <c r="B17" s="41">
        <v>46235</v>
      </c>
      <c r="C17" s="29">
        <v>812</v>
      </c>
      <c r="D17" s="29">
        <v>620</v>
      </c>
      <c r="E17" s="29">
        <v>690</v>
      </c>
      <c r="F17" s="42">
        <f>IF(tblMonthly[[#This Row],[Month]]="","",IF(Positions&gt;0,tblMonthly[[#This Row],[Avg occupied pallets]]/Positions,""))</f>
        <v>0.58</v>
      </c>
      <c r="G17" s="43" t="str">
        <f>IF(NOT(ISNUMBER(tblMonthly[[#This Row],[Occupancy]])),"",IF(tblMonthly[[#This Row],[Occupancy]]&gt;=TargetOcc,"On target",IF(tblMonthly[[#This Row],[Occupancy]]&gt;=TargetOcc*(1-0.05),"Near target","Below target")))</f>
        <v>Below target</v>
      </c>
      <c r="H17" s="37">
        <f>IF(tblMonthly[[#This Row],[Month]]="","",MonthStorage+MonthHandling)</f>
        <v>30125</v>
      </c>
      <c r="I17" s="40">
        <f>IF(tblMonthly[[#This Row],[Month]]="","",IF(tblMonthly[[#This Row],[Avg occupied pallets]]&gt;0,tblMonthly[[#This Row],[In-house cost]]/tblMonthly[[#This Row],[Avg occupied pallets]],""))</f>
        <v>37.0997536945813</v>
      </c>
      <c r="J17" s="40">
        <f>IF(tblMonthly[[#This Row],[Month]]="","",IF(tblMonthly[[#This Row],[Pallets received]]+tblMonthly[[#This Row],[Pallets shipped]]&gt;0,MonthHandling/(tblMonthly[[#This Row],[Pallets received]]+tblMonthly[[#This Row],[Pallets shipped]]),""))</f>
        <v>8.89758269720102</v>
      </c>
      <c r="K17" s="37">
        <f>IF(tblMonthly[[#This Row],[Month]]="","",tblMonthly[[#This Row],[Avg occupied pallets]]*Rate3PL)</f>
        <v>14210</v>
      </c>
      <c r="L17" s="37">
        <f>IF(tblMonthly[[#This Row],[Month]]="","",tblMonthly[[#This Row],[Pallets received]]*In3PL+tblMonthly[[#This Row],[Pallets shipped]]*Out3PL)</f>
        <v>8205</v>
      </c>
      <c r="M17" s="37">
        <f>IF(tblMonthly[[#This Row],[Month]]="","",tblMonthly[[#This Row],[3PL storage]]+tblMonthly[[#This Row],[3PL handling]]+Admin3PL)</f>
        <v>23065</v>
      </c>
      <c r="N17" s="40">
        <f>IF(tblMonthly[[#This Row],[Month]]="","",IF(tblMonthly[[#This Row],[Avg occupied pallets]]&gt;0,tblMonthly[[#This Row],[3PL equivalent]]/tblMonthly[[#This Row],[Avg occupied pallets]],""))</f>
        <v>28.4051724137931</v>
      </c>
      <c r="O17" s="44">
        <f>IF(tblMonthly[[#This Row],[Month]]="","",tblMonthly[[#This Row],[In-house cost]]-tblMonthly[[#This Row],[3PL equivalent]])</f>
        <v>7060</v>
      </c>
      <c r="P17" s="43" t="str">
        <f>IF(tblMonthly[[#This Row],[Month]]="","",IF(tblMonthly[[#This Row],[In-house minus 3PL]]&gt;0,"3PL quote","In-house"))</f>
        <v>3PL quote</v>
      </c>
      <c r="Q17"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7" s="28" t="s">
        <v>136</v>
      </c>
    </row>
    <row r="18" spans="2:18">
      <c r="B18" s="41">
        <v>46266</v>
      </c>
      <c r="C18" s="29">
        <v>840</v>
      </c>
      <c r="D18" s="29">
        <v>700</v>
      </c>
      <c r="E18" s="29">
        <v>670</v>
      </c>
      <c r="F18" s="42">
        <f>IF(tblMonthly[[#This Row],[Month]]="","",IF(Positions&gt;0,tblMonthly[[#This Row],[Avg occupied pallets]]/Positions,""))</f>
        <v>0.6</v>
      </c>
      <c r="G18" s="43" t="str">
        <f>IF(NOT(ISNUMBER(tblMonthly[[#This Row],[Occupancy]])),"",IF(tblMonthly[[#This Row],[Occupancy]]&gt;=TargetOcc,"On target",IF(tblMonthly[[#This Row],[Occupancy]]&gt;=TargetOcc*(1-0.05),"Near target","Below target")))</f>
        <v>Below target</v>
      </c>
      <c r="H18" s="37">
        <f>IF(tblMonthly[[#This Row],[Month]]="","",MonthStorage+MonthHandling)</f>
        <v>30125</v>
      </c>
      <c r="I18" s="40">
        <f>IF(tblMonthly[[#This Row],[Month]]="","",IF(tblMonthly[[#This Row],[Avg occupied pallets]]&gt;0,tblMonthly[[#This Row],[In-house cost]]/tblMonthly[[#This Row],[Avg occupied pallets]],""))</f>
        <v>35.8630952380952</v>
      </c>
      <c r="J18" s="40">
        <f>IF(tblMonthly[[#This Row],[Month]]="","",IF(tblMonthly[[#This Row],[Pallets received]]+tblMonthly[[#This Row],[Pallets shipped]]&gt;0,MonthHandling/(tblMonthly[[#This Row],[Pallets received]]+tblMonthly[[#This Row],[Pallets shipped]]),""))</f>
        <v>8.50790754257908</v>
      </c>
      <c r="K18" s="37">
        <f>IF(tblMonthly[[#This Row],[Month]]="","",tblMonthly[[#This Row],[Avg occupied pallets]]*Rate3PL)</f>
        <v>14700</v>
      </c>
      <c r="L18" s="37">
        <f>IF(tblMonthly[[#This Row],[Month]]="","",tblMonthly[[#This Row],[Pallets received]]*In3PL+tblMonthly[[#This Row],[Pallets shipped]]*Out3PL)</f>
        <v>8555</v>
      </c>
      <c r="M18" s="37">
        <f>IF(tblMonthly[[#This Row],[Month]]="","",tblMonthly[[#This Row],[3PL storage]]+tblMonthly[[#This Row],[3PL handling]]+Admin3PL)</f>
        <v>23905</v>
      </c>
      <c r="N18" s="40">
        <f>IF(tblMonthly[[#This Row],[Month]]="","",IF(tblMonthly[[#This Row],[Avg occupied pallets]]&gt;0,tblMonthly[[#This Row],[3PL equivalent]]/tblMonthly[[#This Row],[Avg occupied pallets]],""))</f>
        <v>28.4583333333333</v>
      </c>
      <c r="O18" s="44">
        <f>IF(tblMonthly[[#This Row],[Month]]="","",tblMonthly[[#This Row],[In-house cost]]-tblMonthly[[#This Row],[3PL equivalent]])</f>
        <v>6220</v>
      </c>
      <c r="P18" s="43" t="str">
        <f>IF(tblMonthly[[#This Row],[Month]]="","",IF(tblMonthly[[#This Row],[In-house minus 3PL]]&gt;0,"3PL quote","In-house"))</f>
        <v>3PL quote</v>
      </c>
      <c r="Q18" s="38" t="str">
        <f>IF(tblMonthly[[#This Row],[Month]]="","",IF(tblMonthly[[#This Row],[Avg occupied pallets]]="","Missing avg occupied pallets",IF(tblMonthly[[#This Row],[Pallets received]]="","Missing pallets received",IF(tblMonthly[[#This Row],[Pallets shipped]]="","Missing pallets shipped",IF(DAY(tblMonthly[[#This Row],[Month]])&lt;&gt;1,"Use the 1st of the month",IF(COUNTIF(tblMonthly[Month],tblMonthly[[#This Row],[Month]])&gt;1,"Month entered twice",IF(tblMonthly[[#This Row],[Avg occupied pallets]]&gt;Positions,"Occupied above capacity","OK")))))))</f>
        <v>OK</v>
      </c>
      <c r="R18" s="28" t="s">
        <v>97</v>
      </c>
    </row>
  </sheetData>
  <mergeCells count="3">
    <mergeCell ref="A1:R1"/>
    <mergeCell ref="B2:Q2"/>
    <mergeCell ref="B4:R4"/>
  </mergeCells>
  <conditionalFormatting sqref="F7:F518">
    <cfRule type="expression" dxfId="3" priority="1" stopIfTrue="1">
      <formula>AND(ISNUMBER(F7),F7&gt;=(TargetOcc))</formula>
    </cfRule>
    <cfRule type="expression" dxfId="4" priority="2" stopIfTrue="1">
      <formula>AND(ISNUMBER(F7),F7&gt;=(TargetOcc)*(1-0.05))</formula>
    </cfRule>
    <cfRule type="expression" dxfId="5" priority="3">
      <formula>ISNUMBER(F7)</formula>
    </cfRule>
  </conditionalFormatting>
  <conditionalFormatting sqref="G7:G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Q7:Q518">
    <cfRule type="expression" dxfId="3" priority="24">
      <formula>$Q7="OK"</formula>
    </cfRule>
    <cfRule type="expression" dxfId="1" priority="25">
      <formula>AND($Q7&lt;&gt;"",$Q7&lt;&gt;"OK")</formula>
    </cfRule>
  </conditionalFormatting>
  <dataValidations count="5">
    <dataValidation type="date" allowBlank="1" showInputMessage="1" showErrorMessage="1" errorTitle="Check this entry" error="Enter a date between 01 Jan 2000 and 31 Dec 2100." promptTitle="Month" prompt="First day of the month, e.g. 1 Oct 2025. Enter a date between 01 Jan 2000 and 31 Dec 2100." sqref="B7:B518">
      <formula1>36526</formula1>
      <formula2>73415</formula2>
    </dataValidation>
    <dataValidation type="decimal" allowBlank="1" showInputMessage="1" showErrorMessage="1" errorTitle="Check this entry" error="Enter a number from 0 to 10,000,000." promptTitle="Avg occupied pallets" prompt="Average number of occupied pallet positions in the month (from month-end or daily WMS counts). Enter a number from 0 to 10,000,000." sqref="C7:C518">
      <formula1>0</formula1>
      <formula2>10000000</formula2>
    </dataValidation>
    <dataValidation type="whole" allowBlank="1" showInputMessage="1" showErrorMessage="1" errorTitle="Check this entry" error="Enter a whole number from 0 to 10,000,000." promptTitle="Pallets received" prompt="Enter a whole number from 0 to 10,000,000." sqref="D7:D518">
      <formula1>0</formula1>
      <formula2>10000000</formula2>
    </dataValidation>
    <dataValidation type="whole" allowBlank="1" showInputMessage="1" showErrorMessage="1" errorTitle="Check this entry" error="Enter a whole number from 0 to 10,000,000." promptTitle="Pallets shipped" prompt="Enter a whole number from 0 to 10,000,000." sqref="E7:E518">
      <formula1>0</formula1>
      <formula2>10000000</formula2>
    </dataValidation>
    <dataValidation type="textLength" allowBlank="1" showInputMessage="1" showErrorMessage="1" errorTitle="Check this entry" error="Text up to 255 characters." promptTitle="Notes" prompt="Text up to 255 characters." sqref="R7:R518">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Warehouse Storage Cost&amp;R&amp;8&amp;A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58"/>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45" t="str">
        <f>"Showing "&amp;COUNTIFS(tblMonthly[Month],"&gt;0")&amp;" months for "&amp;SiteName&amp;", "&amp;Positions&amp;" pallet positions. In-house cost is fixed per month; the 3PL quote varies with occupancy and movements."</f>
        <v>Showing 12 months for Westmoor Garden Products (example), 1400 pallet positions. In-house cost is fixed per month; the 3PL quote varies with occupancy and movements.</v>
      </c>
      <c r="C4" s="45"/>
      <c r="D4" s="45"/>
      <c r="E4" s="45"/>
      <c r="F4" s="45"/>
      <c r="G4" s="45"/>
      <c r="H4" s="45"/>
      <c r="I4" s="45"/>
      <c r="J4" s="45"/>
      <c r="K4" s="45"/>
      <c r="L4" s="45"/>
    </row>
    <row r="6" spans="1:12" ht="18" customHeight="1">
      <c r="B6" s="46" t="s">
        <v>137</v>
      </c>
      <c r="C6" s="46"/>
      <c r="D6" s="46" t="str">
        <f>"IN-HOUSE PER PALLET-MONTH ("&amp;Currency&amp;")"</f>
        <v>IN-HOUSE PER PALLET-MONTH (USD)</v>
      </c>
      <c r="E6" s="46"/>
      <c r="F6" s="46"/>
      <c r="G6" s="46" t="str">
        <f>"IN-HOUSE MINUS 3PL ("&amp;Currency&amp;", EST.)"</f>
        <v>IN-HOUSE MINUS 3PL (USD, EST.)</v>
      </c>
      <c r="H6" s="46"/>
      <c r="I6" s="46"/>
      <c r="J6" s="46" t="s">
        <v>138</v>
      </c>
      <c r="K6" s="46"/>
      <c r="L6" s="46"/>
    </row>
    <row r="7" spans="1:12" ht="21" customHeight="1">
      <c r="B7" s="47">
        <f>IF((COUNTIFS(tblMonthly[Month],"&gt;0")*Positions)=0,"",(SUMIFS(tblMonthly[Avg occupied pallets],tblMonthly[Month],"&gt;0"))/(COUNTIFS(tblMonthly[Month],"&gt;0")*Positions))</f>
        <v>0.7475</v>
      </c>
      <c r="C7" s="47"/>
      <c r="D7" s="48">
        <f>IF((SUMIFS(tblMonthly[Avg occupied pallets],tblMonthly[Month],"&gt;0"))=0,"",(SUMIFS(tblMonthly[In-house cost],tblMonthly[Month],"&gt;0"))/(SUMIFS(tblMonthly[Avg occupied pallets],tblMonthly[Month],"&gt;0")))</f>
        <v>28.786430960344</v>
      </c>
      <c r="E7" s="48"/>
      <c r="F7" s="48"/>
      <c r="G7" s="49">
        <f>SUMIFS(tblMonthly[In-house cost],tblMonthly[Month],"&gt;0")-SUMIFS(tblMonthly[3PL equivalent],tblMonthly[Month],"&gt;0")</f>
        <v>16190</v>
      </c>
      <c r="H7" s="49"/>
      <c r="I7" s="49"/>
      <c r="J7" s="47">
        <f>IF((Rate3PL*COUNTIFS(tblMonthly[Month],"&gt;0")*Positions)=0,"",(SUMIFS(tblMonthly[In-house cost],tblMonthly[Month],"&gt;0")-SUMIFS(tblMonthly[3PL handling],tblMonthly[Month],"&gt;0")-COUNTIFS(tblMonthly[Month],"&gt;0")*Admin3PL)/(Rate3PL*COUNTIFS(tblMonthly[Month],"&gt;0")*Positions))</f>
        <v>0.802568027210884</v>
      </c>
      <c r="K7" s="47"/>
      <c r="L7" s="47"/>
    </row>
    <row r="8" spans="1:12" ht="21" customHeight="1">
      <c r="B8" s="47"/>
      <c r="C8" s="47"/>
      <c r="D8" s="48"/>
      <c r="E8" s="48"/>
      <c r="F8" s="48"/>
      <c r="G8" s="49"/>
      <c r="H8" s="49"/>
      <c r="I8" s="49"/>
      <c r="J8" s="47"/>
      <c r="K8" s="47"/>
      <c r="L8" s="47"/>
    </row>
    <row r="9" spans="1:12">
      <c r="B9" s="50">
        <f>TargetOcc</f>
        <v>0.85</v>
      </c>
      <c r="C9" s="50"/>
      <c r="D9" s="51">
        <f>IF((SUMIFS(tblMonthly[Avg occupied pallets],tblMonthly[Month],"&gt;0"))=0,"",(SUMIFS(tblMonthly[3PL equivalent],tblMonthly[Month],"&gt;0"))/(SUMIFS(tblMonthly[Avg occupied pallets],tblMonthly[Month],"&gt;0")))</f>
        <v>27.4972129319955</v>
      </c>
      <c r="E9" s="51"/>
      <c r="F9" s="51"/>
      <c r="G9" s="52" t="s">
        <v>139</v>
      </c>
      <c r="H9" s="52"/>
      <c r="I9" s="52"/>
      <c r="J9" s="52" t="s">
        <v>140</v>
      </c>
      <c r="K9" s="52"/>
      <c r="L9" s="52"/>
    </row>
    <row r="10" spans="1:12" ht="18" customHeight="1">
      <c r="B10" s="53" t="str">
        <f>IF(NOT(ISNUMBER(KpiOcc)),"No data",IF(KpiOcc&gt;=(TargetOcc),"On target",IF(KpiOcc&gt;=(TargetOcc)*(1-0.05),"Near target","Below target")))</f>
        <v>Below target</v>
      </c>
      <c r="C10" s="53"/>
      <c r="D10" s="53" t="str">
        <f>IF(NOT(ISNUMBER(KpiInhPm)),"No data",IF(KpiInhPm&lt;=(IF((SUMIFS(tblMonthly[Avg occupied pallets],tblMonthly[Month],"&gt;0"))=0,"",(SUMIFS(tblMonthly[3PL equivalent],tblMonthly[Month],"&gt;0"))/(SUMIFS(tblMonthly[Avg occupied pallets],tblMonthly[Month],"&gt;0")))),"On target",IF(KpiInhPm&lt;=(IF((SUMIFS(tblMonthly[Avg occupied pallets],tblMonthly[Month],"&gt;0"))=0,"",(SUMIFS(tblMonthly[3PL equivalent],tblMonthly[Month],"&gt;0"))/(SUMIFS(tblMonthly[Avg occupied pallets],tblMonthly[Month],"&gt;0"))))*(1+0.05),"Near target","Above target")))</f>
        <v>Near target</v>
      </c>
      <c r="E10" s="53"/>
      <c r="F10" s="53"/>
      <c r="G10" s="53"/>
      <c r="H10" s="53"/>
      <c r="I10" s="53"/>
      <c r="J10" s="53"/>
      <c r="K10" s="53"/>
      <c r="L10" s="53"/>
    </row>
    <row r="29" spans="2:12">
      <c r="B29" s="32" t="s">
        <v>141</v>
      </c>
      <c r="C29" s="32"/>
      <c r="D29" s="32"/>
      <c r="E29" s="32"/>
      <c r="F29" s="32"/>
      <c r="G29" s="32"/>
      <c r="H29" s="32"/>
      <c r="I29" s="32"/>
      <c r="J29" s="32"/>
      <c r="K29" s="32"/>
      <c r="L29" s="32"/>
    </row>
    <row r="30" spans="2:12" ht="45.5" customHeight="1">
      <c r="B30" s="54" t="s">
        <v>117</v>
      </c>
      <c r="C30" s="33" t="s">
        <v>118</v>
      </c>
      <c r="D30" s="33" t="s">
        <v>121</v>
      </c>
      <c r="E30" s="33" t="s">
        <v>123</v>
      </c>
      <c r="F30" s="33" t="s">
        <v>128</v>
      </c>
      <c r="G30" s="33" t="s">
        <v>130</v>
      </c>
      <c r="H30" s="33" t="s">
        <v>124</v>
      </c>
      <c r="I30" s="33" t="s">
        <v>129</v>
      </c>
      <c r="J30" s="33" t="s">
        <v>131</v>
      </c>
      <c r="K30" s="33" t="s">
        <v>70</v>
      </c>
      <c r="L30" s="33" t="s">
        <v>142</v>
      </c>
    </row>
    <row r="31" spans="2:12" ht="14" customHeight="1">
      <c r="B31" s="35"/>
      <c r="C31" s="35"/>
      <c r="D31" s="35"/>
      <c r="E31" s="35" t="str">
        <f>Currency</f>
        <v>USD</v>
      </c>
      <c r="F31" s="35" t="str">
        <f>Currency</f>
        <v>USD</v>
      </c>
      <c r="G31" s="35" t="str">
        <f>Currency</f>
        <v>USD</v>
      </c>
      <c r="H31" s="35" t="str">
        <f>Currency</f>
        <v>USD</v>
      </c>
      <c r="I31" s="35" t="str">
        <f>Currency</f>
        <v>USD</v>
      </c>
      <c r="J31" s="35"/>
      <c r="K31" s="35"/>
      <c r="L31" s="35"/>
    </row>
    <row r="32" spans="2:12">
      <c r="B32" s="55">
        <f>IF($B$33="","",IFERROR(LARGE(tblMonthly[Month],COUNTIF(tblMonthly[Month],"&gt;="&amp;$B$33)+1),""))</f>
        <v>45931</v>
      </c>
      <c r="C32" s="37">
        <f>IF($B$32="","",SUMIFS(tblMonthly[Avg occupied pallets],tblMonthly[Month],$B$32))</f>
        <v>896</v>
      </c>
      <c r="D32" s="42">
        <f>IF($B$32="","",IF((Positions)=0,"",(SUMIFS(tblMonthly[Avg occupied pallets],tblMonthly[Month],$B$32))/(Positions)))</f>
        <v>0.64</v>
      </c>
      <c r="E32" s="37">
        <f>IF($B$32="","",SUMIFS(tblMonthly[In-house cost],tblMonthly[Month],$B$32))</f>
        <v>30125</v>
      </c>
      <c r="F32" s="37">
        <f>IF($B$32="","",SUMIFS(tblMonthly[3PL equivalent],tblMonthly[Month],$B$32))</f>
        <v>25375</v>
      </c>
      <c r="G32" s="44">
        <f>IF($B$32="","",SUMIFS(tblMonthly[In-house minus 3PL],tblMonthly[Month],$B$32))</f>
        <v>4750</v>
      </c>
      <c r="H32" s="40">
        <f>IF($B$32="","",IF((SUMIFS(tblMonthly[Avg occupied pallets],tblMonthly[Month],$B$32))=0,"",(SUMIFS(tblMonthly[In-house cost],tblMonthly[Month],$B$32))/(SUMIFS(tblMonthly[Avg occupied pallets],tblMonthly[Month],$B$32))))</f>
        <v>33.6216517857143</v>
      </c>
      <c r="I32" s="40">
        <f>IF($B$32="","",IF((SUMIFS(tblMonthly[Avg occupied pallets],tblMonthly[Month],$B$32))=0,"",(SUMIFS(tblMonthly[3PL equivalent],tblMonthly[Month],$B$32))/(SUMIFS(tblMonthly[Avg occupied pallets],tblMonthly[Month],$B$32))))</f>
        <v>28.3203125</v>
      </c>
      <c r="J32" s="43" t="str">
        <f>IF($B$32="","",IF($G$32&gt;0,"3PL quote","In-house"))</f>
        <v>3PL quote</v>
      </c>
      <c r="K32" s="56">
        <f>TargetOcc</f>
        <v>0.85</v>
      </c>
      <c r="L32" s="56">
        <f>KpiBreakeven</f>
        <v>0.802568027210884</v>
      </c>
    </row>
    <row r="33" spans="2:12">
      <c r="B33" s="55">
        <f>IF($B$34="","",IFERROR(LARGE(tblMonthly[Month],COUNTIF(tblMonthly[Month],"&gt;="&amp;$B$34)+1),""))</f>
        <v>45962</v>
      </c>
      <c r="C33" s="37">
        <f>IF($B$33="","",SUMIFS(tblMonthly[Avg occupied pallets],tblMonthly[Month],$B$33))</f>
        <v>980</v>
      </c>
      <c r="D33" s="42">
        <f>IF($B$33="","",IF((Positions)=0,"",(SUMIFS(tblMonthly[Avg occupied pallets],tblMonthly[Month],$B$33))/(Positions)))</f>
        <v>0.7</v>
      </c>
      <c r="E33" s="37">
        <f>IF($B$33="","",SUMIFS(tblMonthly[In-house cost],tblMonthly[Month],$B$33))</f>
        <v>30125</v>
      </c>
      <c r="F33" s="37">
        <f>IF($B$33="","",SUMIFS(tblMonthly[3PL equivalent],tblMonthly[Month],$B$33))</f>
        <v>27497.5</v>
      </c>
      <c r="G33" s="44">
        <f>IF($B$33="","",SUMIFS(tblMonthly[In-house minus 3PL],tblMonthly[Month],$B$33))</f>
        <v>2627.5</v>
      </c>
      <c r="H33" s="40">
        <f>IF($B$33="","",IF((SUMIFS(tblMonthly[Avg occupied pallets],tblMonthly[Month],$B$33))=0,"",(SUMIFS(tblMonthly[In-house cost],tblMonthly[Month],$B$33))/(SUMIFS(tblMonthly[Avg occupied pallets],tblMonthly[Month],$B$33))))</f>
        <v>30.7397959183673</v>
      </c>
      <c r="I33" s="40">
        <f>IF($B$33="","",IF((SUMIFS(tblMonthly[Avg occupied pallets],tblMonthly[Month],$B$33))=0,"",(SUMIFS(tblMonthly[3PL equivalent],tblMonthly[Month],$B$33))/(SUMIFS(tblMonthly[Avg occupied pallets],tblMonthly[Month],$B$33))))</f>
        <v>28.0586734693878</v>
      </c>
      <c r="J33" s="43" t="str">
        <f>IF($B$33="","",IF($G$33&gt;0,"3PL quote","In-house"))</f>
        <v>3PL quote</v>
      </c>
      <c r="K33" s="56">
        <f>TargetOcc</f>
        <v>0.85</v>
      </c>
      <c r="L33" s="56">
        <f>KpiBreakeven</f>
        <v>0.802568027210884</v>
      </c>
    </row>
    <row r="34" spans="2:12">
      <c r="B34" s="55">
        <f>IF($B$35="","",IFERROR(LARGE(tblMonthly[Month],COUNTIF(tblMonthly[Month],"&gt;="&amp;$B$35)+1),""))</f>
        <v>45992</v>
      </c>
      <c r="C34" s="37">
        <f>IF($B$34="","",SUMIFS(tblMonthly[Avg occupied pallets],tblMonthly[Month],$B$34))</f>
        <v>1064</v>
      </c>
      <c r="D34" s="42">
        <f>IF($B$34="","",IF((Positions)=0,"",(SUMIFS(tblMonthly[Avg occupied pallets],tblMonthly[Month],$B$34))/(Positions)))</f>
        <v>0.76</v>
      </c>
      <c r="E34" s="37">
        <f>IF($B$34="","",SUMIFS(tblMonthly[In-house cost],tblMonthly[Month],$B$34))</f>
        <v>30125</v>
      </c>
      <c r="F34" s="37">
        <f>IF($B$34="","",SUMIFS(tblMonthly[3PL equivalent],tblMonthly[Month],$B$34))</f>
        <v>29967.5</v>
      </c>
      <c r="G34" s="44">
        <f>IF($B$34="","",SUMIFS(tblMonthly[In-house minus 3PL],tblMonthly[Month],$B$34))</f>
        <v>157.5</v>
      </c>
      <c r="H34" s="40">
        <f>IF($B$34="","",IF((SUMIFS(tblMonthly[Avg occupied pallets],tblMonthly[Month],$B$34))=0,"",(SUMIFS(tblMonthly[In-house cost],tblMonthly[Month],$B$34))/(SUMIFS(tblMonthly[Avg occupied pallets],tblMonthly[Month],$B$34))))</f>
        <v>28.312969924812</v>
      </c>
      <c r="I34" s="40">
        <f>IF($B$34="","",IF((SUMIFS(tblMonthly[Avg occupied pallets],tblMonthly[Month],$B$34))=0,"",(SUMIFS(tblMonthly[3PL equivalent],tblMonthly[Month],$B$34))/(SUMIFS(tblMonthly[Avg occupied pallets],tblMonthly[Month],$B$34))))</f>
        <v>28.1649436090226</v>
      </c>
      <c r="J34" s="43" t="str">
        <f>IF($B$34="","",IF($G$34&gt;0,"3PL quote","In-house"))</f>
        <v>3PL quote</v>
      </c>
      <c r="K34" s="56">
        <f>TargetOcc</f>
        <v>0.85</v>
      </c>
      <c r="L34" s="56">
        <f>KpiBreakeven</f>
        <v>0.802568027210884</v>
      </c>
    </row>
    <row r="35" spans="2:12">
      <c r="B35" s="55">
        <f>IF($B$36="","",IFERROR(LARGE(tblMonthly[Month],COUNTIF(tblMonthly[Month],"&gt;="&amp;$B$36)+1),""))</f>
        <v>46023</v>
      </c>
      <c r="C35" s="37">
        <f>IF($B$35="","",SUMIFS(tblMonthly[Avg occupied pallets],tblMonthly[Month],$B$35))</f>
        <v>1176</v>
      </c>
      <c r="D35" s="42">
        <f>IF($B$35="","",IF((Positions)=0,"",(SUMIFS(tblMonthly[Avg occupied pallets],tblMonthly[Month],$B$35))/(Positions)))</f>
        <v>0.84</v>
      </c>
      <c r="E35" s="37">
        <f>IF($B$35="","",SUMIFS(tblMonthly[In-house cost],tblMonthly[Month],$B$35))</f>
        <v>30125</v>
      </c>
      <c r="F35" s="37">
        <f>IF($B$35="","",SUMIFS(tblMonthly[3PL equivalent],tblMonthly[Month],$B$35))</f>
        <v>32765</v>
      </c>
      <c r="G35" s="44">
        <f>IF($B$35="","",SUMIFS(tblMonthly[In-house minus 3PL],tblMonthly[Month],$B$35))</f>
        <v>-2640</v>
      </c>
      <c r="H35" s="40">
        <f>IF($B$35="","",IF((SUMIFS(tblMonthly[Avg occupied pallets],tblMonthly[Month],$B$35))=0,"",(SUMIFS(tblMonthly[In-house cost],tblMonthly[Month],$B$35))/(SUMIFS(tblMonthly[Avg occupied pallets],tblMonthly[Month],$B$35))))</f>
        <v>25.6164965986395</v>
      </c>
      <c r="I35" s="40">
        <f>IF($B$35="","",IF((SUMIFS(tblMonthly[Avg occupied pallets],tblMonthly[Month],$B$35))=0,"",(SUMIFS(tblMonthly[3PL equivalent],tblMonthly[Month],$B$35))/(SUMIFS(tblMonthly[Avg occupied pallets],tblMonthly[Month],$B$35))))</f>
        <v>27.8613945578231</v>
      </c>
      <c r="J35" s="43" t="str">
        <f>IF($B$35="","",IF($G$35&gt;0,"3PL quote","In-house"))</f>
        <v>In-house</v>
      </c>
      <c r="K35" s="56">
        <f>TargetOcc</f>
        <v>0.85</v>
      </c>
      <c r="L35" s="56">
        <f>KpiBreakeven</f>
        <v>0.802568027210884</v>
      </c>
    </row>
    <row r="36" spans="2:12">
      <c r="B36" s="55">
        <f>IF($B$37="","",IFERROR(LARGE(tblMonthly[Month],COUNTIF(tblMonthly[Month],"&gt;="&amp;$B$37)+1),""))</f>
        <v>46054</v>
      </c>
      <c r="C36" s="37">
        <f>IF($B$36="","",SUMIFS(tblMonthly[Avg occupied pallets],tblMonthly[Month],$B$36))</f>
        <v>1274</v>
      </c>
      <c r="D36" s="42">
        <f>IF($B$36="","",IF((Positions)=0,"",(SUMIFS(tblMonthly[Avg occupied pallets],tblMonthly[Month],$B$36))/(Positions)))</f>
        <v>0.91</v>
      </c>
      <c r="E36" s="37">
        <f>IF($B$36="","",SUMIFS(tblMonthly[In-house cost],tblMonthly[Month],$B$36))</f>
        <v>30125</v>
      </c>
      <c r="F36" s="37">
        <f>IF($B$36="","",SUMIFS(tblMonthly[3PL equivalent],tblMonthly[Month],$B$36))</f>
        <v>34920</v>
      </c>
      <c r="G36" s="44">
        <f>IF($B$36="","",SUMIFS(tblMonthly[In-house minus 3PL],tblMonthly[Month],$B$36))</f>
        <v>-4795</v>
      </c>
      <c r="H36" s="40">
        <f>IF($B$36="","",IF((SUMIFS(tblMonthly[Avg occupied pallets],tblMonthly[Month],$B$36))=0,"",(SUMIFS(tblMonthly[In-house cost],tblMonthly[Month],$B$36))/(SUMIFS(tblMonthly[Avg occupied pallets],tblMonthly[Month],$B$36))))</f>
        <v>23.6459968602826</v>
      </c>
      <c r="I36" s="40">
        <f>IF($B$36="","",IF((SUMIFS(tblMonthly[Avg occupied pallets],tblMonthly[Month],$B$36))=0,"",(SUMIFS(tblMonthly[3PL equivalent],tblMonthly[Month],$B$36))/(SUMIFS(tblMonthly[Avg occupied pallets],tblMonthly[Month],$B$36))))</f>
        <v>27.4097331240188</v>
      </c>
      <c r="J36" s="43" t="str">
        <f>IF($B$36="","",IF($G$36&gt;0,"3PL quote","In-house"))</f>
        <v>In-house</v>
      </c>
      <c r="K36" s="56">
        <f>TargetOcc</f>
        <v>0.85</v>
      </c>
      <c r="L36" s="56">
        <f>KpiBreakeven</f>
        <v>0.802568027210884</v>
      </c>
    </row>
    <row r="37" spans="2:12">
      <c r="B37" s="55">
        <f>IF($B$38="","",IFERROR(LARGE(tblMonthly[Month],COUNTIF(tblMonthly[Month],"&gt;="&amp;$B$38)+1),""))</f>
        <v>46082</v>
      </c>
      <c r="C37" s="37">
        <f>IF($B$37="","",SUMIFS(tblMonthly[Avg occupied pallets],tblMonthly[Month],$B$37))</f>
        <v>1316</v>
      </c>
      <c r="D37" s="42">
        <f>IF($B$37="","",IF((Positions)=0,"",(SUMIFS(tblMonthly[Avg occupied pallets],tblMonthly[Month],$B$37))/(Positions)))</f>
        <v>0.94</v>
      </c>
      <c r="E37" s="37">
        <f>IF($B$37="","",SUMIFS(tblMonthly[In-house cost],tblMonthly[Month],$B$37))</f>
        <v>30125</v>
      </c>
      <c r="F37" s="37">
        <f>IF($B$37="","",SUMIFS(tblMonthly[3PL equivalent],tblMonthly[Month],$B$37))</f>
        <v>35262.5</v>
      </c>
      <c r="G37" s="44">
        <f>IF($B$37="","",SUMIFS(tblMonthly[In-house minus 3PL],tblMonthly[Month],$B$37))</f>
        <v>-5137.5</v>
      </c>
      <c r="H37" s="40">
        <f>IF($B$37="","",IF((SUMIFS(tblMonthly[Avg occupied pallets],tblMonthly[Month],$B$37))=0,"",(SUMIFS(tblMonthly[In-house cost],tblMonthly[Month],$B$37))/(SUMIFS(tblMonthly[Avg occupied pallets],tblMonthly[Month],$B$37))))</f>
        <v>22.8913373860182</v>
      </c>
      <c r="I37" s="40">
        <f>IF($B$37="","",IF((SUMIFS(tblMonthly[Avg occupied pallets],tblMonthly[Month],$B$37))=0,"",(SUMIFS(tblMonthly[3PL equivalent],tblMonthly[Month],$B$37))/(SUMIFS(tblMonthly[Avg occupied pallets],tblMonthly[Month],$B$37))))</f>
        <v>26.7952127659574</v>
      </c>
      <c r="J37" s="43" t="str">
        <f>IF($B$37="","",IF($G$37&gt;0,"3PL quote","In-house"))</f>
        <v>In-house</v>
      </c>
      <c r="K37" s="56">
        <f>TargetOcc</f>
        <v>0.85</v>
      </c>
      <c r="L37" s="56">
        <f>KpiBreakeven</f>
        <v>0.802568027210884</v>
      </c>
    </row>
    <row r="38" spans="2:12">
      <c r="B38" s="55">
        <f>IF($B$39="","",IFERROR(LARGE(tblMonthly[Month],COUNTIF(tblMonthly[Month],"&gt;="&amp;$B$39)+1),""))</f>
        <v>46113</v>
      </c>
      <c r="C38" s="37">
        <f>IF($B$38="","",SUMIFS(tblMonthly[Avg occupied pallets],tblMonthly[Month],$B$38))</f>
        <v>1232</v>
      </c>
      <c r="D38" s="42">
        <f>IF($B$38="","",IF((Positions)=0,"",(SUMIFS(tblMonthly[Avg occupied pallets],tblMonthly[Month],$B$38))/(Positions)))</f>
        <v>0.88</v>
      </c>
      <c r="E38" s="37">
        <f>IF($B$38="","",SUMIFS(tblMonthly[In-house cost],tblMonthly[Month],$B$38))</f>
        <v>30125</v>
      </c>
      <c r="F38" s="37">
        <f>IF($B$38="","",SUMIFS(tblMonthly[3PL equivalent],tblMonthly[Month],$B$38))</f>
        <v>32262.5</v>
      </c>
      <c r="G38" s="44">
        <f>IF($B$38="","",SUMIFS(tblMonthly[In-house minus 3PL],tblMonthly[Month],$B$38))</f>
        <v>-2137.5</v>
      </c>
      <c r="H38" s="40">
        <f>IF($B$38="","",IF((SUMIFS(tblMonthly[Avg occupied pallets],tblMonthly[Month],$B$38))=0,"",(SUMIFS(tblMonthly[In-house cost],tblMonthly[Month],$B$38))/(SUMIFS(tblMonthly[Avg occupied pallets],tblMonthly[Month],$B$38))))</f>
        <v>24.4521103896104</v>
      </c>
      <c r="I38" s="40">
        <f>IF($B$38="","",IF((SUMIFS(tblMonthly[Avg occupied pallets],tblMonthly[Month],$B$38))=0,"",(SUMIFS(tblMonthly[3PL equivalent],tblMonthly[Month],$B$38))/(SUMIFS(tblMonthly[Avg occupied pallets],tblMonthly[Month],$B$38))))</f>
        <v>26.1870941558442</v>
      </c>
      <c r="J38" s="43" t="str">
        <f>IF($B$38="","",IF($G$38&gt;0,"3PL quote","In-house"))</f>
        <v>In-house</v>
      </c>
      <c r="K38" s="56">
        <f>TargetOcc</f>
        <v>0.85</v>
      </c>
      <c r="L38" s="56">
        <f>KpiBreakeven</f>
        <v>0.802568027210884</v>
      </c>
    </row>
    <row r="39" spans="2:12">
      <c r="B39" s="55">
        <f>IF($B$40="","",IFERROR(LARGE(tblMonthly[Month],COUNTIF(tblMonthly[Month],"&gt;="&amp;$B$40)+1),""))</f>
        <v>46143</v>
      </c>
      <c r="C39" s="37">
        <f>IF($B$39="","",SUMIFS(tblMonthly[Avg occupied pallets],tblMonthly[Month],$B$39))</f>
        <v>1106</v>
      </c>
      <c r="D39" s="42">
        <f>IF($B$39="","",IF((Positions)=0,"",(SUMIFS(tblMonthly[Avg occupied pallets],tblMonthly[Month],$B$39))/(Positions)))</f>
        <v>0.79</v>
      </c>
      <c r="E39" s="37">
        <f>IF($B$39="","",SUMIFS(tblMonthly[In-house cost],tblMonthly[Month],$B$39))</f>
        <v>30125</v>
      </c>
      <c r="F39" s="37">
        <f>IF($B$39="","",SUMIFS(tblMonthly[3PL equivalent],tblMonthly[Month],$B$39))</f>
        <v>29442.5</v>
      </c>
      <c r="G39" s="44">
        <f>IF($B$39="","",SUMIFS(tblMonthly[In-house minus 3PL],tblMonthly[Month],$B$39))</f>
        <v>682.5</v>
      </c>
      <c r="H39" s="40">
        <f>IF($B$39="","",IF((SUMIFS(tblMonthly[Avg occupied pallets],tblMonthly[Month],$B$39))=0,"",(SUMIFS(tblMonthly[In-house cost],tblMonthly[Month],$B$39))/(SUMIFS(tblMonthly[Avg occupied pallets],tblMonthly[Month],$B$39))))</f>
        <v>27.2377938517179</v>
      </c>
      <c r="I39" s="40">
        <f>IF($B$39="","",IF((SUMIFS(tblMonthly[Avg occupied pallets],tblMonthly[Month],$B$39))=0,"",(SUMIFS(tblMonthly[3PL equivalent],tblMonthly[Month],$B$39))/(SUMIFS(tblMonthly[Avg occupied pallets],tblMonthly[Month],$B$39))))</f>
        <v>26.620705244123</v>
      </c>
      <c r="J39" s="43" t="str">
        <f>IF($B$39="","",IF($G$39&gt;0,"3PL quote","In-house"))</f>
        <v>3PL quote</v>
      </c>
      <c r="K39" s="56">
        <f>TargetOcc</f>
        <v>0.85</v>
      </c>
      <c r="L39" s="56">
        <f>KpiBreakeven</f>
        <v>0.802568027210884</v>
      </c>
    </row>
    <row r="40" spans="2:12">
      <c r="B40" s="55">
        <f>IF($B$41="","",IFERROR(LARGE(tblMonthly[Month],COUNTIF(tblMonthly[Month],"&gt;="&amp;$B$41)+1),""))</f>
        <v>46174</v>
      </c>
      <c r="C40" s="37">
        <f>IF($B$40="","",SUMIFS(tblMonthly[Avg occupied pallets],tblMonthly[Month],$B$40))</f>
        <v>980</v>
      </c>
      <c r="D40" s="42">
        <f>IF($B$40="","",IF((Positions)=0,"",(SUMIFS(tblMonthly[Avg occupied pallets],tblMonthly[Month],$B$40))/(Positions)))</f>
        <v>0.7</v>
      </c>
      <c r="E40" s="37">
        <f>IF($B$40="","",SUMIFS(tblMonthly[In-house cost],tblMonthly[Month],$B$40))</f>
        <v>30125</v>
      </c>
      <c r="F40" s="37">
        <f>IF($B$40="","",SUMIFS(tblMonthly[3PL equivalent],tblMonthly[Month],$B$40))</f>
        <v>26612.5</v>
      </c>
      <c r="G40" s="44">
        <f>IF($B$40="","",SUMIFS(tblMonthly[In-house minus 3PL],tblMonthly[Month],$B$40))</f>
        <v>3512.5</v>
      </c>
      <c r="H40" s="40">
        <f>IF($B$40="","",IF((SUMIFS(tblMonthly[Avg occupied pallets],tblMonthly[Month],$B$40))=0,"",(SUMIFS(tblMonthly[In-house cost],tblMonthly[Month],$B$40))/(SUMIFS(tblMonthly[Avg occupied pallets],tblMonthly[Month],$B$40))))</f>
        <v>30.7397959183673</v>
      </c>
      <c r="I40" s="40">
        <f>IF($B$40="","",IF((SUMIFS(tblMonthly[Avg occupied pallets],tblMonthly[Month],$B$40))=0,"",(SUMIFS(tblMonthly[3PL equivalent],tblMonthly[Month],$B$40))/(SUMIFS(tblMonthly[Avg occupied pallets],tblMonthly[Month],$B$40))))</f>
        <v>27.155612244898</v>
      </c>
      <c r="J40" s="43" t="str">
        <f>IF($B$40="","",IF($G$40&gt;0,"3PL quote","In-house"))</f>
        <v>3PL quote</v>
      </c>
      <c r="K40" s="56">
        <f>TargetOcc</f>
        <v>0.85</v>
      </c>
      <c r="L40" s="56">
        <f>KpiBreakeven</f>
        <v>0.802568027210884</v>
      </c>
    </row>
    <row r="41" spans="2:12">
      <c r="B41" s="55">
        <f>IF($B$42="","",IFERROR(LARGE(tblMonthly[Month],COUNTIF(tblMonthly[Month],"&gt;="&amp;$B$42)+1),""))</f>
        <v>46204</v>
      </c>
      <c r="C41" s="37">
        <f>IF($B$41="","",SUMIFS(tblMonthly[Avg occupied pallets],tblMonthly[Month],$B$41))</f>
        <v>882</v>
      </c>
      <c r="D41" s="42">
        <f>IF($B$41="","",IF((Positions)=0,"",(SUMIFS(tblMonthly[Avg occupied pallets],tblMonthly[Month],$B$41))/(Positions)))</f>
        <v>0.63</v>
      </c>
      <c r="E41" s="37">
        <f>IF($B$41="","",SUMIFS(tblMonthly[In-house cost],tblMonthly[Month],$B$41))</f>
        <v>30125</v>
      </c>
      <c r="F41" s="37">
        <f>IF($B$41="","",SUMIFS(tblMonthly[3PL equivalent],tblMonthly[Month],$B$41))</f>
        <v>24235</v>
      </c>
      <c r="G41" s="44">
        <f>IF($B$41="","",SUMIFS(tblMonthly[In-house minus 3PL],tblMonthly[Month],$B$41))</f>
        <v>5890</v>
      </c>
      <c r="H41" s="40">
        <f>IF($B$41="","",IF((SUMIFS(tblMonthly[Avg occupied pallets],tblMonthly[Month],$B$41))=0,"",(SUMIFS(tblMonthly[In-house cost],tblMonthly[Month],$B$41))/(SUMIFS(tblMonthly[Avg occupied pallets],tblMonthly[Month],$B$41))))</f>
        <v>34.1553287981859</v>
      </c>
      <c r="I41" s="40">
        <f>IF($B$41="","",IF((SUMIFS(tblMonthly[Avg occupied pallets],tblMonthly[Month],$B$41))=0,"",(SUMIFS(tblMonthly[3PL equivalent],tblMonthly[Month],$B$41))/(SUMIFS(tblMonthly[Avg occupied pallets],tblMonthly[Month],$B$41))))</f>
        <v>27.4773242630386</v>
      </c>
      <c r="J41" s="43" t="str">
        <f>IF($B$41="","",IF($G$41&gt;0,"3PL quote","In-house"))</f>
        <v>3PL quote</v>
      </c>
      <c r="K41" s="56">
        <f>TargetOcc</f>
        <v>0.85</v>
      </c>
      <c r="L41" s="56">
        <f>KpiBreakeven</f>
        <v>0.802568027210884</v>
      </c>
    </row>
    <row r="42" spans="2:12">
      <c r="B42" s="55">
        <f>IF($B$43="","",IFERROR(LARGE(tblMonthly[Month],COUNTIF(tblMonthly[Month],"&gt;="&amp;$B$43)+1),""))</f>
        <v>46235</v>
      </c>
      <c r="C42" s="37">
        <f>IF($B$42="","",SUMIFS(tblMonthly[Avg occupied pallets],tblMonthly[Month],$B$42))</f>
        <v>812</v>
      </c>
      <c r="D42" s="42">
        <f>IF($B$42="","",IF((Positions)=0,"",(SUMIFS(tblMonthly[Avg occupied pallets],tblMonthly[Month],$B$42))/(Positions)))</f>
        <v>0.58</v>
      </c>
      <c r="E42" s="37">
        <f>IF($B$42="","",SUMIFS(tblMonthly[In-house cost],tblMonthly[Month],$B$42))</f>
        <v>30125</v>
      </c>
      <c r="F42" s="37">
        <f>IF($B$42="","",SUMIFS(tblMonthly[3PL equivalent],tblMonthly[Month],$B$42))</f>
        <v>23065</v>
      </c>
      <c r="G42" s="44">
        <f>IF($B$42="","",SUMIFS(tblMonthly[In-house minus 3PL],tblMonthly[Month],$B$42))</f>
        <v>7060</v>
      </c>
      <c r="H42" s="40">
        <f>IF($B$42="","",IF((SUMIFS(tblMonthly[Avg occupied pallets],tblMonthly[Month],$B$42))=0,"",(SUMIFS(tblMonthly[In-house cost],tblMonthly[Month],$B$42))/(SUMIFS(tblMonthly[Avg occupied pallets],tblMonthly[Month],$B$42))))</f>
        <v>37.0997536945813</v>
      </c>
      <c r="I42" s="40">
        <f>IF($B$42="","",IF((SUMIFS(tblMonthly[Avg occupied pallets],tblMonthly[Month],$B$42))=0,"",(SUMIFS(tblMonthly[3PL equivalent],tblMonthly[Month],$B$42))/(SUMIFS(tblMonthly[Avg occupied pallets],tblMonthly[Month],$B$42))))</f>
        <v>28.4051724137931</v>
      </c>
      <c r="J42" s="43" t="str">
        <f>IF($B$42="","",IF($G$42&gt;0,"3PL quote","In-house"))</f>
        <v>3PL quote</v>
      </c>
      <c r="K42" s="56">
        <f>TargetOcc</f>
        <v>0.85</v>
      </c>
      <c r="L42" s="56">
        <f>KpiBreakeven</f>
        <v>0.802568027210884</v>
      </c>
    </row>
    <row r="43" spans="2:12">
      <c r="B43" s="55">
        <f>IF(COUNT(tblMonthly[Month])=0,"",MAX(tblMonthly[Month]))</f>
        <v>46266</v>
      </c>
      <c r="C43" s="37">
        <f>IF($B$43="","",SUMIFS(tblMonthly[Avg occupied pallets],tblMonthly[Month],$B$43))</f>
        <v>840</v>
      </c>
      <c r="D43" s="42">
        <f>IF($B$43="","",IF((Positions)=0,"",(SUMIFS(tblMonthly[Avg occupied pallets],tblMonthly[Month],$B$43))/(Positions)))</f>
        <v>0.6</v>
      </c>
      <c r="E43" s="37">
        <f>IF($B$43="","",SUMIFS(tblMonthly[In-house cost],tblMonthly[Month],$B$43))</f>
        <v>30125</v>
      </c>
      <c r="F43" s="37">
        <f>IF($B$43="","",SUMIFS(tblMonthly[3PL equivalent],tblMonthly[Month],$B$43))</f>
        <v>23905</v>
      </c>
      <c r="G43" s="44">
        <f>IF($B$43="","",SUMIFS(tblMonthly[In-house minus 3PL],tblMonthly[Month],$B$43))</f>
        <v>6220</v>
      </c>
      <c r="H43" s="40">
        <f>IF($B$43="","",IF((SUMIFS(tblMonthly[Avg occupied pallets],tblMonthly[Month],$B$43))=0,"",(SUMIFS(tblMonthly[In-house cost],tblMonthly[Month],$B$43))/(SUMIFS(tblMonthly[Avg occupied pallets],tblMonthly[Month],$B$43))))</f>
        <v>35.8630952380952</v>
      </c>
      <c r="I43" s="40">
        <f>IF($B$43="","",IF((SUMIFS(tblMonthly[Avg occupied pallets],tblMonthly[Month],$B$43))=0,"",(SUMIFS(tblMonthly[3PL equivalent],tblMonthly[Month],$B$43))/(SUMIFS(tblMonthly[Avg occupied pallets],tblMonthly[Month],$B$43))))</f>
        <v>28.4583333333333</v>
      </c>
      <c r="J43" s="43" t="str">
        <f>IF($B$43="","",IF($G$43&gt;0,"3PL quote","In-house"))</f>
        <v>3PL quote</v>
      </c>
      <c r="K43" s="56">
        <f>TargetOcc</f>
        <v>0.85</v>
      </c>
      <c r="L43" s="56">
        <f>KpiBreakeven</f>
        <v>0.802568027210884</v>
      </c>
    </row>
    <row r="44" spans="2:12">
      <c r="B44" s="57" t="s">
        <v>143</v>
      </c>
      <c r="E44" s="58">
        <f>SUM($E$32:$E$43)</f>
        <v>361500</v>
      </c>
      <c r="F44" s="58">
        <f>SUM($F$32:$F$43)</f>
        <v>345310</v>
      </c>
      <c r="G44" s="59">
        <f>SUM($G$32:$G$43)</f>
        <v>16190</v>
      </c>
    </row>
    <row r="46" spans="2:12">
      <c r="B46" s="32" t="s">
        <v>144</v>
      </c>
      <c r="C46" s="32"/>
      <c r="D46" s="32"/>
      <c r="E46" s="32"/>
      <c r="F46" s="32"/>
      <c r="G46" s="32"/>
    </row>
    <row r="47" spans="2:12" ht="45.5" customHeight="1">
      <c r="B47" s="54" t="s">
        <v>62</v>
      </c>
      <c r="C47" s="33" t="s">
        <v>87</v>
      </c>
      <c r="D47" s="33" t="s">
        <v>145</v>
      </c>
      <c r="E47" s="33" t="s">
        <v>146</v>
      </c>
      <c r="F47" s="33" t="s">
        <v>147</v>
      </c>
      <c r="G47" s="33" t="s">
        <v>148</v>
      </c>
    </row>
    <row r="48" spans="2:12" ht="14" customHeight="1">
      <c r="B48" s="35"/>
      <c r="C48" s="35" t="str">
        <f>Currency&amp;"/year"</f>
        <v>USD/year</v>
      </c>
      <c r="D48" s="35" t="str">
        <f>Currency&amp;"/year"</f>
        <v>USD/year</v>
      </c>
      <c r="E48" s="35" t="str">
        <f>Currency&amp;"/year"</f>
        <v>USD/year</v>
      </c>
      <c r="F48" s="35"/>
      <c r="G48" s="35" t="str">
        <f>Currency</f>
        <v>USD</v>
      </c>
    </row>
    <row r="49" spans="2:12">
      <c r="B49" s="60" t="str">
        <f>IFERROR(INDEX(tblCategories[Category],1)&amp;"","")</f>
        <v>Space</v>
      </c>
      <c r="C49" s="37">
        <f>IF($B$49="","",SUMIFS(tblCosts[Annual cost],tblCosts[Category],$B$49))</f>
        <v>160000</v>
      </c>
      <c r="D49" s="37">
        <f>IF($B$49="","",SUMIFS(tblCosts[Storage cost],tblCosts[Category],$B$49))</f>
        <v>160000</v>
      </c>
      <c r="E49" s="37">
        <f>IF($B$49="","",SUMIFS(tblCosts[Handling cost],tblCosts[Category],$B$49))</f>
        <v>0</v>
      </c>
      <c r="F49" s="42">
        <f>IF($B$49="","",IF((SUM(tblCosts[Annual cost]))=0,"",(SUMIFS(tblCosts[Annual cost],tblCosts[Category],$B$49))/(SUM(tblCosts[Annual cost]))))</f>
        <v>0.442600276625173</v>
      </c>
      <c r="G49" s="40">
        <f>IF($B$49="","",IF((SUMIFS(tblMonthly[Avg occupied pallets],tblMonthly[Month],"&gt;0"))=0,"",(SUMIFS(tblCosts[Annual cost],tblCosts[Category],$B$49)/12*COUNTIFS(tblMonthly[Month],"&gt;0"))/(SUMIFS(tblMonthly[Avg occupied pallets],tblMonthly[Month],"&gt;0"))))</f>
        <v>12.7408823060997</v>
      </c>
    </row>
    <row r="50" spans="2:12">
      <c r="B50" s="60" t="str">
        <f>IFERROR(INDEX(tblCategories[Category],2)&amp;"","")</f>
        <v>Equipment</v>
      </c>
      <c r="C50" s="37">
        <f>IF($B$50="","",SUMIFS(tblCosts[Annual cost],tblCosts[Category],$B$50))</f>
        <v>45500</v>
      </c>
      <c r="D50" s="37">
        <f>IF($B$50="","",SUMIFS(tblCosts[Storage cost],tblCosts[Category],$B$50))</f>
        <v>20700</v>
      </c>
      <c r="E50" s="37">
        <f>IF($B$50="","",SUMIFS(tblCosts[Handling cost],tblCosts[Category],$B$50))</f>
        <v>24800</v>
      </c>
      <c r="F50" s="42">
        <f>IF($B$50="","",IF((SUM(tblCosts[Annual cost]))=0,"",(SUMIFS(tblCosts[Annual cost],tblCosts[Category],$B$50))/(SUM(tblCosts[Annual cost]))))</f>
        <v>0.125864453665284</v>
      </c>
      <c r="G50" s="40">
        <f>IF($B$50="","",IF((SUMIFS(tblMonthly[Avg occupied pallets],tblMonthly[Month],"&gt;0"))=0,"",(SUMIFS(tblCosts[Annual cost],tblCosts[Category],$B$50)/12*COUNTIFS(tblMonthly[Month],"&gt;0"))/(SUMIFS(tblMonthly[Avg occupied pallets],tblMonthly[Month],"&gt;0"))))</f>
        <v>3.6231884057971</v>
      </c>
    </row>
    <row r="51" spans="2:12">
      <c r="B51" s="60" t="str">
        <f>IFERROR(INDEX(tblCategories[Category],3)&amp;"","")</f>
        <v>Labour</v>
      </c>
      <c r="C51" s="37">
        <f>IF($B$51="","",SUMIFS(tblCosts[Annual cost],tblCosts[Category],$B$51))</f>
        <v>119000</v>
      </c>
      <c r="D51" s="37">
        <f>IF($B$51="","",SUMIFS(tblCosts[Storage cost],tblCosts[Category],$B$51))</f>
        <v>15050</v>
      </c>
      <c r="E51" s="37">
        <f>IF($B$51="","",SUMIFS(tblCosts[Handling cost],tblCosts[Category],$B$51))</f>
        <v>103950</v>
      </c>
      <c r="F51" s="42">
        <f>IF($B$51="","",IF((SUM(tblCosts[Annual cost]))=0,"",(SUMIFS(tblCosts[Annual cost],tblCosts[Category],$B$51))/(SUM(tblCosts[Annual cost]))))</f>
        <v>0.329183955739972</v>
      </c>
      <c r="G51" s="40">
        <f>IF($B$51="","",IF((SUMIFS(tblMonthly[Avg occupied pallets],tblMonthly[Month],"&gt;0"))=0,"",(SUMIFS(tblCosts[Annual cost],tblCosts[Category],$B$51)/12*COUNTIFS(tblMonthly[Month],"&gt;0"))/(SUMIFS(tblMonthly[Avg occupied pallets],tblMonthly[Month],"&gt;0"))))</f>
        <v>9.47603121516165</v>
      </c>
    </row>
    <row r="52" spans="2:12">
      <c r="B52" s="60" t="str">
        <f>IFERROR(INDEX(tblCategories[Category],4)&amp;"","")</f>
        <v>Utilities</v>
      </c>
      <c r="C52" s="37">
        <f>IF($B$52="","",SUMIFS(tblCosts[Annual cost],tblCosts[Category],$B$52))</f>
        <v>19000</v>
      </c>
      <c r="D52" s="37">
        <f>IF($B$52="","",SUMIFS(tblCosts[Storage cost],tblCosts[Category],$B$52))</f>
        <v>15200</v>
      </c>
      <c r="E52" s="37">
        <f>IF($B$52="","",SUMIFS(tblCosts[Handling cost],tblCosts[Category],$B$52))</f>
        <v>3800</v>
      </c>
      <c r="F52" s="42">
        <f>IF($B$52="","",IF((SUM(tblCosts[Annual cost]))=0,"",(SUMIFS(tblCosts[Annual cost],tblCosts[Category],$B$52))/(SUM(tblCosts[Annual cost]))))</f>
        <v>0.0525587828492393</v>
      </c>
      <c r="G52" s="40">
        <f>IF($B$52="","",IF((SUMIFS(tblMonthly[Avg occupied pallets],tblMonthly[Month],"&gt;0"))=0,"",(SUMIFS(tblCosts[Annual cost],tblCosts[Category],$B$52)/12*COUNTIFS(tblMonthly[Month],"&gt;0"))/(SUMIFS(tblMonthly[Avg occupied pallets],tblMonthly[Month],"&gt;0"))))</f>
        <v>1.51297977384934</v>
      </c>
    </row>
    <row r="53" spans="2:12">
      <c r="B53" s="60" t="str">
        <f>IFERROR(INDEX(tblCategories[Category],5)&amp;"","")</f>
        <v>Systems</v>
      </c>
      <c r="C53" s="37">
        <f>IF($B$53="","",SUMIFS(tblCosts[Annual cost],tblCosts[Category],$B$53))</f>
        <v>9600</v>
      </c>
      <c r="D53" s="37">
        <f>IF($B$53="","",SUMIFS(tblCosts[Storage cost],tblCosts[Category],$B$53))</f>
        <v>4800</v>
      </c>
      <c r="E53" s="37">
        <f>IF($B$53="","",SUMIFS(tblCosts[Handling cost],tblCosts[Category],$B$53))</f>
        <v>4800</v>
      </c>
      <c r="F53" s="42">
        <f>IF($B$53="","",IF((SUM(tblCosts[Annual cost]))=0,"",(SUMIFS(tblCosts[Annual cost],tblCosts[Category],$B$53))/(SUM(tblCosts[Annual cost]))))</f>
        <v>0.0265560165975104</v>
      </c>
      <c r="G53" s="40">
        <f>IF($B$53="","",IF((SUMIFS(tblMonthly[Avg occupied pallets],tblMonthly[Month],"&gt;0"))=0,"",(SUMIFS(tblCosts[Annual cost],tblCosts[Category],$B$53)/12*COUNTIFS(tblMonthly[Month],"&gt;0"))/(SUMIFS(tblMonthly[Avg occupied pallets],tblMonthly[Month],"&gt;0"))))</f>
        <v>0.764452938365982</v>
      </c>
    </row>
    <row r="54" spans="2:12">
      <c r="B54" s="60" t="str">
        <f>IFERROR(INDEX(tblCategories[Category],6)&amp;"","")</f>
        <v>Other</v>
      </c>
      <c r="C54" s="37">
        <f>IF($B$54="","",SUMIFS(tblCosts[Annual cost],tblCosts[Category],$B$54))</f>
        <v>8400</v>
      </c>
      <c r="D54" s="37">
        <f>IF($B$54="","",SUMIFS(tblCosts[Storage cost],tblCosts[Category],$B$54))</f>
        <v>5880</v>
      </c>
      <c r="E54" s="37">
        <f>IF($B$54="","",SUMIFS(tblCosts[Handling cost],tblCosts[Category],$B$54))</f>
        <v>2520</v>
      </c>
      <c r="F54" s="42">
        <f>IF($B$54="","",IF((SUM(tblCosts[Annual cost]))=0,"",(SUMIFS(tblCosts[Annual cost],tblCosts[Category],$B$54))/(SUM(tblCosts[Annual cost]))))</f>
        <v>0.0232365145228216</v>
      </c>
      <c r="G54" s="40">
        <f>IF($B$54="","",IF((SUMIFS(tblMonthly[Avg occupied pallets],tblMonthly[Month],"&gt;0"))=0,"",(SUMIFS(tblCosts[Annual cost],tblCosts[Category],$B$54)/12*COUNTIFS(tblMonthly[Month],"&gt;0"))/(SUMIFS(tblMonthly[Avg occupied pallets],tblMonthly[Month],"&gt;0"))))</f>
        <v>0.668896321070234</v>
      </c>
    </row>
    <row r="55" spans="2:12">
      <c r="B55" s="57" t="s">
        <v>143</v>
      </c>
      <c r="C55" s="58">
        <f>SUM($C$49:$C$54)</f>
        <v>361500</v>
      </c>
      <c r="D55" s="58">
        <f>SUM($D$49:$D$54)</f>
        <v>221630</v>
      </c>
      <c r="E55" s="58">
        <f>SUM($E$49:$E$54)</f>
        <v>139870</v>
      </c>
    </row>
    <row r="56" spans="2:12" ht="8" customHeight="1"/>
    <row r="57" spans="2:12" ht="26.76" customHeight="1">
      <c r="B57" s="21" t="s">
        <v>149</v>
      </c>
      <c r="C57" s="21"/>
      <c r="D57" s="21"/>
      <c r="E57" s="21"/>
      <c r="F57" s="21"/>
      <c r="G57" s="21"/>
      <c r="H57" s="21"/>
      <c r="I57" s="21"/>
      <c r="J57" s="21"/>
      <c r="K57" s="21"/>
      <c r="L57" s="21"/>
    </row>
    <row r="58" spans="2:12">
      <c r="B58" s="61">
        <f>IF(COUNTA(tblCategories[Category])&gt;6,"The Setup category list is longer than the Dashboard block: some categories are not shown.","")</f>
        <v/>
      </c>
      <c r="C58" s="61"/>
      <c r="D58" s="61"/>
      <c r="E58" s="61"/>
      <c r="F58" s="61"/>
      <c r="G58" s="61"/>
      <c r="H58" s="61"/>
      <c r="I58" s="61"/>
      <c r="J58" s="61"/>
      <c r="K58" s="61"/>
      <c r="L58" s="61"/>
    </row>
  </sheetData>
  <sheetProtection sheet="1" formatColumns="0" formatRows="0"/>
  <mergeCells count="24">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L29"/>
    <mergeCell ref="B46:G46"/>
    <mergeCell ref="B57:L57"/>
    <mergeCell ref="B58:L58"/>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32:D43">
    <cfRule type="expression" dxfId="3" priority="41" stopIfTrue="1">
      <formula>AND(ISNUMBER(D32),D32&gt;=(TargetOcc))</formula>
    </cfRule>
    <cfRule type="expression" dxfId="4" priority="42" stopIfTrue="1">
      <formula>AND(ISNUMBER(D32),D32&gt;=(TargetOcc)*(1-0.05))</formula>
    </cfRule>
    <cfRule type="expression" dxfId="5" priority="43">
      <formula>ISNUMBER(D32)</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Warehouse Storage Cost&amp;R&amp;8&amp;A</oddHeader>
    <oddFooter>&amp;L&amp;8mfgcalcs.com - free manufacturing templates&amp;R&amp;8Page &amp;P of &amp;N</oddFooter>
  </headerFooter>
  <rowBreaks count="2" manualBreakCount="2">
    <brk id="28" max="16383" man="1"/>
    <brk id="45"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150</v>
      </c>
      <c r="C4" s="8"/>
      <c r="D4" s="8"/>
    </row>
    <row r="5" spans="1:4" ht="5" customHeight="1"/>
    <row r="6" spans="1:4" ht="69" customHeight="1">
      <c r="B6" s="10" t="s">
        <v>151</v>
      </c>
      <c r="C6" s="10"/>
      <c r="D6" s="10"/>
    </row>
    <row r="8" spans="1:4" ht="21" customHeight="1">
      <c r="B8" s="8" t="s">
        <v>152</v>
      </c>
      <c r="C8" s="8"/>
      <c r="D8" s="8"/>
    </row>
    <row r="9" spans="1:4" ht="5" customHeight="1"/>
    <row r="10" spans="1:4" ht="20" customHeight="1">
      <c r="B10" s="54" t="s">
        <v>153</v>
      </c>
      <c r="C10" s="54" t="s">
        <v>154</v>
      </c>
      <c r="D10" s="33" t="s">
        <v>155</v>
      </c>
    </row>
    <row r="11" spans="1:4" ht="30.4" customHeight="1">
      <c r="B11" s="62" t="s">
        <v>156</v>
      </c>
      <c r="C11" s="63" t="s">
        <v>157</v>
      </c>
      <c r="D11" s="64" t="s">
        <v>158</v>
      </c>
    </row>
    <row r="12" spans="1:4" ht="30.4" customHeight="1">
      <c r="B12" s="62" t="s">
        <v>159</v>
      </c>
      <c r="C12" s="63" t="s">
        <v>160</v>
      </c>
      <c r="D12" s="64" t="s">
        <v>158</v>
      </c>
    </row>
    <row r="13" spans="1:4" ht="30.4" customHeight="1">
      <c r="B13" s="62" t="s">
        <v>116</v>
      </c>
      <c r="C13" s="63" t="s">
        <v>161</v>
      </c>
      <c r="D13" s="64" t="s">
        <v>158</v>
      </c>
    </row>
    <row r="14" spans="1:4" ht="30.4" customHeight="1">
      <c r="B14" s="62" t="s">
        <v>121</v>
      </c>
      <c r="C14" s="63" t="s">
        <v>162</v>
      </c>
      <c r="D14" s="64" t="s">
        <v>163</v>
      </c>
    </row>
    <row r="15" spans="1:4" ht="17.2" customHeight="1">
      <c r="B15" s="62" t="s">
        <v>164</v>
      </c>
      <c r="C15" s="63" t="s">
        <v>165</v>
      </c>
      <c r="D15" s="64" t="s">
        <v>158</v>
      </c>
    </row>
    <row r="16" spans="1:4" ht="30.4" customHeight="1">
      <c r="B16" s="62" t="s">
        <v>124</v>
      </c>
      <c r="C16" s="63" t="s">
        <v>166</v>
      </c>
      <c r="D16" s="64" t="s">
        <v>158</v>
      </c>
    </row>
    <row r="17" spans="2:4" ht="17.2" customHeight="1">
      <c r="B17" s="62" t="s">
        <v>125</v>
      </c>
      <c r="C17" s="63" t="s">
        <v>167</v>
      </c>
      <c r="D17" s="64" t="s">
        <v>168</v>
      </c>
    </row>
    <row r="18" spans="2:4" ht="43.6" customHeight="1">
      <c r="B18" s="62" t="s">
        <v>169</v>
      </c>
      <c r="C18" s="63" t="s">
        <v>170</v>
      </c>
      <c r="D18" s="64" t="s">
        <v>158</v>
      </c>
    </row>
    <row r="19" spans="2:4" ht="17.2" customHeight="1">
      <c r="B19" s="62" t="s">
        <v>129</v>
      </c>
      <c r="C19" s="63" t="s">
        <v>171</v>
      </c>
      <c r="D19" s="64" t="s">
        <v>158</v>
      </c>
    </row>
    <row r="20" spans="2:4" ht="30.4" customHeight="1">
      <c r="B20" s="62" t="s">
        <v>130</v>
      </c>
      <c r="C20" s="63" t="s">
        <v>172</v>
      </c>
      <c r="D20" s="64" t="s">
        <v>158</v>
      </c>
    </row>
    <row r="21" spans="2:4" ht="43.6" customHeight="1">
      <c r="B21" s="62" t="s">
        <v>173</v>
      </c>
      <c r="C21" s="63" t="s">
        <v>174</v>
      </c>
      <c r="D21" s="64" t="s">
        <v>175</v>
      </c>
    </row>
    <row r="22" spans="2:4" ht="43.6" customHeight="1">
      <c r="B22" s="62" t="s">
        <v>176</v>
      </c>
      <c r="C22" s="63" t="s">
        <v>177</v>
      </c>
      <c r="D22" s="64" t="s">
        <v>163</v>
      </c>
    </row>
    <row r="23" spans="2:4" ht="30.4" customHeight="1">
      <c r="B23" s="62" t="s">
        <v>178</v>
      </c>
      <c r="C23" s="63" t="s">
        <v>179</v>
      </c>
      <c r="D23" s="64" t="s">
        <v>158</v>
      </c>
    </row>
    <row r="25" spans="2:4" ht="21" customHeight="1">
      <c r="B25" s="8" t="s">
        <v>180</v>
      </c>
      <c r="C25" s="8"/>
      <c r="D25" s="8"/>
    </row>
    <row r="26" spans="2:4" ht="5" customHeight="1"/>
    <row r="27" spans="2:4" ht="29.4" customHeight="1">
      <c r="B27" s="26" t="s">
        <v>55</v>
      </c>
      <c r="C27" s="10" t="s">
        <v>181</v>
      </c>
      <c r="D27" s="10"/>
    </row>
    <row r="28" spans="2:4" ht="29.4" customHeight="1">
      <c r="B28" s="26" t="s">
        <v>55</v>
      </c>
      <c r="C28" s="10" t="s">
        <v>182</v>
      </c>
      <c r="D28" s="10"/>
    </row>
    <row r="29" spans="2:4" ht="29.4" customHeight="1">
      <c r="B29" s="26" t="s">
        <v>55</v>
      </c>
      <c r="C29" s="10" t="s">
        <v>183</v>
      </c>
      <c r="D29" s="10"/>
    </row>
    <row r="30" spans="2:4" ht="16.2" customHeight="1">
      <c r="B30" s="26" t="s">
        <v>55</v>
      </c>
      <c r="C30" s="10" t="s">
        <v>184</v>
      </c>
      <c r="D30" s="10"/>
    </row>
    <row r="32" spans="2:4" ht="21" customHeight="1">
      <c r="B32" s="8" t="s">
        <v>185</v>
      </c>
      <c r="C32" s="8"/>
      <c r="D32" s="8"/>
    </row>
    <row r="33" spans="2:4" ht="5" customHeight="1"/>
    <row r="34" spans="2:4" ht="29.4" customHeight="1">
      <c r="B34" s="26" t="s">
        <v>55</v>
      </c>
      <c r="C34" s="10" t="s">
        <v>186</v>
      </c>
      <c r="D34" s="10"/>
    </row>
    <row r="35" spans="2:4" ht="29.4" customHeight="1">
      <c r="B35" s="26" t="s">
        <v>55</v>
      </c>
      <c r="C35" s="10" t="s">
        <v>187</v>
      </c>
      <c r="D35" s="10"/>
    </row>
    <row r="36" spans="2:4" ht="16.2" customHeight="1">
      <c r="B36" s="26" t="s">
        <v>55</v>
      </c>
      <c r="C36" s="10" t="s">
        <v>188</v>
      </c>
      <c r="D36" s="10"/>
    </row>
    <row r="37" spans="2:4" ht="29.4" customHeight="1">
      <c r="B37" s="26" t="s">
        <v>55</v>
      </c>
      <c r="C37" s="10" t="s">
        <v>189</v>
      </c>
      <c r="D37" s="10"/>
    </row>
    <row r="39" spans="2:4" ht="21" customHeight="1">
      <c r="B39" s="8" t="s">
        <v>190</v>
      </c>
      <c r="C39" s="8"/>
      <c r="D39" s="8"/>
    </row>
    <row r="40" spans="2:4" ht="5" customHeight="1"/>
    <row r="41" spans="2:4" ht="82.2" customHeight="1">
      <c r="B41" s="10" t="s">
        <v>191</v>
      </c>
      <c r="C41" s="10"/>
      <c r="D41" s="10"/>
    </row>
    <row r="42" spans="2:4">
      <c r="B42" s="24" t="s">
        <v>192</v>
      </c>
      <c r="C42" s="24"/>
      <c r="D42" s="24"/>
    </row>
    <row r="44" spans="2:4" ht="21" customHeight="1">
      <c r="B44" s="8" t="s">
        <v>42</v>
      </c>
      <c r="C44" s="8"/>
      <c r="D44" s="8"/>
    </row>
    <row r="45" spans="2:4" ht="5" customHeight="1"/>
    <row r="46" spans="2:4" ht="42.6" customHeight="1">
      <c r="B46" s="10" t="s">
        <v>193</v>
      </c>
      <c r="C46" s="10"/>
      <c r="D46" s="10"/>
    </row>
    <row r="48" spans="2:4" ht="21" customHeight="1">
      <c r="B48" s="8" t="s">
        <v>194</v>
      </c>
      <c r="C48" s="8"/>
      <c r="D48" s="8"/>
    </row>
    <row r="49" spans="2:4" ht="5" customHeight="1"/>
    <row r="50" spans="2:4" ht="29.4" customHeight="1">
      <c r="B50" s="26" t="s">
        <v>55</v>
      </c>
      <c r="C50" s="10" t="s">
        <v>195</v>
      </c>
      <c r="D50" s="10"/>
    </row>
    <row r="51" spans="2:4" ht="29.4" customHeight="1">
      <c r="B51" s="26" t="s">
        <v>55</v>
      </c>
      <c r="C51" s="10" t="s">
        <v>196</v>
      </c>
      <c r="D51" s="10"/>
    </row>
    <row r="52" spans="2:4" ht="29.4" customHeight="1">
      <c r="B52" s="26" t="s">
        <v>55</v>
      </c>
      <c r="C52" s="10" t="s">
        <v>197</v>
      </c>
      <c r="D52" s="10"/>
    </row>
    <row r="53" spans="2:4">
      <c r="B53" s="21" t="s">
        <v>198</v>
      </c>
      <c r="C53" s="21"/>
      <c r="D53" s="21"/>
    </row>
    <row r="55" spans="2:4" ht="21" customHeight="1">
      <c r="B55" s="8" t="s">
        <v>199</v>
      </c>
      <c r="C55" s="8"/>
      <c r="D55" s="8"/>
    </row>
    <row r="56" spans="2:4" ht="5" customHeight="1"/>
    <row r="57" spans="2:4">
      <c r="B57" s="54" t="s">
        <v>50</v>
      </c>
      <c r="C57" s="54" t="s">
        <v>200</v>
      </c>
      <c r="D57" s="33" t="s">
        <v>201</v>
      </c>
    </row>
    <row r="58" spans="2:4" ht="16.2" customHeight="1">
      <c r="B58" s="65" t="s">
        <v>202</v>
      </c>
      <c r="C58" s="66" t="s">
        <v>203</v>
      </c>
      <c r="D58" s="67" t="s">
        <v>204</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Warehouse Storage Cost&amp;R&amp;8&amp;A</oddHeader>
    <oddFooter>&amp;L&amp;8mfgcalcs.com - free manufacturing templates&amp;R&amp;8Page &amp;P of &amp;N</oddFooter>
  </headerFooter>
  <rowBreaks count="2" manualBreakCount="2">
    <brk id="24" max="16383" man="1"/>
    <brk id="53"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R67"/>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28</v>
      </c>
      <c r="C2" s="2"/>
      <c r="D2" s="2"/>
      <c r="E2" s="2"/>
      <c r="F2" s="2"/>
      <c r="G2" s="2"/>
      <c r="H2" s="2"/>
      <c r="I2" s="2"/>
      <c r="J2" s="2"/>
      <c r="K2" s="2"/>
      <c r="L2" s="2"/>
      <c r="M2" s="2"/>
      <c r="N2" s="2"/>
      <c r="O2" s="2"/>
      <c r="P2" s="2"/>
      <c r="Q2" s="2"/>
      <c r="R2" s="3" t="s">
        <v>2</v>
      </c>
    </row>
    <row r="3" spans="1:18" ht="6" customHeight="1"/>
    <row r="4" spans="1:18" ht="30" customHeight="1">
      <c r="B4" s="68" t="s">
        <v>205</v>
      </c>
      <c r="C4" s="68"/>
      <c r="D4" s="22" t="str">
        <f>IF(COUNTIF($K$11:$K$28,"PASS")=18,"PASS","FAIL")</f>
        <v>PASS</v>
      </c>
      <c r="E4" s="22"/>
      <c r="F4" s="23" t="str">
        <f>COUNTIF($K$11:$K$28,"PASS")&amp;" of 18 checks pass"</f>
        <v>18 of 18 checks pass</v>
      </c>
      <c r="G4" s="23"/>
      <c r="H4" s="23"/>
      <c r="I4" s="23"/>
      <c r="J4" s="23"/>
    </row>
    <row r="6" spans="1:18" ht="29.4" customHeight="1">
      <c r="B6" s="10" t="s">
        <v>206</v>
      </c>
      <c r="C6" s="10"/>
      <c r="D6" s="10"/>
      <c r="E6" s="10"/>
      <c r="F6" s="10"/>
      <c r="G6" s="10"/>
      <c r="H6" s="10"/>
      <c r="I6" s="10"/>
      <c r="J6" s="10"/>
      <c r="K6" s="10"/>
      <c r="L6" s="10"/>
    </row>
    <row r="8" spans="1:18" ht="21" customHeight="1">
      <c r="B8" s="8" t="s">
        <v>207</v>
      </c>
      <c r="C8" s="8"/>
      <c r="D8" s="8"/>
      <c r="E8" s="8"/>
      <c r="F8" s="8"/>
      <c r="G8" s="8"/>
      <c r="H8" s="8"/>
      <c r="I8" s="8"/>
      <c r="J8" s="8"/>
      <c r="K8" s="8"/>
      <c r="L8" s="8"/>
    </row>
    <row r="9" spans="1:18" ht="5" customHeight="1"/>
    <row r="10" spans="1:18" ht="30" customHeight="1">
      <c r="B10" s="33" t="s">
        <v>208</v>
      </c>
      <c r="C10" s="54" t="s">
        <v>91</v>
      </c>
      <c r="D10" s="54"/>
      <c r="E10" s="54"/>
      <c r="F10" s="54"/>
      <c r="G10" s="33" t="s">
        <v>209</v>
      </c>
      <c r="H10" s="33" t="s">
        <v>210</v>
      </c>
      <c r="I10" s="33" t="s">
        <v>211</v>
      </c>
      <c r="J10" s="33" t="s">
        <v>212</v>
      </c>
      <c r="K10" s="33" t="s">
        <v>213</v>
      </c>
    </row>
    <row r="11" spans="1:18" ht="16.2" customHeight="1">
      <c r="B11" s="69">
        <v>1</v>
      </c>
      <c r="C11" s="66" t="s">
        <v>214</v>
      </c>
      <c r="D11" s="66"/>
      <c r="E11" s="66"/>
      <c r="F11" s="66"/>
      <c r="G11" s="70">
        <v>7200</v>
      </c>
      <c r="H11" s="40">
        <f>$F$50</f>
        <v>7200</v>
      </c>
      <c r="I11" s="71">
        <f>IF(AND(ISNUMBER($G$11),ISNUMBER($H$11)),ABS($H$11-$G$11),"")</f>
        <v>0</v>
      </c>
      <c r="J11" s="72">
        <v>1E-09</v>
      </c>
      <c r="K11" s="43" t="str">
        <f>IF(AND(ISNUMBER($G$11),ISNUMBER($H$11)),IF(ABS($H$11-$G$11)&lt;=$J$11,"PASS","FAIL"),"FAIL")</f>
        <v>PASS</v>
      </c>
    </row>
    <row r="12" spans="1:18" ht="16.2" customHeight="1">
      <c r="B12" s="69">
        <v>2</v>
      </c>
      <c r="C12" s="66" t="s">
        <v>215</v>
      </c>
      <c r="D12" s="66"/>
      <c r="E12" s="66"/>
      <c r="F12" s="66"/>
      <c r="G12" s="65" t="s">
        <v>216</v>
      </c>
      <c r="H12" s="73" t="str">
        <f>$H$51</f>
        <v>Category not on Setup list</v>
      </c>
      <c r="I12" s="73"/>
      <c r="J12" s="67" t="s">
        <v>217</v>
      </c>
      <c r="K12" s="43" t="str">
        <f>IF($H$12&amp;""=$G$12&amp;"","PASS","FAIL")</f>
        <v>PASS</v>
      </c>
    </row>
    <row r="13" spans="1:18" ht="16.2" customHeight="1">
      <c r="B13" s="69">
        <v>3</v>
      </c>
      <c r="C13" s="66" t="s">
        <v>114</v>
      </c>
      <c r="D13" s="66"/>
      <c r="E13" s="66"/>
      <c r="F13" s="66"/>
      <c r="G13" s="70">
        <v>4600</v>
      </c>
      <c r="H13" s="40">
        <f>$E$57</f>
        <v>4600</v>
      </c>
      <c r="I13" s="71">
        <f>IF(AND(ISNUMBER($G$13),ISNUMBER($H$13)),ABS($H$13-$G$13),"")</f>
        <v>0</v>
      </c>
      <c r="J13" s="72">
        <v>1E-09</v>
      </c>
      <c r="K13" s="43" t="str">
        <f>IF(AND(ISNUMBER($G$13),ISNUMBER($H$13)),IF(ABS($H$13-$G$13)&lt;=$J$13,"PASS","FAIL"),"FAIL")</f>
        <v>PASS</v>
      </c>
    </row>
    <row r="14" spans="1:18" ht="16.2" customHeight="1">
      <c r="B14" s="69">
        <v>4</v>
      </c>
      <c r="C14" s="66" t="s">
        <v>116</v>
      </c>
      <c r="D14" s="66"/>
      <c r="E14" s="66"/>
      <c r="F14" s="66"/>
      <c r="G14" s="74">
        <v>11.5</v>
      </c>
      <c r="H14" s="75">
        <f>$E$59</f>
        <v>11.5</v>
      </c>
      <c r="I14" s="71">
        <f>IF(AND(ISNUMBER($G$14),ISNUMBER($H$14)),ABS($H$14-$G$14),"")</f>
        <v>0</v>
      </c>
      <c r="J14" s="72">
        <v>1E-09</v>
      </c>
      <c r="K14" s="43" t="str">
        <f>IF(AND(ISNUMBER($G$14),ISNUMBER($H$14)),IF(ABS($H$14-$G$14)&lt;=$J$14,"PASS","FAIL"),"FAIL")</f>
        <v>PASS</v>
      </c>
    </row>
    <row r="15" spans="1:18" ht="16.2" customHeight="1">
      <c r="B15" s="69">
        <v>5</v>
      </c>
      <c r="C15" s="66" t="s">
        <v>218</v>
      </c>
      <c r="D15" s="66"/>
      <c r="E15" s="66"/>
      <c r="F15" s="66"/>
      <c r="G15" s="70">
        <v>4770</v>
      </c>
      <c r="H15" s="40">
        <f>$M$64</f>
        <v>4770</v>
      </c>
      <c r="I15" s="71">
        <f>IF(AND(ISNUMBER($G$15),ISNUMBER($H$15)),ABS($H$15-$G$15),"")</f>
        <v>0</v>
      </c>
      <c r="J15" s="72">
        <v>1E-09</v>
      </c>
      <c r="K15" s="43" t="str">
        <f>IF(AND(ISNUMBER($G$15),ISNUMBER($H$15)),IF(ABS($H$15-$G$15)&lt;=$J$15,"PASS","FAIL"),"FAIL")</f>
        <v>PASS</v>
      </c>
    </row>
    <row r="16" spans="1:18" ht="16.2" customHeight="1">
      <c r="B16" s="69">
        <v>6</v>
      </c>
      <c r="C16" s="66" t="s">
        <v>219</v>
      </c>
      <c r="D16" s="66"/>
      <c r="E16" s="66"/>
      <c r="F16" s="66"/>
      <c r="G16" s="74">
        <v>15.9</v>
      </c>
      <c r="H16" s="75">
        <f>$N$64</f>
        <v>15.9</v>
      </c>
      <c r="I16" s="71">
        <f>IF(AND(ISNUMBER($G$16),ISNUMBER($H$16)),ABS($H$16-$G$16),"")</f>
        <v>0</v>
      </c>
      <c r="J16" s="72">
        <v>1E-09</v>
      </c>
      <c r="K16" s="43" t="str">
        <f>IF(AND(ISNUMBER($G$16),ISNUMBER($H$16)),IF(ABS($H$16-$G$16)&lt;=$J$16,"PASS","FAIL"),"FAIL")</f>
        <v>PASS</v>
      </c>
    </row>
    <row r="17" spans="2:12" ht="16.2" customHeight="1">
      <c r="B17" s="69">
        <v>7</v>
      </c>
      <c r="C17" s="66" t="s">
        <v>220</v>
      </c>
      <c r="D17" s="66"/>
      <c r="E17" s="66"/>
      <c r="F17" s="66"/>
      <c r="G17" s="74">
        <v>23.33333333333333</v>
      </c>
      <c r="H17" s="75">
        <f>$I$64</f>
        <v>23.3333333333333</v>
      </c>
      <c r="I17" s="71">
        <f>IF(AND(ISNUMBER($G$17),ISNUMBER($H$17)),ABS($H$17-$G$17),"")</f>
        <v>0</v>
      </c>
      <c r="J17" s="72">
        <v>1E-09</v>
      </c>
      <c r="K17" s="43" t="str">
        <f>IF(AND(ISNUMBER($G$17),ISNUMBER($H$17)),IF(ABS($H$17-$G$17)&lt;=$J$17,"PASS","FAIL"),"FAIL")</f>
        <v>PASS</v>
      </c>
    </row>
    <row r="18" spans="2:12" ht="16.2" customHeight="1">
      <c r="B18" s="69">
        <v>8</v>
      </c>
      <c r="C18" s="66" t="s">
        <v>221</v>
      </c>
      <c r="D18" s="66"/>
      <c r="E18" s="66"/>
      <c r="F18" s="66"/>
      <c r="G18" s="74">
        <v>13.33333333333333</v>
      </c>
      <c r="H18" s="75">
        <f>$J$64</f>
        <v>13.3333333333333</v>
      </c>
      <c r="I18" s="71">
        <f>IF(AND(ISNUMBER($G$18),ISNUMBER($H$18)),ABS($H$18-$G$18),"")</f>
        <v>0</v>
      </c>
      <c r="J18" s="72">
        <v>1E-09</v>
      </c>
      <c r="K18" s="43" t="str">
        <f>IF(AND(ISNUMBER($G$18),ISNUMBER($H$18)),IF(ABS($H$18-$G$18)&lt;=$J$18,"PASS","FAIL"),"FAIL")</f>
        <v>PASS</v>
      </c>
    </row>
    <row r="19" spans="2:12" ht="16.2" customHeight="1">
      <c r="B19" s="69">
        <v>9</v>
      </c>
      <c r="C19" s="66" t="s">
        <v>222</v>
      </c>
      <c r="D19" s="66"/>
      <c r="E19" s="66"/>
      <c r="F19" s="66"/>
      <c r="G19" s="70">
        <v>2230</v>
      </c>
      <c r="H19" s="40">
        <f>$O$64</f>
        <v>2230</v>
      </c>
      <c r="I19" s="71">
        <f>IF(AND(ISNUMBER($G$19),ISNUMBER($H$19)),ABS($H$19-$G$19),"")</f>
        <v>0</v>
      </c>
      <c r="J19" s="72">
        <v>1E-09</v>
      </c>
      <c r="K19" s="43" t="str">
        <f>IF(AND(ISNUMBER($G$19),ISNUMBER($H$19)),IF(ABS($H$19-$G$19)&lt;=$J$19,"PASS","FAIL"),"FAIL")</f>
        <v>PASS</v>
      </c>
    </row>
    <row r="20" spans="2:12" ht="16.2" customHeight="1">
      <c r="B20" s="69">
        <v>10</v>
      </c>
      <c r="C20" s="66" t="s">
        <v>223</v>
      </c>
      <c r="D20" s="66"/>
      <c r="E20" s="66"/>
      <c r="F20" s="66"/>
      <c r="G20" s="65" t="s">
        <v>224</v>
      </c>
      <c r="H20" s="73" t="str">
        <f>$P$64</f>
        <v>3PL quote</v>
      </c>
      <c r="I20" s="73"/>
      <c r="J20" s="67" t="s">
        <v>217</v>
      </c>
      <c r="K20" s="43" t="str">
        <f>IF($H$20&amp;""=$G$20&amp;"","PASS","FAIL")</f>
        <v>PASS</v>
      </c>
    </row>
    <row r="21" spans="2:12" ht="16.2" customHeight="1">
      <c r="B21" s="69">
        <v>11</v>
      </c>
      <c r="C21" s="66" t="s">
        <v>225</v>
      </c>
      <c r="D21" s="66"/>
      <c r="E21" s="66"/>
      <c r="F21" s="66"/>
      <c r="G21" s="76">
        <v>0.95</v>
      </c>
      <c r="H21" s="77">
        <f>$F$65</f>
        <v>0.95</v>
      </c>
      <c r="I21" s="71">
        <f>IF(AND(ISNUMBER($G$21),ISNUMBER($H$21)),ABS($H$21-$G$21),"")</f>
        <v>0</v>
      </c>
      <c r="J21" s="72">
        <v>1E-09</v>
      </c>
      <c r="K21" s="43" t="str">
        <f>IF(AND(ISNUMBER($G$21),ISNUMBER($H$21)),IF(ABS($H$21-$G$21)&lt;=$J$21,"PASS","FAIL"),"FAIL")</f>
        <v>PASS</v>
      </c>
    </row>
    <row r="22" spans="2:12" ht="16.2" customHeight="1">
      <c r="B22" s="69">
        <v>12</v>
      </c>
      <c r="C22" s="66" t="s">
        <v>226</v>
      </c>
      <c r="D22" s="66"/>
      <c r="E22" s="66"/>
      <c r="F22" s="66"/>
      <c r="G22" s="65" t="s">
        <v>224</v>
      </c>
      <c r="H22" s="73" t="str">
        <f>$P$65</f>
        <v>3PL quote</v>
      </c>
      <c r="I22" s="73"/>
      <c r="J22" s="67" t="s">
        <v>217</v>
      </c>
      <c r="K22" s="43" t="str">
        <f>IF($H$22&amp;""=$G$22&amp;"","PASS","FAIL")</f>
        <v>PASS</v>
      </c>
    </row>
    <row r="23" spans="2:12" ht="16.2" customHeight="1">
      <c r="B23" s="69">
        <v>13</v>
      </c>
      <c r="C23" s="66" t="s">
        <v>227</v>
      </c>
      <c r="D23" s="66"/>
      <c r="E23" s="66"/>
      <c r="F23" s="66"/>
      <c r="G23" s="65" t="s">
        <v>228</v>
      </c>
      <c r="H23" s="73" t="str">
        <f>$G$66</f>
        <v>Near target</v>
      </c>
      <c r="I23" s="73"/>
      <c r="J23" s="67" t="s">
        <v>217</v>
      </c>
      <c r="K23" s="43" t="str">
        <f>IF($H$23&amp;""=$G$23&amp;"","PASS","FAIL")</f>
        <v>PASS</v>
      </c>
    </row>
    <row r="24" spans="2:12" ht="16.2" customHeight="1">
      <c r="B24" s="69">
        <v>14</v>
      </c>
      <c r="C24" s="66" t="s">
        <v>229</v>
      </c>
      <c r="D24" s="66"/>
      <c r="E24" s="66"/>
      <c r="F24" s="66"/>
      <c r="G24" s="65" t="s">
        <v>230</v>
      </c>
      <c r="H24" s="73" t="str">
        <f>$Q$67</f>
        <v>Use the 1st of the month</v>
      </c>
      <c r="I24" s="73"/>
      <c r="J24" s="67" t="s">
        <v>217</v>
      </c>
      <c r="K24" s="43" t="str">
        <f>IF($H$24&amp;""=$G$24&amp;"","PASS","FAIL")</f>
        <v>PASS</v>
      </c>
    </row>
    <row r="25" spans="2:12" ht="16.2" customHeight="1">
      <c r="B25" s="69">
        <v>15</v>
      </c>
      <c r="C25" s="66" t="s">
        <v>231</v>
      </c>
      <c r="D25" s="66"/>
      <c r="E25" s="66"/>
      <c r="F25" s="66"/>
      <c r="G25" s="76">
        <v>0.89375</v>
      </c>
      <c r="H25" s="77">
        <f>IF((COUNTIFS(tblVerifyMonthly[Month],"&gt;0")*$E$34)=0,"",(SUMIFS(tblVerifyMonthly[Avg occupied pallets],tblVerifyMonthly[Month],"&gt;0"))/(COUNTIFS(tblVerifyMonthly[Month],"&gt;0")*$E$34))</f>
        <v>0.89375</v>
      </c>
      <c r="I25" s="71">
        <f>IF(AND(ISNUMBER($G$25),ISNUMBER($H$25)),ABS($H$25-$G$25),"")</f>
        <v>0</v>
      </c>
      <c r="J25" s="72">
        <v>1E-09</v>
      </c>
      <c r="K25" s="43" t="str">
        <f>IF(AND(ISNUMBER($G$25),ISNUMBER($H$25)),IF(ABS($H$25-$G$25)&lt;=$J$25,"PASS","FAIL"),"FAIL")</f>
        <v>PASS</v>
      </c>
    </row>
    <row r="26" spans="2:12" ht="16.2" customHeight="1">
      <c r="B26" s="69">
        <v>16</v>
      </c>
      <c r="C26" s="66" t="s">
        <v>232</v>
      </c>
      <c r="D26" s="66"/>
      <c r="E26" s="66"/>
      <c r="F26" s="66"/>
      <c r="G26" s="74">
        <v>19.58041958041958</v>
      </c>
      <c r="H26" s="75">
        <f>IF((SUMIFS(tblVerifyMonthly[Avg occupied pallets],tblVerifyMonthly[Month],"&gt;0"))=0,"",(SUMIFS(tblVerifyMonthly[In-house cost],tblVerifyMonthly[Month],"&gt;0"))/(SUMIFS(tblVerifyMonthly[Avg occupied pallets],tblVerifyMonthly[Month],"&gt;0")))</f>
        <v>19.5804195804196</v>
      </c>
      <c r="I26" s="71">
        <f>IF(AND(ISNUMBER($G$26),ISNUMBER($H$26)),ABS($H$26-$G$26),"")</f>
        <v>0</v>
      </c>
      <c r="J26" s="72">
        <v>1E-09</v>
      </c>
      <c r="K26" s="43" t="str">
        <f>IF(AND(ISNUMBER($G$26),ISNUMBER($H$26)),IF(ABS($H$26-$G$26)&lt;=$J$26,"PASS","FAIL"),"FAIL")</f>
        <v>PASS</v>
      </c>
    </row>
    <row r="27" spans="2:12" ht="16.2" customHeight="1">
      <c r="B27" s="69">
        <v>17</v>
      </c>
      <c r="C27" s="66" t="s">
        <v>233</v>
      </c>
      <c r="D27" s="66"/>
      <c r="E27" s="66"/>
      <c r="F27" s="66"/>
      <c r="G27" s="74">
        <v>15.34965034965035</v>
      </c>
      <c r="H27" s="75">
        <f>IF((SUMIFS(tblVerifyMonthly[Avg occupied pallets],tblVerifyMonthly[Month],"&gt;0"))=0,"",(SUMIFS(tblVerifyMonthly[3PL equivalent],tblVerifyMonthly[Month],"&gt;0"))/(SUMIFS(tblVerifyMonthly[Avg occupied pallets],tblVerifyMonthly[Month],"&gt;0")))</f>
        <v>15.3496503496504</v>
      </c>
      <c r="I27" s="71">
        <f>IF(AND(ISNUMBER($G$27),ISNUMBER($H$27)),ABS($H$27-$G$27),"")</f>
        <v>0</v>
      </c>
      <c r="J27" s="72">
        <v>1E-09</v>
      </c>
      <c r="K27" s="43" t="str">
        <f>IF(AND(ISNUMBER($G$27),ISNUMBER($H$27)),IF(ABS($H$27-$G$27)&lt;=$J$27,"PASS","FAIL"),"FAIL")</f>
        <v>PASS</v>
      </c>
    </row>
    <row r="28" spans="2:12" ht="16.2" customHeight="1">
      <c r="B28" s="69">
        <v>18</v>
      </c>
      <c r="C28" s="66" t="s">
        <v>234</v>
      </c>
      <c r="D28" s="66"/>
      <c r="E28" s="66"/>
      <c r="F28" s="66"/>
      <c r="G28" s="76">
        <v>1.163839285714286</v>
      </c>
      <c r="H28" s="77">
        <f>IF(($E$36*COUNTIFS(tblVerifyMonthly[Month],"&gt;0")*$E$34)=0,"",(SUMIFS(tblVerifyMonthly[In-house cost],tblVerifyMonthly[Month],"&gt;0")-SUMIFS(tblVerifyMonthly[3PL handling],tblVerifyMonthly[Month],"&gt;0")-COUNTIFS(tblVerifyMonthly[Month],"&gt;0")*$E$39)/($E$36*COUNTIFS(tblVerifyMonthly[Month],"&gt;0")*$E$34))</f>
        <v>1.16383928571429</v>
      </c>
      <c r="I28" s="71">
        <f>IF(AND(ISNUMBER($G$28),ISNUMBER($H$28)),ABS($H$28-$G$28),"")</f>
        <v>0</v>
      </c>
      <c r="J28" s="72">
        <v>1E-09</v>
      </c>
      <c r="K28" s="43" t="str">
        <f>IF(AND(ISNUMBER($G$28),ISNUMBER($H$28)),IF(ABS($H$28-$G$28)&lt;=$J$28,"PASS","FAIL"),"FAIL")</f>
        <v>PASS</v>
      </c>
    </row>
    <row r="30" spans="2:12" ht="21" customHeight="1">
      <c r="B30" s="8" t="s">
        <v>235</v>
      </c>
      <c r="C30" s="8"/>
      <c r="D30" s="8"/>
      <c r="E30" s="8"/>
      <c r="F30" s="8"/>
      <c r="G30" s="8"/>
      <c r="H30" s="8"/>
      <c r="I30" s="8"/>
      <c r="J30" s="8"/>
      <c r="K30" s="8"/>
      <c r="L30" s="8"/>
    </row>
    <row r="31" spans="2:12" ht="5" customHeight="1"/>
    <row r="32" spans="2:12">
      <c r="B32" s="21" t="s">
        <v>236</v>
      </c>
      <c r="C32" s="21"/>
      <c r="D32" s="21"/>
      <c r="E32" s="21"/>
      <c r="F32" s="21"/>
      <c r="G32" s="21"/>
      <c r="H32" s="21"/>
      <c r="I32" s="21"/>
      <c r="J32" s="21"/>
      <c r="K32" s="21"/>
      <c r="L32" s="21"/>
    </row>
    <row r="33" spans="2:12">
      <c r="B33" s="32" t="s">
        <v>237</v>
      </c>
      <c r="C33" s="32"/>
      <c r="D33" s="32"/>
      <c r="E33" s="32"/>
      <c r="F33" s="32"/>
    </row>
    <row r="34" spans="2:12">
      <c r="B34" s="27" t="s">
        <v>238</v>
      </c>
      <c r="C34" s="27"/>
      <c r="D34" s="27"/>
      <c r="E34" s="78">
        <v>400</v>
      </c>
      <c r="F34" s="7"/>
    </row>
    <row r="35" spans="2:12">
      <c r="B35" s="27" t="s">
        <v>70</v>
      </c>
      <c r="C35" s="27"/>
      <c r="D35" s="27"/>
      <c r="E35" s="56">
        <v>0.85</v>
      </c>
      <c r="F35" s="7"/>
    </row>
    <row r="36" spans="2:12">
      <c r="B36" s="27" t="s">
        <v>239</v>
      </c>
      <c r="C36" s="27"/>
      <c r="D36" s="27"/>
      <c r="E36" s="70">
        <v>14</v>
      </c>
      <c r="F36" s="7"/>
    </row>
    <row r="37" spans="2:12">
      <c r="B37" s="27" t="s">
        <v>240</v>
      </c>
      <c r="C37" s="27"/>
      <c r="D37" s="27"/>
      <c r="E37" s="70">
        <v>2.5</v>
      </c>
      <c r="F37" s="7"/>
    </row>
    <row r="38" spans="2:12">
      <c r="B38" s="27" t="s">
        <v>241</v>
      </c>
      <c r="C38" s="27"/>
      <c r="D38" s="27"/>
      <c r="E38" s="70">
        <v>2.5</v>
      </c>
      <c r="F38" s="7"/>
    </row>
    <row r="39" spans="2:12">
      <c r="B39" s="27" t="s">
        <v>242</v>
      </c>
      <c r="C39" s="27"/>
      <c r="D39" s="27"/>
      <c r="E39" s="70">
        <v>120</v>
      </c>
      <c r="F39" s="7"/>
    </row>
    <row r="41" spans="2:12">
      <c r="B41" s="32" t="s">
        <v>243</v>
      </c>
      <c r="C41" s="32"/>
      <c r="D41" s="32"/>
      <c r="E41" s="32"/>
      <c r="F41" s="32"/>
      <c r="G41" s="32"/>
      <c r="H41" s="32"/>
      <c r="I41" s="32"/>
      <c r="J41" s="32"/>
      <c r="K41" s="32"/>
      <c r="L41" s="32"/>
    </row>
    <row r="42" spans="2:12" ht="20" customHeight="1">
      <c r="B42" s="33" t="s">
        <v>62</v>
      </c>
    </row>
    <row r="43" spans="2:12">
      <c r="B43" s="65" t="s">
        <v>80</v>
      </c>
    </row>
    <row r="44" spans="2:12">
      <c r="B44" s="65" t="s">
        <v>82</v>
      </c>
    </row>
    <row r="46" spans="2:12">
      <c r="B46" s="32" t="s">
        <v>244</v>
      </c>
      <c r="C46" s="32"/>
      <c r="D46" s="32"/>
      <c r="E46" s="32"/>
      <c r="F46" s="32"/>
      <c r="G46" s="32"/>
      <c r="H46" s="32"/>
      <c r="I46" s="32"/>
      <c r="J46" s="32"/>
      <c r="K46" s="32"/>
      <c r="L46" s="32"/>
    </row>
    <row r="47" spans="2:12" ht="14" customHeight="1">
      <c r="B47" s="35"/>
      <c r="C47" s="35"/>
      <c r="D47" s="35" t="str">
        <f>Currency&amp;"/year"</f>
        <v>USD/year</v>
      </c>
      <c r="E47" s="35"/>
      <c r="F47" s="35" t="str">
        <f>Currency&amp;"/year"</f>
        <v>USD/year</v>
      </c>
      <c r="G47" s="35" t="str">
        <f>Currency&amp;"/year"</f>
        <v>USD/year</v>
      </c>
      <c r="H47" s="35"/>
      <c r="I47" s="35"/>
    </row>
    <row r="48" spans="2:12" ht="32" customHeight="1">
      <c r="B48" s="33" t="s">
        <v>86</v>
      </c>
      <c r="C48" s="33" t="s">
        <v>62</v>
      </c>
      <c r="D48" s="33" t="s">
        <v>87</v>
      </c>
      <c r="E48" s="33" t="s">
        <v>88</v>
      </c>
      <c r="F48" s="33" t="s">
        <v>89</v>
      </c>
      <c r="G48" s="33" t="s">
        <v>90</v>
      </c>
      <c r="H48" s="33" t="s">
        <v>91</v>
      </c>
      <c r="I48" s="33" t="s">
        <v>92</v>
      </c>
    </row>
    <row r="49" spans="2:18">
      <c r="B49" s="65" t="s">
        <v>245</v>
      </c>
      <c r="C49" s="65" t="s">
        <v>80</v>
      </c>
      <c r="D49" s="78">
        <v>48000</v>
      </c>
      <c r="E49" s="56">
        <v>1</v>
      </c>
      <c r="F49" s="37">
        <f>IF(tblVerifyCosts[[#This Row],[Cost line]]="","",tblVerifyCosts[[#This Row],[Annual cost]]*tblVerifyCosts[[#This Row],[Storage share]])</f>
        <v>48000</v>
      </c>
      <c r="G49" s="37">
        <f>IF(tblVerifyCosts[[#This Row],[Cost line]]="","",tblVerifyCosts[[#This Row],[Annual cost]]-tblVerifyCosts[[#This Row],[Storage cost]])</f>
        <v>0</v>
      </c>
      <c r="H49" s="38" t="str">
        <f>IF(tblVerifyCosts[[#This Row],[Cost line]]="","",IF(tblVerifyCosts[[#This Row],[Category]]="","Missing category",IF(tblVerifyCosts[[#This Row],[Annual cost]]="","Missing annual cost",IF(tblVerifyCosts[[#This Row],[Storage share]]="","Missing storage share",IF(COUNTIF(tblVerifyCategories[Category],tblVerifyCosts[[#This Row],[Category]])=0,"Category not on Setup list","OK")))))</f>
        <v>OK</v>
      </c>
      <c r="I49" s="65" t="s">
        <v>97</v>
      </c>
    </row>
    <row r="50" spans="2:18">
      <c r="B50" s="65" t="s">
        <v>246</v>
      </c>
      <c r="C50" s="65" t="s">
        <v>82</v>
      </c>
      <c r="D50" s="78">
        <v>36000</v>
      </c>
      <c r="E50" s="56">
        <v>0.2</v>
      </c>
      <c r="F50" s="37">
        <f>IF(tblVerifyCosts[[#This Row],[Cost line]]="","",tblVerifyCosts[[#This Row],[Annual cost]]*tblVerifyCosts[[#This Row],[Storage share]])</f>
        <v>7200</v>
      </c>
      <c r="G50" s="37">
        <f>IF(tblVerifyCosts[[#This Row],[Cost line]]="","",tblVerifyCosts[[#This Row],[Annual cost]]-tblVerifyCosts[[#This Row],[Storage cost]])</f>
        <v>28800</v>
      </c>
      <c r="H50" s="38" t="str">
        <f>IF(tblVerifyCosts[[#This Row],[Cost line]]="","",IF(tblVerifyCosts[[#This Row],[Category]]="","Missing category",IF(tblVerifyCosts[[#This Row],[Annual cost]]="","Missing annual cost",IF(tblVerifyCosts[[#This Row],[Storage share]]="","Missing storage share",IF(COUNTIF(tblVerifyCategories[Category],tblVerifyCosts[[#This Row],[Category]])=0,"Category not on Setup list","OK")))))</f>
        <v>OK</v>
      </c>
      <c r="I50" s="65" t="s">
        <v>97</v>
      </c>
    </row>
    <row r="51" spans="2:18">
      <c r="B51" s="65" t="s">
        <v>247</v>
      </c>
      <c r="C51" s="65" t="s">
        <v>248</v>
      </c>
      <c r="D51" s="78">
        <v>0</v>
      </c>
      <c r="E51" s="56">
        <v>0.5</v>
      </c>
      <c r="F51" s="37">
        <f>IF(tblVerifyCosts[[#This Row],[Cost line]]="","",tblVerifyCosts[[#This Row],[Annual cost]]*tblVerifyCosts[[#This Row],[Storage share]])</f>
        <v>0</v>
      </c>
      <c r="G51" s="37">
        <f>IF(tblVerifyCosts[[#This Row],[Cost line]]="","",tblVerifyCosts[[#This Row],[Annual cost]]-tblVerifyCosts[[#This Row],[Storage cost]])</f>
        <v>0</v>
      </c>
      <c r="H51" s="38" t="str">
        <f>IF(tblVerifyCosts[[#This Row],[Cost line]]="","",IF(tblVerifyCosts[[#This Row],[Category]]="","Missing category",IF(tblVerifyCosts[[#This Row],[Annual cost]]="","Missing annual cost",IF(tblVerifyCosts[[#This Row],[Storage share]]="","Missing storage share",IF(COUNTIF(tblVerifyCategories[Category],tblVerifyCosts[[#This Row],[Category]])=0,"Category not on Setup list","OK")))))</f>
        <v>Category not on Setup list</v>
      </c>
      <c r="I51" s="65" t="s">
        <v>249</v>
      </c>
    </row>
    <row r="53" spans="2:18">
      <c r="B53" s="32" t="s">
        <v>250</v>
      </c>
      <c r="C53" s="32"/>
      <c r="D53" s="32"/>
      <c r="E53" s="32"/>
      <c r="F53" s="32"/>
      <c r="G53" s="32"/>
      <c r="H53" s="32"/>
      <c r="I53" s="32"/>
      <c r="J53" s="32"/>
      <c r="K53" s="32"/>
      <c r="L53" s="32"/>
    </row>
    <row r="54" spans="2:18">
      <c r="B54" s="27" t="s">
        <v>111</v>
      </c>
      <c r="C54" s="27"/>
      <c r="D54" s="27"/>
      <c r="E54" s="37">
        <f>SUM(tblVerifyCosts[Annual cost])</f>
        <v>84000</v>
      </c>
      <c r="F54" s="7" t="str">
        <f>Currency&amp;"/year"</f>
        <v>USD/year</v>
      </c>
    </row>
    <row r="55" spans="2:18">
      <c r="B55" s="27" t="s">
        <v>112</v>
      </c>
      <c r="C55" s="27"/>
      <c r="D55" s="27"/>
      <c r="E55" s="37">
        <f>SUM(tblVerifyCosts[Storage cost])</f>
        <v>55200</v>
      </c>
      <c r="F55" s="7" t="str">
        <f>Currency&amp;"/year"</f>
        <v>USD/year</v>
      </c>
    </row>
    <row r="56" spans="2:18">
      <c r="B56" s="27" t="s">
        <v>113</v>
      </c>
      <c r="C56" s="27"/>
      <c r="D56" s="27"/>
      <c r="E56" s="37">
        <f>SUM(tblVerifyCosts[Handling cost])</f>
        <v>28800</v>
      </c>
      <c r="F56" s="7" t="str">
        <f>Currency&amp;"/year"</f>
        <v>USD/year</v>
      </c>
    </row>
    <row r="57" spans="2:18">
      <c r="B57" s="17" t="s">
        <v>114</v>
      </c>
      <c r="C57" s="17"/>
      <c r="D57" s="17"/>
      <c r="E57" s="39">
        <f>$E$55/12</f>
        <v>4600</v>
      </c>
      <c r="F57" s="7" t="str">
        <f>Currency&amp;"/month"</f>
        <v>USD/month</v>
      </c>
    </row>
    <row r="58" spans="2:18">
      <c r="B58" s="17" t="s">
        <v>115</v>
      </c>
      <c r="C58" s="17"/>
      <c r="D58" s="17"/>
      <c r="E58" s="39">
        <f>$E$56/12</f>
        <v>2400</v>
      </c>
      <c r="F58" s="7" t="str">
        <f>Currency&amp;"/month"</f>
        <v>USD/month</v>
      </c>
    </row>
    <row r="59" spans="2:18">
      <c r="B59" s="27" t="s">
        <v>116</v>
      </c>
      <c r="C59" s="27"/>
      <c r="D59" s="27"/>
      <c r="E59" s="40">
        <f>IF($E$34&gt;0,$E$57/$E$34,"")</f>
        <v>11.5</v>
      </c>
      <c r="F59" s="7" t="str">
        <f>Currency&amp;"/position/month"</f>
        <v>USD/position/month</v>
      </c>
    </row>
    <row r="61" spans="2:18">
      <c r="B61" s="32" t="s">
        <v>251</v>
      </c>
      <c r="C61" s="32"/>
      <c r="D61" s="32"/>
      <c r="E61" s="32"/>
      <c r="F61" s="32"/>
      <c r="G61" s="32"/>
      <c r="H61" s="32"/>
      <c r="I61" s="32"/>
      <c r="J61" s="32"/>
      <c r="K61" s="32"/>
      <c r="L61" s="32"/>
    </row>
    <row r="62" spans="2:18" ht="14" customHeight="1">
      <c r="B62" s="35"/>
      <c r="C62" s="35"/>
      <c r="D62" s="35"/>
      <c r="E62" s="35"/>
      <c r="F62" s="35"/>
      <c r="G62" s="35"/>
      <c r="H62" s="35" t="str">
        <f>Currency</f>
        <v>USD</v>
      </c>
      <c r="I62" s="35" t="str">
        <f>Currency</f>
        <v>USD</v>
      </c>
      <c r="J62" s="35" t="str">
        <f>Currency</f>
        <v>USD</v>
      </c>
      <c r="K62" s="35" t="str">
        <f>Currency</f>
        <v>USD</v>
      </c>
      <c r="L62" s="35" t="str">
        <f>Currency</f>
        <v>USD</v>
      </c>
      <c r="M62" s="35" t="str">
        <f>Currency</f>
        <v>USD</v>
      </c>
      <c r="N62" s="35" t="str">
        <f>Currency</f>
        <v>USD</v>
      </c>
      <c r="O62" s="35" t="str">
        <f>Currency</f>
        <v>USD</v>
      </c>
      <c r="P62" s="35"/>
      <c r="Q62" s="35"/>
      <c r="R62" s="35"/>
    </row>
    <row r="63" spans="2:18" ht="45.5" customHeight="1">
      <c r="B63" s="33" t="s">
        <v>117</v>
      </c>
      <c r="C63" s="33" t="s">
        <v>118</v>
      </c>
      <c r="D63" s="33" t="s">
        <v>119</v>
      </c>
      <c r="E63" s="33" t="s">
        <v>120</v>
      </c>
      <c r="F63" s="33" t="s">
        <v>121</v>
      </c>
      <c r="G63" s="33" t="s">
        <v>122</v>
      </c>
      <c r="H63" s="33" t="s">
        <v>123</v>
      </c>
      <c r="I63" s="33" t="s">
        <v>124</v>
      </c>
      <c r="J63" s="33" t="s">
        <v>125</v>
      </c>
      <c r="K63" s="33" t="s">
        <v>126</v>
      </c>
      <c r="L63" s="33" t="s">
        <v>127</v>
      </c>
      <c r="M63" s="33" t="s">
        <v>128</v>
      </c>
      <c r="N63" s="33" t="s">
        <v>129</v>
      </c>
      <c r="O63" s="33" t="s">
        <v>130</v>
      </c>
      <c r="P63" s="33" t="s">
        <v>131</v>
      </c>
      <c r="Q63" s="33" t="s">
        <v>91</v>
      </c>
      <c r="R63" s="33" t="s">
        <v>92</v>
      </c>
    </row>
    <row r="64" spans="2:18">
      <c r="B64" s="79">
        <v>46023</v>
      </c>
      <c r="C64" s="78">
        <v>300</v>
      </c>
      <c r="D64" s="78">
        <v>100</v>
      </c>
      <c r="E64" s="78">
        <v>80</v>
      </c>
      <c r="F64" s="42">
        <f>IF(tblVerifyMonthly[[#This Row],[Month]]="","",IF($E$34&gt;0,tblVerifyMonthly[[#This Row],[Avg occupied pallets]]/$E$34,""))</f>
        <v>0.75</v>
      </c>
      <c r="G64" s="43" t="str">
        <f>IF(NOT(ISNUMBER(tblVerifyMonthly[[#This Row],[Occupancy]])),"",IF(tblVerifyMonthly[[#This Row],[Occupancy]]&gt;=$E$35,"On target",IF(tblVerifyMonthly[[#This Row],[Occupancy]]&gt;=$E$35*(1-0.05),"Near target","Below target")))</f>
        <v>Below target</v>
      </c>
      <c r="H64" s="37">
        <f>IF(tblVerifyMonthly[[#This Row],[Month]]="","",$E$57+$E$58)</f>
        <v>7000</v>
      </c>
      <c r="I64" s="40">
        <f>IF(tblVerifyMonthly[[#This Row],[Month]]="","",IF(tblVerifyMonthly[[#This Row],[Avg occupied pallets]]&gt;0,tblVerifyMonthly[[#This Row],[In-house cost]]/tblVerifyMonthly[[#This Row],[Avg occupied pallets]],""))</f>
        <v>23.3333333333333</v>
      </c>
      <c r="J64" s="40">
        <f>IF(tblVerifyMonthly[[#This Row],[Month]]="","",IF(tblVerifyMonthly[[#This Row],[Pallets received]]+tblVerifyMonthly[[#This Row],[Pallets shipped]]&gt;0,$E$58/(tblVerifyMonthly[[#This Row],[Pallets received]]+tblVerifyMonthly[[#This Row],[Pallets shipped]]),""))</f>
        <v>13.3333333333333</v>
      </c>
      <c r="K64" s="37">
        <f>IF(tblVerifyMonthly[[#This Row],[Month]]="","",tblVerifyMonthly[[#This Row],[Avg occupied pallets]]*$E$36)</f>
        <v>4200</v>
      </c>
      <c r="L64" s="37">
        <f>IF(tblVerifyMonthly[[#This Row],[Month]]="","",tblVerifyMonthly[[#This Row],[Pallets received]]*$E$37+tblVerifyMonthly[[#This Row],[Pallets shipped]]*$E$38)</f>
        <v>450</v>
      </c>
      <c r="M64" s="37">
        <f>IF(tblVerifyMonthly[[#This Row],[Month]]="","",tblVerifyMonthly[[#This Row],[3PL storage]]+tblVerifyMonthly[[#This Row],[3PL handling]]+$E$39)</f>
        <v>4770</v>
      </c>
      <c r="N64" s="40">
        <f>IF(tblVerifyMonthly[[#This Row],[Month]]="","",IF(tblVerifyMonthly[[#This Row],[Avg occupied pallets]]&gt;0,tblVerifyMonthly[[#This Row],[3PL equivalent]]/tblVerifyMonthly[[#This Row],[Avg occupied pallets]],""))</f>
        <v>15.9</v>
      </c>
      <c r="O64" s="44">
        <f>IF(tblVerifyMonthly[[#This Row],[Month]]="","",tblVerifyMonthly[[#This Row],[In-house cost]]-tblVerifyMonthly[[#This Row],[3PL equivalent]])</f>
        <v>2230</v>
      </c>
      <c r="P64" s="43" t="str">
        <f>IF(tblVerifyMonthly[[#This Row],[Month]]="","",IF(tblVerifyMonthly[[#This Row],[In-house minus 3PL]]&gt;0,"3PL quote","In-house"))</f>
        <v>3PL quote</v>
      </c>
      <c r="Q64" s="38" t="str">
        <f>IF(tblVerifyMonthly[[#This Row],[Month]]="","",IF(tblVerifyMonthly[[#This Row],[Avg occupied pallets]]="","Missing avg occupied pallets",IF(tblVerifyMonthly[[#This Row],[Pallets received]]="","Missing pallets received",IF(tblVerifyMonthly[[#This Row],[Pallets shipped]]="","Missing pallets shipped",IF(DAY(tblVerifyMonthly[[#This Row],[Month]])&lt;&gt;1,"Use the 1st of the month",IF(COUNTIF(tblVerifyMonthly[Month],tblVerifyMonthly[[#This Row],[Month]])&gt;1,"Month entered twice",IF(tblVerifyMonthly[[#This Row],[Avg occupied pallets]]&gt;$E$34,"Occupied above capacity","OK")))))))</f>
        <v>OK</v>
      </c>
      <c r="R64" s="65" t="s">
        <v>252</v>
      </c>
    </row>
    <row r="65" spans="2:18">
      <c r="B65" s="79">
        <v>46054</v>
      </c>
      <c r="C65" s="78">
        <v>380</v>
      </c>
      <c r="D65" s="78">
        <v>60</v>
      </c>
      <c r="E65" s="78">
        <v>90</v>
      </c>
      <c r="F65" s="42">
        <f>IF(tblVerifyMonthly[[#This Row],[Month]]="","",IF($E$34&gt;0,tblVerifyMonthly[[#This Row],[Avg occupied pallets]]/$E$34,""))</f>
        <v>0.95</v>
      </c>
      <c r="G65" s="43" t="str">
        <f>IF(NOT(ISNUMBER(tblVerifyMonthly[[#This Row],[Occupancy]])),"",IF(tblVerifyMonthly[[#This Row],[Occupancy]]&gt;=$E$35,"On target",IF(tblVerifyMonthly[[#This Row],[Occupancy]]&gt;=$E$35*(1-0.05),"Near target","Below target")))</f>
        <v>On target</v>
      </c>
      <c r="H65" s="37">
        <f>IF(tblVerifyMonthly[[#This Row],[Month]]="","",$E$57+$E$58)</f>
        <v>7000</v>
      </c>
      <c r="I65" s="40">
        <f>IF(tblVerifyMonthly[[#This Row],[Month]]="","",IF(tblVerifyMonthly[[#This Row],[Avg occupied pallets]]&gt;0,tblVerifyMonthly[[#This Row],[In-house cost]]/tblVerifyMonthly[[#This Row],[Avg occupied pallets]],""))</f>
        <v>18.421052631579</v>
      </c>
      <c r="J65" s="40">
        <f>IF(tblVerifyMonthly[[#This Row],[Month]]="","",IF(tblVerifyMonthly[[#This Row],[Pallets received]]+tblVerifyMonthly[[#This Row],[Pallets shipped]]&gt;0,$E$58/(tblVerifyMonthly[[#This Row],[Pallets received]]+tblVerifyMonthly[[#This Row],[Pallets shipped]]),""))</f>
        <v>16</v>
      </c>
      <c r="K65" s="37">
        <f>IF(tblVerifyMonthly[[#This Row],[Month]]="","",tblVerifyMonthly[[#This Row],[Avg occupied pallets]]*$E$36)</f>
        <v>5320</v>
      </c>
      <c r="L65" s="37">
        <f>IF(tblVerifyMonthly[[#This Row],[Month]]="","",tblVerifyMonthly[[#This Row],[Pallets received]]*$E$37+tblVerifyMonthly[[#This Row],[Pallets shipped]]*$E$38)</f>
        <v>375</v>
      </c>
      <c r="M65" s="37">
        <f>IF(tblVerifyMonthly[[#This Row],[Month]]="","",tblVerifyMonthly[[#This Row],[3PL storage]]+tblVerifyMonthly[[#This Row],[3PL handling]]+$E$39)</f>
        <v>5815</v>
      </c>
      <c r="N65" s="40">
        <f>IF(tblVerifyMonthly[[#This Row],[Month]]="","",IF(tblVerifyMonthly[[#This Row],[Avg occupied pallets]]&gt;0,tblVerifyMonthly[[#This Row],[3PL equivalent]]/tblVerifyMonthly[[#This Row],[Avg occupied pallets]],""))</f>
        <v>15.3026315789474</v>
      </c>
      <c r="O65" s="44">
        <f>IF(tblVerifyMonthly[[#This Row],[Month]]="","",tblVerifyMonthly[[#This Row],[In-house cost]]-tblVerifyMonthly[[#This Row],[3PL equivalent]])</f>
        <v>1185</v>
      </c>
      <c r="P65" s="43" t="str">
        <f>IF(tblVerifyMonthly[[#This Row],[Month]]="","",IF(tblVerifyMonthly[[#This Row],[In-house minus 3PL]]&gt;0,"3PL quote","In-house"))</f>
        <v>3PL quote</v>
      </c>
      <c r="Q65" s="38" t="str">
        <f>IF(tblVerifyMonthly[[#This Row],[Month]]="","",IF(tblVerifyMonthly[[#This Row],[Avg occupied pallets]]="","Missing avg occupied pallets",IF(tblVerifyMonthly[[#This Row],[Pallets received]]="","Missing pallets received",IF(tblVerifyMonthly[[#This Row],[Pallets shipped]]="","Missing pallets shipped",IF(DAY(tblVerifyMonthly[[#This Row],[Month]])&lt;&gt;1,"Use the 1st of the month",IF(COUNTIF(tblVerifyMonthly[Month],tblVerifyMonthly[[#This Row],[Month]])&gt;1,"Month entered twice",IF(tblVerifyMonthly[[#This Row],[Avg occupied pallets]]&gt;$E$34,"Occupied above capacity","OK")))))))</f>
        <v>OK</v>
      </c>
      <c r="R65" s="65" t="s">
        <v>97</v>
      </c>
    </row>
    <row r="66" spans="2:18">
      <c r="B66" s="79">
        <v>46082</v>
      </c>
      <c r="C66" s="78">
        <v>330</v>
      </c>
      <c r="D66" s="78">
        <v>120</v>
      </c>
      <c r="E66" s="78">
        <v>110</v>
      </c>
      <c r="F66" s="42">
        <f>IF(tblVerifyMonthly[[#This Row],[Month]]="","",IF($E$34&gt;0,tblVerifyMonthly[[#This Row],[Avg occupied pallets]]/$E$34,""))</f>
        <v>0.825</v>
      </c>
      <c r="G66" s="43" t="str">
        <f>IF(NOT(ISNUMBER(tblVerifyMonthly[[#This Row],[Occupancy]])),"",IF(tblVerifyMonthly[[#This Row],[Occupancy]]&gt;=$E$35,"On target",IF(tblVerifyMonthly[[#This Row],[Occupancy]]&gt;=$E$35*(1-0.05),"Near target","Below target")))</f>
        <v>Near target</v>
      </c>
      <c r="H66" s="37">
        <f>IF(tblVerifyMonthly[[#This Row],[Month]]="","",$E$57+$E$58)</f>
        <v>7000</v>
      </c>
      <c r="I66" s="40">
        <f>IF(tblVerifyMonthly[[#This Row],[Month]]="","",IF(tblVerifyMonthly[[#This Row],[Avg occupied pallets]]&gt;0,tblVerifyMonthly[[#This Row],[In-house cost]]/tblVerifyMonthly[[#This Row],[Avg occupied pallets]],""))</f>
        <v>21.2121212121212</v>
      </c>
      <c r="J66" s="40">
        <f>IF(tblVerifyMonthly[[#This Row],[Month]]="","",IF(tblVerifyMonthly[[#This Row],[Pallets received]]+tblVerifyMonthly[[#This Row],[Pallets shipped]]&gt;0,$E$58/(tblVerifyMonthly[[#This Row],[Pallets received]]+tblVerifyMonthly[[#This Row],[Pallets shipped]]),""))</f>
        <v>10.4347826086957</v>
      </c>
      <c r="K66" s="37">
        <f>IF(tblVerifyMonthly[[#This Row],[Month]]="","",tblVerifyMonthly[[#This Row],[Avg occupied pallets]]*$E$36)</f>
        <v>4620</v>
      </c>
      <c r="L66" s="37">
        <f>IF(tblVerifyMonthly[[#This Row],[Month]]="","",tblVerifyMonthly[[#This Row],[Pallets received]]*$E$37+tblVerifyMonthly[[#This Row],[Pallets shipped]]*$E$38)</f>
        <v>575</v>
      </c>
      <c r="M66" s="37">
        <f>IF(tblVerifyMonthly[[#This Row],[Month]]="","",tblVerifyMonthly[[#This Row],[3PL storage]]+tblVerifyMonthly[[#This Row],[3PL handling]]+$E$39)</f>
        <v>5315</v>
      </c>
      <c r="N66" s="40">
        <f>IF(tblVerifyMonthly[[#This Row],[Month]]="","",IF(tblVerifyMonthly[[#This Row],[Avg occupied pallets]]&gt;0,tblVerifyMonthly[[#This Row],[3PL equivalent]]/tblVerifyMonthly[[#This Row],[Avg occupied pallets]],""))</f>
        <v>16.1060606060606</v>
      </c>
      <c r="O66" s="44">
        <f>IF(tblVerifyMonthly[[#This Row],[Month]]="","",tblVerifyMonthly[[#This Row],[In-house cost]]-tblVerifyMonthly[[#This Row],[3PL equivalent]])</f>
        <v>1685</v>
      </c>
      <c r="P66" s="43" t="str">
        <f>IF(tblVerifyMonthly[[#This Row],[Month]]="","",IF(tblVerifyMonthly[[#This Row],[In-house minus 3PL]]&gt;0,"3PL quote","In-house"))</f>
        <v>3PL quote</v>
      </c>
      <c r="Q66" s="38" t="str">
        <f>IF(tblVerifyMonthly[[#This Row],[Month]]="","",IF(tblVerifyMonthly[[#This Row],[Avg occupied pallets]]="","Missing avg occupied pallets",IF(tblVerifyMonthly[[#This Row],[Pallets received]]="","Missing pallets received",IF(tblVerifyMonthly[[#This Row],[Pallets shipped]]="","Missing pallets shipped",IF(DAY(tblVerifyMonthly[[#This Row],[Month]])&lt;&gt;1,"Use the 1st of the month",IF(COUNTIF(tblVerifyMonthly[Month],tblVerifyMonthly[[#This Row],[Month]])&gt;1,"Month entered twice",IF(tblVerifyMonthly[[#This Row],[Avg occupied pallets]]&gt;$E$34,"Occupied above capacity","OK")))))))</f>
        <v>OK</v>
      </c>
      <c r="R66" s="65" t="s">
        <v>228</v>
      </c>
    </row>
    <row r="67" spans="2:18">
      <c r="B67" s="79">
        <v>46096</v>
      </c>
      <c r="C67" s="78">
        <v>420</v>
      </c>
      <c r="D67" s="78">
        <v>10</v>
      </c>
      <c r="E67" s="78">
        <v>10</v>
      </c>
      <c r="F67" s="42">
        <f>IF(tblVerifyMonthly[[#This Row],[Month]]="","",IF($E$34&gt;0,tblVerifyMonthly[[#This Row],[Avg occupied pallets]]/$E$34,""))</f>
        <v>1.05</v>
      </c>
      <c r="G67" s="43" t="str">
        <f>IF(NOT(ISNUMBER(tblVerifyMonthly[[#This Row],[Occupancy]])),"",IF(tblVerifyMonthly[[#This Row],[Occupancy]]&gt;=$E$35,"On target",IF(tblVerifyMonthly[[#This Row],[Occupancy]]&gt;=$E$35*(1-0.05),"Near target","Below target")))</f>
        <v>On target</v>
      </c>
      <c r="H67" s="37">
        <f>IF(tblVerifyMonthly[[#This Row],[Month]]="","",$E$57+$E$58)</f>
        <v>7000</v>
      </c>
      <c r="I67" s="40">
        <f>IF(tblVerifyMonthly[[#This Row],[Month]]="","",IF(tblVerifyMonthly[[#This Row],[Avg occupied pallets]]&gt;0,tblVerifyMonthly[[#This Row],[In-house cost]]/tblVerifyMonthly[[#This Row],[Avg occupied pallets]],""))</f>
        <v>16.6666666666667</v>
      </c>
      <c r="J67" s="40">
        <f>IF(tblVerifyMonthly[[#This Row],[Month]]="","",IF(tblVerifyMonthly[[#This Row],[Pallets received]]+tblVerifyMonthly[[#This Row],[Pallets shipped]]&gt;0,$E$58/(tblVerifyMonthly[[#This Row],[Pallets received]]+tblVerifyMonthly[[#This Row],[Pallets shipped]]),""))</f>
        <v>120</v>
      </c>
      <c r="K67" s="37">
        <f>IF(tblVerifyMonthly[[#This Row],[Month]]="","",tblVerifyMonthly[[#This Row],[Avg occupied pallets]]*$E$36)</f>
        <v>5880</v>
      </c>
      <c r="L67" s="37">
        <f>IF(tblVerifyMonthly[[#This Row],[Month]]="","",tblVerifyMonthly[[#This Row],[Pallets received]]*$E$37+tblVerifyMonthly[[#This Row],[Pallets shipped]]*$E$38)</f>
        <v>50</v>
      </c>
      <c r="M67" s="37">
        <f>IF(tblVerifyMonthly[[#This Row],[Month]]="","",tblVerifyMonthly[[#This Row],[3PL storage]]+tblVerifyMonthly[[#This Row],[3PL handling]]+$E$39)</f>
        <v>6050</v>
      </c>
      <c r="N67" s="40">
        <f>IF(tblVerifyMonthly[[#This Row],[Month]]="","",IF(tblVerifyMonthly[[#This Row],[Avg occupied pallets]]&gt;0,tblVerifyMonthly[[#This Row],[3PL equivalent]]/tblVerifyMonthly[[#This Row],[Avg occupied pallets]],""))</f>
        <v>14.4047619047619</v>
      </c>
      <c r="O67" s="44">
        <f>IF(tblVerifyMonthly[[#This Row],[Month]]="","",tblVerifyMonthly[[#This Row],[In-house cost]]-tblVerifyMonthly[[#This Row],[3PL equivalent]])</f>
        <v>950</v>
      </c>
      <c r="P67" s="43" t="str">
        <f>IF(tblVerifyMonthly[[#This Row],[Month]]="","",IF(tblVerifyMonthly[[#This Row],[In-house minus 3PL]]&gt;0,"3PL quote","In-house"))</f>
        <v>3PL quote</v>
      </c>
      <c r="Q67" s="38" t="str">
        <f>IF(tblVerifyMonthly[[#This Row],[Month]]="","",IF(tblVerifyMonthly[[#This Row],[Avg occupied pallets]]="","Missing avg occupied pallets",IF(tblVerifyMonthly[[#This Row],[Pallets received]]="","Missing pallets received",IF(tblVerifyMonthly[[#This Row],[Pallets shipped]]="","Missing pallets shipped",IF(DAY(tblVerifyMonthly[[#This Row],[Month]])&lt;&gt;1,"Use the 1st of the month",IF(COUNTIF(tblVerifyMonthly[Month],tblVerifyMonthly[[#This Row],[Month]])&gt;1,"Month entered twice",IF(tblVerifyMonthly[[#This Row],[Avg occupied pallets]]&gt;$E$34,"Occupied above capacity","OK")))))))</f>
        <v>Use the 1st of the month</v>
      </c>
      <c r="R67" s="65" t="s">
        <v>249</v>
      </c>
    </row>
  </sheetData>
  <sheetProtection sheet="1" formatColumns="0" formatRows="0"/>
  <mergeCells count="45">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5:D35"/>
    <mergeCell ref="B36:D36"/>
    <mergeCell ref="B37:D37"/>
    <mergeCell ref="B38:D38"/>
    <mergeCell ref="B39:D39"/>
    <mergeCell ref="B41:L41"/>
    <mergeCell ref="B46:L46"/>
    <mergeCell ref="B53:L53"/>
    <mergeCell ref="B54:D54"/>
    <mergeCell ref="B55:D55"/>
    <mergeCell ref="B56:D56"/>
    <mergeCell ref="B57:D57"/>
    <mergeCell ref="B58:D58"/>
    <mergeCell ref="B59:D59"/>
    <mergeCell ref="B61:L6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49:H51">
    <cfRule type="expression" dxfId="3" priority="41">
      <formula>$H49="OK"</formula>
    </cfRule>
    <cfRule type="expression" dxfId="1" priority="42">
      <formula>AND($H49&lt;&gt;"",$H49&lt;&gt;"OK")</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64:Q67">
    <cfRule type="expression" dxfId="3" priority="43">
      <formula>$Q64="OK"</formula>
    </cfRule>
    <cfRule type="expression" dxfId="1" priority="44">
      <formula>AND($Q64&lt;&gt;"",$Q64&lt;&gt;"OK")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Warehouse Storage Cost&amp;R&amp;8&amp;A</oddHeader>
    <oddFooter>&amp;L&amp;8mfgcalcs.com - free manufacturing templates&amp;R&amp;8Page &amp;P of &amp;N</oddFooter>
  </headerFooter>
  <rowBreaks count="1" manualBreakCount="1">
    <brk id="44"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30</vt:i4>
      </vt:variant>
    </vt:vector>
  </HeadingPairs>
  <TitlesOfParts>
    <vt:vector size="37" baseType="lpstr">
      <vt:lpstr>Start Here</vt:lpstr>
      <vt:lpstr>Setup</vt:lpstr>
      <vt:lpstr>Cost Register</vt:lpstr>
      <vt:lpstr>Monthly Activity</vt:lpstr>
      <vt:lpstr>Dashboard</vt:lpstr>
      <vt:lpstr>Method</vt:lpstr>
      <vt:lpstr>Verify</vt:lpstr>
      <vt:lpstr>Admin3PL</vt:lpstr>
      <vt:lpstr>AnnualCost</vt:lpstr>
      <vt:lpstr>AnnualHandling</vt:lpstr>
      <vt:lpstr>AnnualStorage</vt:lpstr>
      <vt:lpstr>Currency</vt:lpstr>
      <vt:lpstr>In3PL</vt:lpstr>
      <vt:lpstr>KpiBreakeven</vt:lpstr>
      <vt:lpstr>KpiDiff</vt:lpstr>
      <vt:lpstr>KpiInhPm</vt:lpstr>
      <vt:lpstr>KpiOcc</vt:lpstr>
      <vt:lpstr>MonthHandling</vt:lpstr>
      <vt:lpstr>MonthStorage</vt:lpstr>
      <vt:lpstr>Out3PL</vt:lpstr>
      <vt:lpstr>PerPosition</vt:lpstr>
      <vt:lpstr>Positions</vt:lpstr>
      <vt:lpstr>'Cost Register'!Print_Area</vt:lpstr>
      <vt:lpstr>Dashboard!Print_Area</vt:lpstr>
      <vt:lpstr>Method!Print_Area</vt:lpstr>
      <vt:lpstr>'Monthly Activity'!Print_Area</vt:lpstr>
      <vt:lpstr>Setup!Print_Area</vt:lpstr>
      <vt:lpstr>'Start Here'!Print_Area</vt:lpstr>
      <vt:lpstr>Verify!Print_Area</vt:lpstr>
      <vt:lpstr>'Cost Register'!Print_Titles</vt:lpstr>
      <vt:lpstr>Method!Print_Titles</vt:lpstr>
      <vt:lpstr>'Monthly Activity'!Print_Titles</vt:lpstr>
      <vt:lpstr>Rate3PL</vt:lpstr>
      <vt:lpstr>SelfCheck</vt:lpstr>
      <vt:lpstr>SelfCheckSummary</vt:lpstr>
      <vt:lpstr>SiteName</vt:lpstr>
      <vt:lpstr>TargetOcc</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Warehouse Storage Cost - free Excel template from MFG Calcs</dc:title>
  <dc:subject>Turn your warehouse's annual costs into a cost per occupied pallet per month, and compare it month by month with a 3PL quote.</dc:subject>
  <dc:creator>MFG Calcs</dc:creator>
  <cp:keywords>warehouse storage cost, cost per pallet position, pallet-month, 3PL comparison, warehouse occupancy, make or buy warehousing, storage rate</cp:keywords>
  <dc:description>https://www.mfgcalcs.com/templates/warehouse-storage-cost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warehouse-storage-cost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https://www.mfgcalcs.com/templates/warehouse-storage-cost</vt:lpwstr>
  </property>
  <property fmtid="{D5CDD505-2E9C-101B-9397-08002B2CF9AE}" pid="7" name="Template sheet roles">
    <vt:lpwstr>Start Here=start;Setup=setup;Cost Register=work;Monthly Activity=work;Dashboard=dashboard;Method=method;Verify=verify</vt:lpwstr>
  </property>
</Properties>
</file>